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C:\Users\vladimir.calero\OneDrive - INEC\Escritorio\PO 2024\"/>
    </mc:Choice>
  </mc:AlternateContent>
  <xr:revisionPtr revIDLastSave="0" documentId="13_ncr:1_{17AE2589-AC20-4EAD-9D7B-01B29A8E4487}" xr6:coauthVersionLast="47" xr6:coauthVersionMax="47" xr10:uidLastSave="{00000000-0000-0000-0000-000000000000}"/>
  <bookViews>
    <workbookView xWindow="-23148" yWindow="-108" windowWidth="23256" windowHeight="12576" firstSheet="1" activeTab="1" xr2:uid="{00000000-000D-0000-FFFF-FFFF00000000}"/>
  </bookViews>
  <sheets>
    <sheet name="Distribución OyA Detalle" sheetId="30" state="hidden" r:id="rId1"/>
    <sheet name="INDICE" sheetId="20" r:id="rId2"/>
    <sheet name="CLASIFICACION DE INGRESOS 2024" sheetId="14" r:id="rId3"/>
    <sheet name="INGRESOS 2024" sheetId="2" r:id="rId4"/>
    <sheet name="JUSTIFICACION" sheetId="17" r:id="rId5"/>
    <sheet name="INGRESOS 2018-2023" sheetId="1" r:id="rId6"/>
    <sheet name="COMPARATIVO INGRESOS" sheetId="6" r:id="rId7"/>
    <sheet name="OBJETO " sheetId="4" r:id="rId8"/>
    <sheet name="EGRESOS" sheetId="5" r:id="rId9"/>
    <sheet name="EVOLUCION GASTO" sheetId="3" r:id="rId10"/>
    <sheet name="Reporte Ejec 2022" sheetId="29" state="hidden" r:id="rId11"/>
    <sheet name="EST.ORIGEN Y APLICACION" sheetId="15" r:id="rId12"/>
    <sheet name=" CLASIFICACION DE GASTOS 2024" sheetId="13" r:id="rId13"/>
    <sheet name="JUST. PROG.01" sheetId="21" r:id="rId14"/>
    <sheet name="JUST. PROG.02" sheetId="22" r:id="rId15"/>
    <sheet name="JUST. PROG.03" sheetId="23" r:id="rId16"/>
    <sheet name="JUST. PROG.04" sheetId="24" r:id="rId17"/>
    <sheet name="PRESUPUESTO 2024" sheetId="12" state="hidden" r:id="rId18"/>
    <sheet name="RESUMEN INEC" sheetId="8" r:id="rId19"/>
    <sheet name="RESUMEN 01" sheetId="9" r:id="rId20"/>
    <sheet name="RESUMEN 02" sheetId="10" r:id="rId21"/>
    <sheet name="RESUMEN 03" sheetId="11" r:id="rId22"/>
    <sheet name="RESUMEN 04" sheetId="16" r:id="rId23"/>
    <sheet name="CLASIF.ECONOMICO DEL GTO" sheetId="26" state="hidden" r:id="rId24"/>
    <sheet name="EVOL GTOCLASIF.ECONOMICO" sheetId="28" state="hidden" r:id="rId25"/>
    <sheet name="PROYECTO DE INVERSIÓN" sheetId="27" state="hidden" r:id="rId26"/>
    <sheet name="Hoja2" sheetId="25" state="hidden" r:id="rId27"/>
    <sheet name="EST.ORIGEN Y APLICACION AP" sheetId="19" state="hidden" r:id="rId28"/>
    <sheet name="Hoja1" sheetId="18" state="hidden" r:id="rId29"/>
  </sheets>
  <externalReferences>
    <externalReference r:id="rId30"/>
    <externalReference r:id="rId31"/>
    <externalReference r:id="rId32"/>
    <externalReference r:id="rId33"/>
    <externalReference r:id="rId34"/>
    <externalReference r:id="rId35"/>
    <externalReference r:id="rId36"/>
  </externalReferences>
  <definedNames>
    <definedName name="_xlnm._FilterDatabase" localSheetId="0" hidden="1">'Distribución OyA Detalle'!$A$1:$I$1681</definedName>
    <definedName name="_xlnm.Print_Area" localSheetId="12">' CLASIFICACION DE GASTOS 2024'!$A$1:$G$231</definedName>
    <definedName name="_xlnm.Print_Area" localSheetId="2">'CLASIFICACION DE INGRESOS 2024'!$A$1:$H$59</definedName>
    <definedName name="_xlnm.Print_Area" localSheetId="5">'INGRESOS 2018-2023'!$A$1:$AB$46</definedName>
    <definedName name="_xlnm.Print_Area" localSheetId="13">'JUST. PROG.01'!$A$1:$D$176</definedName>
    <definedName name="_xlnm.Print_Area" localSheetId="17">#N/A</definedName>
    <definedName name="_xlnm.Print_Titles" localSheetId="12">' CLASIFICACION DE GASTOS 2024'!$1:$10</definedName>
    <definedName name="_xlnm.Print_Titles" localSheetId="23">#N/A</definedName>
    <definedName name="_xlnm.Print_Titles" localSheetId="6">#N/A</definedName>
    <definedName name="_xlnm.Print_Titles" localSheetId="8">EGRESOS!$1:$13</definedName>
    <definedName name="_xlnm.Print_Titles" localSheetId="11">'EST.ORIGEN Y APLICACION'!$1:$7</definedName>
    <definedName name="_xlnm.Print_Titles" localSheetId="27">#N/A</definedName>
    <definedName name="_xlnm.Print_Titles" localSheetId="24">#N/A</definedName>
    <definedName name="_xlnm.Print_Titles" localSheetId="9">'EVOLUCION GASTO'!$1:$11</definedName>
    <definedName name="_xlnm.Print_Titles" localSheetId="13">'JUST. PROG.01'!$1:$11</definedName>
    <definedName name="_xlnm.Print_Titles" localSheetId="14">'JUST. PROG.02'!$1:$11</definedName>
    <definedName name="_xlnm.Print_Titles" localSheetId="15">'JUST. PROG.03'!$1:$11</definedName>
    <definedName name="_xlnm.Print_Titles" localSheetId="16">'JUST. PROG.04'!$1:$11</definedName>
    <definedName name="_xlnm.Print_Titles" localSheetId="4">#N/A</definedName>
    <definedName name="_xlnm.Print_Titles" localSheetId="7">'OBJETO '!$1:$12</definedName>
    <definedName name="_xlnm.Print_Titles" localSheetId="17">#N/A</definedName>
    <definedName name="_xlnm.Print_Titles" localSheetId="25">#N/A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60" i="12" l="1"/>
  <c r="G1385" i="30"/>
  <c r="G660" i="30"/>
  <c r="G44" i="14"/>
  <c r="R139" i="12"/>
  <c r="BE138" i="12" s="1"/>
  <c r="AW67" i="12"/>
  <c r="U67" i="12"/>
  <c r="AD67" i="12"/>
  <c r="AS67" i="12"/>
  <c r="S67" i="12"/>
  <c r="K67" i="12"/>
  <c r="T60" i="12"/>
  <c r="G26" i="14" l="1"/>
  <c r="B54" i="24" l="1"/>
  <c r="B40" i="24"/>
  <c r="B39" i="24"/>
  <c r="B162" i="23"/>
  <c r="B99" i="23"/>
  <c r="B98" i="23"/>
  <c r="B97" i="23"/>
  <c r="B96" i="23"/>
  <c r="B95" i="23"/>
  <c r="B93" i="23"/>
  <c r="B92" i="23"/>
  <c r="B91" i="23"/>
  <c r="B90" i="23"/>
  <c r="B54" i="23"/>
  <c r="B40" i="23"/>
  <c r="B39" i="23"/>
  <c r="B54" i="22"/>
  <c r="B40" i="22"/>
  <c r="B39" i="22"/>
  <c r="B157" i="21"/>
  <c r="B146" i="21"/>
  <c r="B145" i="21"/>
  <c r="B96" i="21"/>
  <c r="B95" i="21"/>
  <c r="B94" i="21"/>
  <c r="B93" i="21"/>
  <c r="B91" i="21"/>
  <c r="B90" i="21"/>
  <c r="B89" i="21"/>
  <c r="B88" i="21"/>
  <c r="B54" i="21"/>
  <c r="B40" i="21"/>
  <c r="B39" i="21"/>
  <c r="F113" i="13"/>
  <c r="E113" i="13"/>
  <c r="B71" i="23" s="1"/>
  <c r="D113" i="13"/>
  <c r="F112" i="13"/>
  <c r="E112" i="13"/>
  <c r="B70" i="23" s="1"/>
  <c r="D112" i="13"/>
  <c r="F106" i="13"/>
  <c r="E106" i="13"/>
  <c r="B67" i="23" s="1"/>
  <c r="D106" i="13"/>
  <c r="F249" i="15"/>
  <c r="F220" i="13" s="1"/>
  <c r="B133" i="24" s="1"/>
  <c r="E249" i="15"/>
  <c r="E220" i="13" s="1"/>
  <c r="D249" i="15"/>
  <c r="F241" i="15"/>
  <c r="F212" i="13" s="1"/>
  <c r="E241" i="15"/>
  <c r="E212" i="13" s="1"/>
  <c r="B163" i="23" s="1"/>
  <c r="D241" i="15"/>
  <c r="F237" i="15"/>
  <c r="F208" i="13" s="1"/>
  <c r="E237" i="15"/>
  <c r="E208" i="13" s="1"/>
  <c r="D237" i="15"/>
  <c r="F225" i="15"/>
  <c r="F196" i="13" s="1"/>
  <c r="E225" i="15"/>
  <c r="E196" i="13" s="1"/>
  <c r="B151" i="23" s="1"/>
  <c r="D225" i="15"/>
  <c r="F232" i="15"/>
  <c r="F203" i="13" s="1"/>
  <c r="E232" i="15"/>
  <c r="E203" i="13" s="1"/>
  <c r="B161" i="23" s="1"/>
  <c r="D232" i="15"/>
  <c r="D203" i="13" s="1"/>
  <c r="F214" i="15"/>
  <c r="F185" i="13" s="1"/>
  <c r="E214" i="15"/>
  <c r="E185" i="13" s="1"/>
  <c r="D214" i="15"/>
  <c r="F213" i="15"/>
  <c r="F184" i="13" s="1"/>
  <c r="E213" i="15"/>
  <c r="E184" i="13" s="1"/>
  <c r="D213" i="15"/>
  <c r="F212" i="15"/>
  <c r="F183" i="13" s="1"/>
  <c r="E212" i="15"/>
  <c r="E183" i="13" s="1"/>
  <c r="D212" i="15"/>
  <c r="D183" i="13" s="1"/>
  <c r="F211" i="15"/>
  <c r="F182" i="13" s="1"/>
  <c r="E211" i="15"/>
  <c r="E182" i="13" s="1"/>
  <c r="D211" i="15"/>
  <c r="D182" i="13" s="1"/>
  <c r="F210" i="15"/>
  <c r="F181" i="13" s="1"/>
  <c r="E210" i="15"/>
  <c r="E181" i="13" s="1"/>
  <c r="D210" i="15"/>
  <c r="F202" i="15"/>
  <c r="F172" i="13" s="1"/>
  <c r="E202" i="15"/>
  <c r="E172" i="13" s="1"/>
  <c r="D202" i="15"/>
  <c r="F196" i="15"/>
  <c r="F166" i="13" s="1"/>
  <c r="E196" i="15"/>
  <c r="E166" i="13" s="1"/>
  <c r="B108" i="23" s="1"/>
  <c r="D196" i="15"/>
  <c r="F195" i="15"/>
  <c r="F165" i="13" s="1"/>
  <c r="E195" i="15"/>
  <c r="E165" i="13" s="1"/>
  <c r="B107" i="23" s="1"/>
  <c r="D195" i="15"/>
  <c r="D165" i="13" s="1"/>
  <c r="F194" i="15"/>
  <c r="F164" i="13" s="1"/>
  <c r="E194" i="15"/>
  <c r="E164" i="13" s="1"/>
  <c r="B106" i="23" s="1"/>
  <c r="D194" i="15"/>
  <c r="F193" i="15"/>
  <c r="F163" i="13" s="1"/>
  <c r="E193" i="15"/>
  <c r="E163" i="13" s="1"/>
  <c r="B105" i="23" s="1"/>
  <c r="D193" i="15"/>
  <c r="F192" i="15"/>
  <c r="F162" i="13" s="1"/>
  <c r="E192" i="15"/>
  <c r="E162" i="13" s="1"/>
  <c r="B104" i="23" s="1"/>
  <c r="D192" i="15"/>
  <c r="D162" i="13" s="1"/>
  <c r="F191" i="15"/>
  <c r="F161" i="13" s="1"/>
  <c r="E191" i="15"/>
  <c r="E161" i="13" s="1"/>
  <c r="B103" i="23" s="1"/>
  <c r="D191" i="15"/>
  <c r="F190" i="15"/>
  <c r="F160" i="13" s="1"/>
  <c r="E190" i="15"/>
  <c r="E160" i="13" s="1"/>
  <c r="B102" i="23" s="1"/>
  <c r="D190" i="15"/>
  <c r="F189" i="15"/>
  <c r="F159" i="13" s="1"/>
  <c r="E189" i="15"/>
  <c r="E159" i="13" s="1"/>
  <c r="B101" i="23" s="1"/>
  <c r="D189" i="15"/>
  <c r="D159" i="13" s="1"/>
  <c r="F185" i="15"/>
  <c r="F155" i="13" s="1"/>
  <c r="E185" i="15"/>
  <c r="E155" i="13" s="1"/>
  <c r="B100" i="23" s="1"/>
  <c r="D185" i="15"/>
  <c r="D155" i="13" s="1"/>
  <c r="F177" i="15"/>
  <c r="F147" i="13" s="1"/>
  <c r="B91" i="24" s="1"/>
  <c r="E177" i="15"/>
  <c r="E147" i="13" s="1"/>
  <c r="B94" i="23" s="1"/>
  <c r="D177" i="15"/>
  <c r="D147" i="13" s="1"/>
  <c r="F166" i="15"/>
  <c r="F136" i="13" s="1"/>
  <c r="E166" i="15"/>
  <c r="E136" i="13" s="1"/>
  <c r="B89" i="23" s="1"/>
  <c r="D166" i="15"/>
  <c r="F165" i="15"/>
  <c r="F135" i="13" s="1"/>
  <c r="E165" i="15"/>
  <c r="E135" i="13" s="1"/>
  <c r="B88" i="23" s="1"/>
  <c r="D165" i="15"/>
  <c r="F164" i="15"/>
  <c r="F134" i="13" s="1"/>
  <c r="E164" i="15"/>
  <c r="E134" i="13" s="1"/>
  <c r="B87" i="23" s="1"/>
  <c r="D164" i="15"/>
  <c r="D134" i="13" s="1"/>
  <c r="F158" i="15"/>
  <c r="F128" i="13" s="1"/>
  <c r="E158" i="15"/>
  <c r="E128" i="13" s="1"/>
  <c r="D158" i="15"/>
  <c r="F157" i="15"/>
  <c r="F127" i="13" s="1"/>
  <c r="E157" i="15"/>
  <c r="E127" i="13" s="1"/>
  <c r="D157" i="15"/>
  <c r="F156" i="15"/>
  <c r="F126" i="13" s="1"/>
  <c r="E156" i="15"/>
  <c r="E126" i="13" s="1"/>
  <c r="D156" i="15"/>
  <c r="F152" i="15"/>
  <c r="F122" i="13" s="1"/>
  <c r="E152" i="15"/>
  <c r="E122" i="13" s="1"/>
  <c r="D152" i="15"/>
  <c r="D122" i="13" s="1"/>
  <c r="F148" i="15"/>
  <c r="F118" i="13" s="1"/>
  <c r="E148" i="15"/>
  <c r="E118" i="13" s="1"/>
  <c r="D148" i="15"/>
  <c r="D118" i="13" s="1"/>
  <c r="F147" i="15"/>
  <c r="F117" i="13" s="1"/>
  <c r="E147" i="15"/>
  <c r="E117" i="13" s="1"/>
  <c r="D147" i="15"/>
  <c r="D117" i="13" s="1"/>
  <c r="F146" i="15"/>
  <c r="F116" i="13" s="1"/>
  <c r="E146" i="15"/>
  <c r="E116" i="13" s="1"/>
  <c r="D146" i="15"/>
  <c r="F145" i="15"/>
  <c r="F115" i="13" s="1"/>
  <c r="E145" i="15"/>
  <c r="E115" i="13" s="1"/>
  <c r="D145" i="15"/>
  <c r="D115" i="13" s="1"/>
  <c r="F144" i="15"/>
  <c r="F114" i="13" s="1"/>
  <c r="E144" i="15"/>
  <c r="E114" i="13" s="1"/>
  <c r="B72" i="23" s="1"/>
  <c r="D144" i="15"/>
  <c r="D114" i="13" s="1"/>
  <c r="F143" i="15"/>
  <c r="E143" i="15"/>
  <c r="D143" i="15"/>
  <c r="F142" i="15"/>
  <c r="E142" i="15"/>
  <c r="D142" i="15"/>
  <c r="F141" i="15"/>
  <c r="F111" i="13" s="1"/>
  <c r="E141" i="15"/>
  <c r="E111" i="13" s="1"/>
  <c r="B69" i="23" s="1"/>
  <c r="D141" i="15"/>
  <c r="D111" i="13" s="1"/>
  <c r="F137" i="15"/>
  <c r="F107" i="13" s="1"/>
  <c r="E137" i="15"/>
  <c r="E107" i="13" s="1"/>
  <c r="B68" i="23" s="1"/>
  <c r="D137" i="15"/>
  <c r="F136" i="15"/>
  <c r="E136" i="15"/>
  <c r="D136" i="15"/>
  <c r="F135" i="15"/>
  <c r="F105" i="13" s="1"/>
  <c r="E135" i="15"/>
  <c r="E105" i="13" s="1"/>
  <c r="B66" i="23" s="1"/>
  <c r="D135" i="15"/>
  <c r="F131" i="15"/>
  <c r="F101" i="13" s="1"/>
  <c r="B64" i="24" s="1"/>
  <c r="E131" i="15"/>
  <c r="E101" i="13" s="1"/>
  <c r="B65" i="23" s="1"/>
  <c r="D131" i="15"/>
  <c r="D101" i="13" s="1"/>
  <c r="B64" i="22" s="1"/>
  <c r="F127" i="15"/>
  <c r="F97" i="13" s="1"/>
  <c r="B63" i="24" s="1"/>
  <c r="E127" i="15"/>
  <c r="E97" i="13" s="1"/>
  <c r="B64" i="23" s="1"/>
  <c r="D127" i="15"/>
  <c r="D97" i="13" s="1"/>
  <c r="B63" i="22" s="1"/>
  <c r="F126" i="15"/>
  <c r="F96" i="13" s="1"/>
  <c r="B62" i="24" s="1"/>
  <c r="E126" i="15"/>
  <c r="E96" i="13" s="1"/>
  <c r="B63" i="23" s="1"/>
  <c r="D126" i="15"/>
  <c r="F125" i="15"/>
  <c r="F95" i="13" s="1"/>
  <c r="B61" i="24" s="1"/>
  <c r="E125" i="15"/>
  <c r="E95" i="13" s="1"/>
  <c r="B62" i="23" s="1"/>
  <c r="D125" i="15"/>
  <c r="D95" i="13" s="1"/>
  <c r="B61" i="22" s="1"/>
  <c r="F124" i="15"/>
  <c r="F94" i="13" s="1"/>
  <c r="B60" i="24" s="1"/>
  <c r="E124" i="15"/>
  <c r="E94" i="13" s="1"/>
  <c r="B61" i="23" s="1"/>
  <c r="D124" i="15"/>
  <c r="F120" i="15"/>
  <c r="F90" i="13" s="1"/>
  <c r="B59" i="24" s="1"/>
  <c r="E120" i="15"/>
  <c r="D120" i="15"/>
  <c r="D90" i="13" s="1"/>
  <c r="B59" i="22" s="1"/>
  <c r="F119" i="15"/>
  <c r="F89" i="13" s="1"/>
  <c r="B58" i="24" s="1"/>
  <c r="E119" i="15"/>
  <c r="E89" i="13" s="1"/>
  <c r="B58" i="23" s="1"/>
  <c r="D119" i="15"/>
  <c r="F118" i="15"/>
  <c r="F88" i="13" s="1"/>
  <c r="B57" i="24" s="1"/>
  <c r="E118" i="15"/>
  <c r="E88" i="13" s="1"/>
  <c r="B57" i="23" s="1"/>
  <c r="D118" i="15"/>
  <c r="F117" i="15"/>
  <c r="F87" i="13" s="1"/>
  <c r="B56" i="24" s="1"/>
  <c r="E117" i="15"/>
  <c r="E87" i="13" s="1"/>
  <c r="B56" i="23" s="1"/>
  <c r="D117" i="15"/>
  <c r="F116" i="15"/>
  <c r="F86" i="13" s="1"/>
  <c r="B55" i="24" s="1"/>
  <c r="E116" i="15"/>
  <c r="E86" i="13" s="1"/>
  <c r="B55" i="23" s="1"/>
  <c r="D116" i="15"/>
  <c r="F115" i="15"/>
  <c r="F85" i="13" s="1"/>
  <c r="E115" i="15"/>
  <c r="E85" i="13" s="1"/>
  <c r="D115" i="15"/>
  <c r="F114" i="15"/>
  <c r="F84" i="13" s="1"/>
  <c r="B53" i="24" s="1"/>
  <c r="E114" i="15"/>
  <c r="E84" i="13" s="1"/>
  <c r="B53" i="23" s="1"/>
  <c r="D114" i="15"/>
  <c r="F113" i="15"/>
  <c r="F83" i="13" s="1"/>
  <c r="B52" i="24" s="1"/>
  <c r="E113" i="15"/>
  <c r="E83" i="13" s="1"/>
  <c r="B52" i="23" s="1"/>
  <c r="D113" i="15"/>
  <c r="F109" i="15"/>
  <c r="F79" i="13" s="1"/>
  <c r="B51" i="24" s="1"/>
  <c r="E109" i="15"/>
  <c r="E79" i="13" s="1"/>
  <c r="B51" i="23" s="1"/>
  <c r="D109" i="15"/>
  <c r="D79" i="13" s="1"/>
  <c r="B51" i="22" s="1"/>
  <c r="F108" i="15"/>
  <c r="F78" i="13" s="1"/>
  <c r="B50" i="24" s="1"/>
  <c r="E108" i="15"/>
  <c r="E78" i="13" s="1"/>
  <c r="B50" i="23" s="1"/>
  <c r="D108" i="15"/>
  <c r="F107" i="15"/>
  <c r="F77" i="13" s="1"/>
  <c r="B49" i="24" s="1"/>
  <c r="E107" i="15"/>
  <c r="E77" i="13" s="1"/>
  <c r="B49" i="23" s="1"/>
  <c r="D107" i="15"/>
  <c r="F106" i="15"/>
  <c r="F76" i="13" s="1"/>
  <c r="B48" i="24" s="1"/>
  <c r="E106" i="15"/>
  <c r="E76" i="13" s="1"/>
  <c r="B48" i="23" s="1"/>
  <c r="D106" i="15"/>
  <c r="F105" i="15"/>
  <c r="F75" i="13" s="1"/>
  <c r="B47" i="24" s="1"/>
  <c r="E105" i="15"/>
  <c r="E75" i="13" s="1"/>
  <c r="B47" i="23" s="1"/>
  <c r="D105" i="15"/>
  <c r="F104" i="15"/>
  <c r="F74" i="13" s="1"/>
  <c r="B46" i="24" s="1"/>
  <c r="E104" i="15"/>
  <c r="E74" i="13" s="1"/>
  <c r="B46" i="23" s="1"/>
  <c r="D104" i="15"/>
  <c r="F100" i="15"/>
  <c r="F70" i="13" s="1"/>
  <c r="B45" i="24" s="1"/>
  <c r="E100" i="15"/>
  <c r="E70" i="13" s="1"/>
  <c r="B45" i="23" s="1"/>
  <c r="D100" i="15"/>
  <c r="D70" i="13" s="1"/>
  <c r="B45" i="22" s="1"/>
  <c r="F99" i="15"/>
  <c r="F69" i="13" s="1"/>
  <c r="B44" i="24" s="1"/>
  <c r="E99" i="15"/>
  <c r="E69" i="13" s="1"/>
  <c r="B44" i="23" s="1"/>
  <c r="D99" i="15"/>
  <c r="F98" i="15"/>
  <c r="F68" i="13" s="1"/>
  <c r="B43" i="24" s="1"/>
  <c r="E98" i="15"/>
  <c r="E68" i="13" s="1"/>
  <c r="B43" i="23" s="1"/>
  <c r="D98" i="15"/>
  <c r="D68" i="13" s="1"/>
  <c r="B43" i="22" s="1"/>
  <c r="F97" i="15"/>
  <c r="F67" i="13" s="1"/>
  <c r="B42" i="24" s="1"/>
  <c r="E97" i="15"/>
  <c r="E67" i="13" s="1"/>
  <c r="B42" i="23" s="1"/>
  <c r="D97" i="15"/>
  <c r="F96" i="15"/>
  <c r="F66" i="13" s="1"/>
  <c r="B41" i="24" s="1"/>
  <c r="E96" i="15"/>
  <c r="E66" i="13" s="1"/>
  <c r="B41" i="23" s="1"/>
  <c r="D96" i="15"/>
  <c r="F90" i="15"/>
  <c r="F60" i="13" s="1"/>
  <c r="B38" i="24" s="1"/>
  <c r="E90" i="15"/>
  <c r="E60" i="13" s="1"/>
  <c r="B38" i="23" s="1"/>
  <c r="D90" i="15"/>
  <c r="D60" i="13" s="1"/>
  <c r="B38" i="22" s="1"/>
  <c r="F89" i="15"/>
  <c r="F59" i="13" s="1"/>
  <c r="B37" i="24" s="1"/>
  <c r="E89" i="15"/>
  <c r="E59" i="13" s="1"/>
  <c r="B37" i="23" s="1"/>
  <c r="D89" i="15"/>
  <c r="D59" i="13" s="1"/>
  <c r="B37" i="22" s="1"/>
  <c r="F79" i="15"/>
  <c r="E79" i="15"/>
  <c r="D79" i="15"/>
  <c r="F34" i="5" s="1"/>
  <c r="F78" i="15"/>
  <c r="E78" i="15"/>
  <c r="D78" i="15"/>
  <c r="F77" i="15"/>
  <c r="E77" i="15"/>
  <c r="D77" i="15"/>
  <c r="F32" i="5" s="1"/>
  <c r="F73" i="15"/>
  <c r="E73" i="15"/>
  <c r="D73" i="15"/>
  <c r="F72" i="15"/>
  <c r="E72" i="15"/>
  <c r="D72" i="15"/>
  <c r="F30" i="5" s="1"/>
  <c r="F71" i="15"/>
  <c r="E71" i="15"/>
  <c r="D71" i="15"/>
  <c r="F29" i="5" s="1"/>
  <c r="F70" i="15"/>
  <c r="E70" i="15"/>
  <c r="D70" i="15"/>
  <c r="F69" i="15"/>
  <c r="E69" i="15"/>
  <c r="D69" i="15"/>
  <c r="F27" i="5" s="1"/>
  <c r="F64" i="15"/>
  <c r="F34" i="13" s="1"/>
  <c r="B23" i="24" s="1"/>
  <c r="E64" i="15"/>
  <c r="E34" i="13" s="1"/>
  <c r="B23" i="23" s="1"/>
  <c r="D64" i="15"/>
  <c r="F63" i="15"/>
  <c r="E63" i="15"/>
  <c r="D63" i="15"/>
  <c r="F62" i="15"/>
  <c r="E62" i="15"/>
  <c r="D62" i="15"/>
  <c r="F25" i="5" s="1"/>
  <c r="F61" i="15"/>
  <c r="F31" i="13" s="1"/>
  <c r="B20" i="24" s="1"/>
  <c r="E61" i="15"/>
  <c r="E31" i="13" s="1"/>
  <c r="B20" i="23" s="1"/>
  <c r="D61" i="15"/>
  <c r="D31" i="13" s="1"/>
  <c r="B20" i="22" s="1"/>
  <c r="F60" i="15"/>
  <c r="E60" i="15"/>
  <c r="D60" i="15"/>
  <c r="F56" i="15"/>
  <c r="F26" i="13" s="1"/>
  <c r="B18" i="24" s="1"/>
  <c r="E56" i="15"/>
  <c r="E26" i="13" s="1"/>
  <c r="B18" i="23" s="1"/>
  <c r="D56" i="15"/>
  <c r="F55" i="15"/>
  <c r="F25" i="13" s="1"/>
  <c r="B17" i="24" s="1"/>
  <c r="E55" i="15"/>
  <c r="E25" i="13" s="1"/>
  <c r="B17" i="23" s="1"/>
  <c r="D55" i="15"/>
  <c r="D25" i="13" s="1"/>
  <c r="B17" i="22" s="1"/>
  <c r="F54" i="15"/>
  <c r="E54" i="15"/>
  <c r="D54" i="15"/>
  <c r="F50" i="15"/>
  <c r="F20" i="13" s="1"/>
  <c r="B15" i="24" s="1"/>
  <c r="E50" i="15"/>
  <c r="E20" i="13" s="1"/>
  <c r="B15" i="23" s="1"/>
  <c r="D50" i="15"/>
  <c r="F49" i="15"/>
  <c r="E49" i="15"/>
  <c r="D49" i="15"/>
  <c r="F48" i="15"/>
  <c r="E48" i="15"/>
  <c r="D48" i="15"/>
  <c r="C249" i="15"/>
  <c r="C220" i="13" s="1"/>
  <c r="C241" i="15"/>
  <c r="C212" i="13" s="1"/>
  <c r="B159" i="21" s="1"/>
  <c r="C237" i="15"/>
  <c r="C208" i="13" s="1"/>
  <c r="B158" i="21" s="1"/>
  <c r="C232" i="15"/>
  <c r="C203" i="13" s="1"/>
  <c r="B156" i="21" s="1"/>
  <c r="C225" i="15"/>
  <c r="C196" i="13" s="1"/>
  <c r="B147" i="21" s="1"/>
  <c r="C214" i="15"/>
  <c r="C185" i="13" s="1"/>
  <c r="B144" i="21" s="1"/>
  <c r="C213" i="15"/>
  <c r="C184" i="13" s="1"/>
  <c r="B143" i="21" s="1"/>
  <c r="C212" i="15"/>
  <c r="C183" i="13" s="1"/>
  <c r="B142" i="21" s="1"/>
  <c r="C211" i="15"/>
  <c r="C182" i="13" s="1"/>
  <c r="B141" i="21" s="1"/>
  <c r="C210" i="15"/>
  <c r="C181" i="13" s="1"/>
  <c r="B140" i="21" s="1"/>
  <c r="C202" i="15"/>
  <c r="C196" i="15"/>
  <c r="C166" i="13" s="1"/>
  <c r="B105" i="21" s="1"/>
  <c r="C195" i="15"/>
  <c r="C165" i="13" s="1"/>
  <c r="B104" i="21" s="1"/>
  <c r="C194" i="15"/>
  <c r="C164" i="13" s="1"/>
  <c r="B103" i="21" s="1"/>
  <c r="C193" i="15"/>
  <c r="C163" i="13" s="1"/>
  <c r="B102" i="21" s="1"/>
  <c r="C192" i="15"/>
  <c r="C162" i="13" s="1"/>
  <c r="B101" i="21" s="1"/>
  <c r="C191" i="15"/>
  <c r="C161" i="13" s="1"/>
  <c r="B100" i="21" s="1"/>
  <c r="C190" i="15"/>
  <c r="C160" i="13" s="1"/>
  <c r="B99" i="21" s="1"/>
  <c r="C189" i="15"/>
  <c r="C159" i="13" s="1"/>
  <c r="B98" i="21" s="1"/>
  <c r="C185" i="15"/>
  <c r="C155" i="13" s="1"/>
  <c r="B97" i="21" s="1"/>
  <c r="C177" i="15"/>
  <c r="C147" i="13" s="1"/>
  <c r="B92" i="21" s="1"/>
  <c r="C166" i="15"/>
  <c r="C136" i="13" s="1"/>
  <c r="B87" i="21" s="1"/>
  <c r="C165" i="15"/>
  <c r="C135" i="13" s="1"/>
  <c r="B86" i="21" s="1"/>
  <c r="C164" i="15"/>
  <c r="C134" i="13" s="1"/>
  <c r="B85" i="21" s="1"/>
  <c r="C158" i="15"/>
  <c r="C128" i="13" s="1"/>
  <c r="B79" i="21" s="1"/>
  <c r="C157" i="15"/>
  <c r="C127" i="13" s="1"/>
  <c r="B78" i="21" s="1"/>
  <c r="C156" i="15"/>
  <c r="C126" i="13" s="1"/>
  <c r="B77" i="21" s="1"/>
  <c r="C152" i="15"/>
  <c r="C122" i="13" s="1"/>
  <c r="B76" i="21" s="1"/>
  <c r="C147" i="15"/>
  <c r="C117" i="13" s="1"/>
  <c r="B74" i="21" s="1"/>
  <c r="C143" i="15"/>
  <c r="C142" i="15"/>
  <c r="C148" i="15"/>
  <c r="C118" i="13" s="1"/>
  <c r="B75" i="21" s="1"/>
  <c r="C146" i="15"/>
  <c r="C116" i="13" s="1"/>
  <c r="B73" i="21" s="1"/>
  <c r="C145" i="15"/>
  <c r="C115" i="13" s="1"/>
  <c r="B72" i="21" s="1"/>
  <c r="C144" i="15"/>
  <c r="C114" i="13" s="1"/>
  <c r="B71" i="21" s="1"/>
  <c r="C141" i="15"/>
  <c r="C111" i="13" s="1"/>
  <c r="B68" i="21" s="1"/>
  <c r="C137" i="15"/>
  <c r="C107" i="13" s="1"/>
  <c r="B67" i="21" s="1"/>
  <c r="C136" i="15"/>
  <c r="C135" i="15"/>
  <c r="C105" i="13" s="1"/>
  <c r="B65" i="21" s="1"/>
  <c r="C131" i="15"/>
  <c r="C101" i="13" s="1"/>
  <c r="B64" i="21" s="1"/>
  <c r="C127" i="15"/>
  <c r="C97" i="13" s="1"/>
  <c r="B63" i="21" s="1"/>
  <c r="C126" i="15"/>
  <c r="C96" i="13" s="1"/>
  <c r="B62" i="21" s="1"/>
  <c r="C125" i="15"/>
  <c r="C95" i="13" s="1"/>
  <c r="B61" i="21" s="1"/>
  <c r="C124" i="15"/>
  <c r="C94" i="13" s="1"/>
  <c r="B60" i="21" s="1"/>
  <c r="C120" i="15"/>
  <c r="C119" i="15"/>
  <c r="C89" i="13" s="1"/>
  <c r="B58" i="21" s="1"/>
  <c r="C118" i="15"/>
  <c r="C88" i="13" s="1"/>
  <c r="B57" i="21" s="1"/>
  <c r="C117" i="15"/>
  <c r="C87" i="13" s="1"/>
  <c r="B56" i="21" s="1"/>
  <c r="C116" i="15"/>
  <c r="C86" i="13" s="1"/>
  <c r="B55" i="21" s="1"/>
  <c r="C115" i="15"/>
  <c r="C85" i="13" s="1"/>
  <c r="C114" i="15"/>
  <c r="C84" i="13" s="1"/>
  <c r="B53" i="21" s="1"/>
  <c r="C113" i="15"/>
  <c r="C83" i="13" s="1"/>
  <c r="B52" i="21" s="1"/>
  <c r="C109" i="15"/>
  <c r="C79" i="13" s="1"/>
  <c r="B51" i="21" s="1"/>
  <c r="C108" i="15"/>
  <c r="C78" i="13" s="1"/>
  <c r="B50" i="21" s="1"/>
  <c r="C107" i="15"/>
  <c r="C77" i="13" s="1"/>
  <c r="B49" i="21" s="1"/>
  <c r="C106" i="15"/>
  <c r="C76" i="13" s="1"/>
  <c r="B48" i="21" s="1"/>
  <c r="C105" i="15"/>
  <c r="C75" i="13" s="1"/>
  <c r="B47" i="21" s="1"/>
  <c r="C104" i="15"/>
  <c r="C74" i="13" s="1"/>
  <c r="B46" i="21" s="1"/>
  <c r="C100" i="15"/>
  <c r="C70" i="13" s="1"/>
  <c r="B45" i="21" s="1"/>
  <c r="C99" i="15"/>
  <c r="C69" i="13" s="1"/>
  <c r="B44" i="21" s="1"/>
  <c r="C98" i="15"/>
  <c r="C68" i="13" s="1"/>
  <c r="B43" i="21" s="1"/>
  <c r="C97" i="15"/>
  <c r="C67" i="13" s="1"/>
  <c r="B42" i="21" s="1"/>
  <c r="C96" i="15"/>
  <c r="C66" i="13" s="1"/>
  <c r="B41" i="21" s="1"/>
  <c r="C90" i="15"/>
  <c r="C60" i="13" s="1"/>
  <c r="B38" i="21" s="1"/>
  <c r="C89" i="15"/>
  <c r="C59" i="13" s="1"/>
  <c r="B37" i="21" s="1"/>
  <c r="C79" i="15"/>
  <c r="D34" i="5" s="1"/>
  <c r="C78" i="15"/>
  <c r="D33" i="5" s="1"/>
  <c r="C77" i="15"/>
  <c r="D32" i="5" s="1"/>
  <c r="C73" i="15"/>
  <c r="D31" i="5" s="1"/>
  <c r="C72" i="15"/>
  <c r="D30" i="5" s="1"/>
  <c r="C71" i="15"/>
  <c r="D29" i="5" s="1"/>
  <c r="C70" i="15"/>
  <c r="D28" i="5" s="1"/>
  <c r="C69" i="15"/>
  <c r="D27" i="5" s="1"/>
  <c r="C64" i="15"/>
  <c r="C63" i="15"/>
  <c r="D21" i="5" s="1"/>
  <c r="C62" i="15"/>
  <c r="D25" i="5" s="1"/>
  <c r="C61" i="15"/>
  <c r="C60" i="15"/>
  <c r="C56" i="15"/>
  <c r="D20" i="5" s="1"/>
  <c r="C55" i="15"/>
  <c r="D22" i="5" s="1"/>
  <c r="C54" i="15"/>
  <c r="D23" i="5" s="1"/>
  <c r="C50" i="15"/>
  <c r="D19" i="5" s="1"/>
  <c r="C49" i="15"/>
  <c r="D18" i="5" s="1"/>
  <c r="C48" i="15"/>
  <c r="D17" i="5" s="1"/>
  <c r="D24" i="5" l="1"/>
  <c r="F24" i="5"/>
  <c r="E24" i="13"/>
  <c r="B16" i="23" s="1"/>
  <c r="H23" i="5"/>
  <c r="E39" i="13"/>
  <c r="B24" i="23" s="1"/>
  <c r="H27" i="5"/>
  <c r="F47" i="13"/>
  <c r="B29" i="24" s="1"/>
  <c r="J32" i="5"/>
  <c r="E19" i="13"/>
  <c r="B14" i="23" s="1"/>
  <c r="H18" i="5"/>
  <c r="F30" i="13"/>
  <c r="B19" i="24" s="1"/>
  <c r="J24" i="5"/>
  <c r="F42" i="13"/>
  <c r="B27" i="24" s="1"/>
  <c r="J30" i="5"/>
  <c r="F40" i="13"/>
  <c r="B25" i="24" s="1"/>
  <c r="J28" i="5"/>
  <c r="E43" i="13"/>
  <c r="B28" i="23" s="1"/>
  <c r="H31" i="5"/>
  <c r="E90" i="13"/>
  <c r="B59" i="23" s="1"/>
  <c r="B84" i="23" s="1"/>
  <c r="H72" i="5"/>
  <c r="E49" i="13"/>
  <c r="B31" i="23" s="1"/>
  <c r="H34" i="5"/>
  <c r="D18" i="13"/>
  <c r="B13" i="22" s="1"/>
  <c r="F17" i="5"/>
  <c r="E41" i="13"/>
  <c r="B26" i="23" s="1"/>
  <c r="H29" i="5"/>
  <c r="F49" i="13"/>
  <c r="B31" i="24" s="1"/>
  <c r="J34" i="5"/>
  <c r="F43" i="13"/>
  <c r="B28" i="24" s="1"/>
  <c r="J31" i="5"/>
  <c r="E18" i="13"/>
  <c r="B13" i="23" s="1"/>
  <c r="H17" i="5"/>
  <c r="E32" i="13"/>
  <c r="B21" i="23" s="1"/>
  <c r="H25" i="5"/>
  <c r="F41" i="13"/>
  <c r="B26" i="24" s="1"/>
  <c r="J29" i="5"/>
  <c r="E47" i="13"/>
  <c r="B29" i="23" s="1"/>
  <c r="H32" i="5"/>
  <c r="F32" i="13"/>
  <c r="B21" i="24" s="1"/>
  <c r="J25" i="5"/>
  <c r="C90" i="13"/>
  <c r="B59" i="21" s="1"/>
  <c r="D72" i="5"/>
  <c r="D19" i="13"/>
  <c r="B14" i="22" s="1"/>
  <c r="F18" i="5"/>
  <c r="F24" i="13"/>
  <c r="B16" i="24" s="1"/>
  <c r="J23" i="5"/>
  <c r="E30" i="13"/>
  <c r="B19" i="23" s="1"/>
  <c r="H24" i="5"/>
  <c r="D33" i="13"/>
  <c r="B22" i="22" s="1"/>
  <c r="F21" i="5"/>
  <c r="F39" i="13"/>
  <c r="B24" i="24" s="1"/>
  <c r="J27" i="5"/>
  <c r="E42" i="13"/>
  <c r="B27" i="23" s="1"/>
  <c r="H30" i="5"/>
  <c r="D48" i="13"/>
  <c r="B30" i="22" s="1"/>
  <c r="F33" i="5"/>
  <c r="F18" i="13"/>
  <c r="B13" i="24" s="1"/>
  <c r="J17" i="5"/>
  <c r="D40" i="13"/>
  <c r="B25" i="22" s="1"/>
  <c r="F28" i="5"/>
  <c r="E33" i="13"/>
  <c r="B22" i="23" s="1"/>
  <c r="H21" i="5"/>
  <c r="E48" i="13"/>
  <c r="B30" i="23" s="1"/>
  <c r="H33" i="5"/>
  <c r="C172" i="13"/>
  <c r="B117" i="21" s="1"/>
  <c r="D155" i="5"/>
  <c r="F19" i="13"/>
  <c r="B14" i="24" s="1"/>
  <c r="J18" i="5"/>
  <c r="F33" i="13"/>
  <c r="B22" i="24" s="1"/>
  <c r="J21" i="5"/>
  <c r="E40" i="13"/>
  <c r="B25" i="23" s="1"/>
  <c r="H28" i="5"/>
  <c r="D43" i="13"/>
  <c r="B28" i="22" s="1"/>
  <c r="F31" i="5"/>
  <c r="F48" i="13"/>
  <c r="B30" i="24" s="1"/>
  <c r="J33" i="5"/>
  <c r="G48" i="15"/>
  <c r="G60" i="15"/>
  <c r="G72" i="15"/>
  <c r="G97" i="15"/>
  <c r="G108" i="15"/>
  <c r="G119" i="15"/>
  <c r="G136" i="15"/>
  <c r="G166" i="15"/>
  <c r="G194" i="15"/>
  <c r="G214" i="15"/>
  <c r="G50" i="15"/>
  <c r="G64" i="15"/>
  <c r="G79" i="15"/>
  <c r="G104" i="15"/>
  <c r="G115" i="15"/>
  <c r="G126" i="15"/>
  <c r="G143" i="15"/>
  <c r="G157" i="15"/>
  <c r="G190" i="15"/>
  <c r="G210" i="15"/>
  <c r="G241" i="15"/>
  <c r="D30" i="13"/>
  <c r="B19" i="22" s="1"/>
  <c r="D42" i="13"/>
  <c r="B27" i="22" s="1"/>
  <c r="G56" i="15"/>
  <c r="G71" i="15"/>
  <c r="G96" i="15"/>
  <c r="G107" i="15"/>
  <c r="G118" i="15"/>
  <c r="G135" i="15"/>
  <c r="G146" i="15"/>
  <c r="G165" i="15"/>
  <c r="G193" i="15"/>
  <c r="G213" i="15"/>
  <c r="D74" i="13"/>
  <c r="B46" i="22" s="1"/>
  <c r="D85" i="13"/>
  <c r="D105" i="13"/>
  <c r="B65" i="22" s="1"/>
  <c r="D185" i="13"/>
  <c r="D136" i="13"/>
  <c r="D212" i="13"/>
  <c r="G62" i="15"/>
  <c r="G77" i="15"/>
  <c r="G99" i="15"/>
  <c r="G113" i="15"/>
  <c r="G124" i="15"/>
  <c r="G141" i="15"/>
  <c r="G152" i="15"/>
  <c r="G185" i="15"/>
  <c r="G196" i="15"/>
  <c r="G225" i="15"/>
  <c r="D77" i="13"/>
  <c r="B49" i="22" s="1"/>
  <c r="D88" i="13"/>
  <c r="B57" i="22" s="1"/>
  <c r="D127" i="13"/>
  <c r="G54" i="15"/>
  <c r="G69" i="15"/>
  <c r="G89" i="15"/>
  <c r="G105" i="15"/>
  <c r="G116" i="15"/>
  <c r="G127" i="15"/>
  <c r="G144" i="15"/>
  <c r="G158" i="15"/>
  <c r="G191" i="15"/>
  <c r="G211" i="15"/>
  <c r="G249" i="15"/>
  <c r="D83" i="13"/>
  <c r="B52" i="22" s="1"/>
  <c r="D160" i="13"/>
  <c r="D20" i="13"/>
  <c r="B15" i="22" s="1"/>
  <c r="D34" i="13"/>
  <c r="B23" i="22" s="1"/>
  <c r="D49" i="13"/>
  <c r="B31" i="22" s="1"/>
  <c r="D66" i="13"/>
  <c r="B41" i="22" s="1"/>
  <c r="D75" i="13"/>
  <c r="B47" i="22" s="1"/>
  <c r="D86" i="13"/>
  <c r="B55" i="22" s="1"/>
  <c r="D163" i="13"/>
  <c r="G147" i="15"/>
  <c r="G49" i="15"/>
  <c r="G63" i="15"/>
  <c r="G78" i="15"/>
  <c r="G100" i="15"/>
  <c r="G114" i="15"/>
  <c r="G125" i="15"/>
  <c r="G142" i="15"/>
  <c r="G156" i="15"/>
  <c r="G189" i="15"/>
  <c r="G202" i="15"/>
  <c r="G237" i="15"/>
  <c r="D26" i="13"/>
  <c r="B18" i="22" s="1"/>
  <c r="D41" i="13"/>
  <c r="B26" i="22" s="1"/>
  <c r="D69" i="13"/>
  <c r="B44" i="22" s="1"/>
  <c r="D78" i="13"/>
  <c r="B50" i="22" s="1"/>
  <c r="D89" i="13"/>
  <c r="B58" i="22" s="1"/>
  <c r="D96" i="13"/>
  <c r="B62" i="22" s="1"/>
  <c r="D128" i="13"/>
  <c r="D181" i="13"/>
  <c r="D172" i="13"/>
  <c r="D166" i="13"/>
  <c r="D196" i="13"/>
  <c r="D208" i="13"/>
  <c r="D220" i="13"/>
  <c r="G55" i="15"/>
  <c r="G70" i="15"/>
  <c r="G90" i="15"/>
  <c r="G106" i="15"/>
  <c r="G117" i="15"/>
  <c r="G131" i="15"/>
  <c r="G145" i="15"/>
  <c r="G164" i="15"/>
  <c r="G192" i="15"/>
  <c r="G212" i="15"/>
  <c r="D32" i="13"/>
  <c r="B21" i="22" s="1"/>
  <c r="D47" i="13"/>
  <c r="B29" i="22" s="1"/>
  <c r="D84" i="13"/>
  <c r="B53" i="22" s="1"/>
  <c r="D184" i="13"/>
  <c r="D161" i="13"/>
  <c r="D135" i="13"/>
  <c r="G61" i="15"/>
  <c r="G73" i="15"/>
  <c r="G98" i="15"/>
  <c r="G109" i="15"/>
  <c r="G120" i="15"/>
  <c r="G137" i="15"/>
  <c r="G148" i="15"/>
  <c r="G177" i="15"/>
  <c r="G195" i="15"/>
  <c r="G232" i="15"/>
  <c r="D24" i="13"/>
  <c r="B16" i="22" s="1"/>
  <c r="D39" i="13"/>
  <c r="B24" i="22" s="1"/>
  <c r="D67" i="13"/>
  <c r="B42" i="22" s="1"/>
  <c r="D76" i="13"/>
  <c r="B48" i="22" s="1"/>
  <c r="D87" i="13"/>
  <c r="B56" i="22" s="1"/>
  <c r="D94" i="13"/>
  <c r="B60" i="22" s="1"/>
  <c r="D107" i="13"/>
  <c r="D116" i="13"/>
  <c r="D126" i="13"/>
  <c r="D164" i="13"/>
  <c r="F21" i="15" l="1"/>
  <c r="E21" i="15"/>
  <c r="D21" i="15"/>
  <c r="C21" i="15"/>
  <c r="B33" i="17"/>
  <c r="B25" i="6" s="1"/>
  <c r="B21" i="17"/>
  <c r="C21" i="2"/>
  <c r="K1209" i="30"/>
  <c r="K1208" i="30"/>
  <c r="K1207" i="30"/>
  <c r="K1206" i="30"/>
  <c r="K1205" i="30"/>
  <c r="K1204" i="30"/>
  <c r="K1203" i="30"/>
  <c r="K1202" i="30"/>
  <c r="K1201" i="30"/>
  <c r="K1200" i="30"/>
  <c r="K1199" i="30"/>
  <c r="K1198" i="30"/>
  <c r="K1197" i="30"/>
  <c r="K1196" i="30"/>
  <c r="L16" i="30"/>
  <c r="L15" i="30"/>
  <c r="L14" i="30"/>
  <c r="L13" i="30"/>
  <c r="L12" i="30"/>
  <c r="L11" i="30"/>
  <c r="L10" i="30"/>
  <c r="L9" i="30"/>
  <c r="L8" i="30"/>
  <c r="L7" i="30"/>
  <c r="L6" i="30"/>
  <c r="L5" i="30"/>
  <c r="L4" i="30"/>
  <c r="L3" i="30"/>
  <c r="L2" i="30"/>
  <c r="C32" i="2" l="1"/>
  <c r="C49" i="13"/>
  <c r="B31" i="21" s="1"/>
  <c r="C48" i="13"/>
  <c r="B30" i="21" s="1"/>
  <c r="C47" i="13"/>
  <c r="B29" i="21" s="1"/>
  <c r="C43" i="13"/>
  <c r="B28" i="21" s="1"/>
  <c r="C42" i="13"/>
  <c r="B27" i="21" s="1"/>
  <c r="C41" i="13"/>
  <c r="B26" i="21" s="1"/>
  <c r="C40" i="13"/>
  <c r="B25" i="21" s="1"/>
  <c r="C39" i="13"/>
  <c r="B24" i="21" s="1"/>
  <c r="C34" i="13"/>
  <c r="B23" i="21" s="1"/>
  <c r="C33" i="13"/>
  <c r="B22" i="21" s="1"/>
  <c r="C32" i="13"/>
  <c r="B21" i="21" s="1"/>
  <c r="C31" i="13"/>
  <c r="B20" i="21" s="1"/>
  <c r="C30" i="13"/>
  <c r="B19" i="21" s="1"/>
  <c r="E36" i="15"/>
  <c r="C18" i="13"/>
  <c r="B13" i="21" s="1"/>
  <c r="C113" i="13"/>
  <c r="B70" i="21" s="1"/>
  <c r="C112" i="13"/>
  <c r="B69" i="21" s="1"/>
  <c r="C106" i="13"/>
  <c r="B66" i="21" s="1"/>
  <c r="F17" i="15"/>
  <c r="E17" i="15"/>
  <c r="D17" i="15"/>
  <c r="C17" i="15"/>
  <c r="C20" i="13"/>
  <c r="B15" i="21" s="1"/>
  <c r="C19" i="13"/>
  <c r="B14" i="21" s="1"/>
  <c r="C26" i="13"/>
  <c r="B18" i="21" s="1"/>
  <c r="C25" i="13"/>
  <c r="B17" i="21" s="1"/>
  <c r="C24" i="13"/>
  <c r="B16" i="21" s="1"/>
  <c r="B34" i="21" l="1"/>
  <c r="G17" i="15"/>
  <c r="B204" i="3"/>
  <c r="B203" i="3"/>
  <c r="B198" i="3"/>
  <c r="B197" i="3"/>
  <c r="B196" i="3"/>
  <c r="B192" i="3"/>
  <c r="B191" i="3"/>
  <c r="B185" i="3"/>
  <c r="B183" i="3" s="1"/>
  <c r="B178" i="3"/>
  <c r="B176" i="3" s="1"/>
  <c r="B168" i="3"/>
  <c r="B167" i="3"/>
  <c r="B166" i="3"/>
  <c r="B165" i="3"/>
  <c r="B164" i="3"/>
  <c r="B163" i="3"/>
  <c r="B162" i="3"/>
  <c r="B148" i="3"/>
  <c r="B147" i="3"/>
  <c r="B146" i="3"/>
  <c r="B145" i="3"/>
  <c r="B144" i="3"/>
  <c r="B143" i="3"/>
  <c r="B142" i="3"/>
  <c r="B141" i="3"/>
  <c r="B137" i="3"/>
  <c r="B136" i="3"/>
  <c r="B131" i="3"/>
  <c r="B130" i="3"/>
  <c r="B129" i="3"/>
  <c r="B118" i="3"/>
  <c r="B117" i="3"/>
  <c r="B116" i="3"/>
  <c r="B78" i="3"/>
  <c r="B77" i="3"/>
  <c r="B69" i="3"/>
  <c r="B68" i="3"/>
  <c r="B67" i="3"/>
  <c r="B66" i="3"/>
  <c r="B65" i="3"/>
  <c r="B64" i="3"/>
  <c r="B60" i="3"/>
  <c r="B59" i="3"/>
  <c r="B58" i="3"/>
  <c r="B57" i="3"/>
  <c r="B56" i="3"/>
  <c r="B55" i="3"/>
  <c r="B51" i="3"/>
  <c r="B50" i="3"/>
  <c r="B49" i="3"/>
  <c r="B48" i="3"/>
  <c r="B47" i="3"/>
  <c r="B43" i="3"/>
  <c r="B42" i="3"/>
  <c r="B41" i="3"/>
  <c r="B40" i="3"/>
  <c r="G204" i="3"/>
  <c r="G203" i="3"/>
  <c r="G198" i="3"/>
  <c r="G197" i="3"/>
  <c r="G196" i="3"/>
  <c r="G192" i="3"/>
  <c r="G191" i="3"/>
  <c r="G185" i="3"/>
  <c r="G183" i="3" s="1"/>
  <c r="G178" i="3"/>
  <c r="G166" i="3"/>
  <c r="G165" i="3"/>
  <c r="G164" i="3"/>
  <c r="G163" i="3"/>
  <c r="G162" i="3"/>
  <c r="G155" i="3"/>
  <c r="G153" i="3" s="1"/>
  <c r="G151" i="3" s="1"/>
  <c r="G148" i="3"/>
  <c r="G147" i="3"/>
  <c r="G146" i="3"/>
  <c r="G145" i="3"/>
  <c r="G144" i="3"/>
  <c r="G143" i="3"/>
  <c r="G142" i="3"/>
  <c r="G141" i="3"/>
  <c r="G137" i="3"/>
  <c r="G136" i="3"/>
  <c r="G131" i="3"/>
  <c r="G130" i="3"/>
  <c r="G129" i="3"/>
  <c r="G118" i="3"/>
  <c r="G117" i="3"/>
  <c r="G116" i="3"/>
  <c r="G110" i="3"/>
  <c r="G109" i="3"/>
  <c r="G108" i="3"/>
  <c r="G104" i="3"/>
  <c r="G101" i="3" s="1"/>
  <c r="G99" i="3"/>
  <c r="G98" i="3"/>
  <c r="G97" i="3"/>
  <c r="G96" i="3"/>
  <c r="G95" i="3"/>
  <c r="G94" i="3"/>
  <c r="G93" i="3"/>
  <c r="G92" i="3"/>
  <c r="G88" i="3"/>
  <c r="G87" i="3"/>
  <c r="G86" i="3"/>
  <c r="G82" i="3"/>
  <c r="G80" i="3" s="1"/>
  <c r="G78" i="3"/>
  <c r="G77" i="3"/>
  <c r="G76" i="3"/>
  <c r="G75" i="3"/>
  <c r="G71" i="3"/>
  <c r="G70" i="3"/>
  <c r="G69" i="3"/>
  <c r="G68" i="3"/>
  <c r="G67" i="3"/>
  <c r="G66" i="3"/>
  <c r="G65" i="3"/>
  <c r="G64" i="3"/>
  <c r="G60" i="3"/>
  <c r="G59" i="3"/>
  <c r="G58" i="3"/>
  <c r="G57" i="3"/>
  <c r="G56" i="3"/>
  <c r="G55" i="3"/>
  <c r="G51" i="3"/>
  <c r="G50" i="3"/>
  <c r="G49" i="3"/>
  <c r="G48" i="3"/>
  <c r="G47" i="3"/>
  <c r="G43" i="3"/>
  <c r="G42" i="3"/>
  <c r="G41" i="3"/>
  <c r="G40" i="3"/>
  <c r="G32" i="3"/>
  <c r="G31" i="3"/>
  <c r="G30" i="3"/>
  <c r="G29" i="3"/>
  <c r="G28" i="3"/>
  <c r="G27" i="3"/>
  <c r="G26" i="3"/>
  <c r="G25" i="3"/>
  <c r="G23" i="3"/>
  <c r="G22" i="3"/>
  <c r="G21" i="3"/>
  <c r="G20" i="3"/>
  <c r="G19" i="3"/>
  <c r="G18" i="3"/>
  <c r="G17" i="3"/>
  <c r="G16" i="3"/>
  <c r="G15" i="3"/>
  <c r="J202" i="5"/>
  <c r="J194" i="5"/>
  <c r="J192" i="5" s="1"/>
  <c r="J190" i="5"/>
  <c r="J188" i="5" s="1"/>
  <c r="J185" i="5"/>
  <c r="J183" i="5" s="1"/>
  <c r="J178" i="5"/>
  <c r="J166" i="5"/>
  <c r="J165" i="5"/>
  <c r="J164" i="5"/>
  <c r="J163" i="5"/>
  <c r="J162" i="5"/>
  <c r="J155" i="5"/>
  <c r="J148" i="5"/>
  <c r="J147" i="5"/>
  <c r="J146" i="5"/>
  <c r="J145" i="5"/>
  <c r="J144" i="5"/>
  <c r="J143" i="5"/>
  <c r="J142" i="5"/>
  <c r="J141" i="5"/>
  <c r="J137" i="5"/>
  <c r="J134" i="5" s="1"/>
  <c r="J129" i="5"/>
  <c r="J118" i="5"/>
  <c r="J117" i="5"/>
  <c r="J116" i="5"/>
  <c r="J110" i="5"/>
  <c r="J109" i="5"/>
  <c r="J108" i="5"/>
  <c r="J104" i="5"/>
  <c r="J102" i="5" s="1"/>
  <c r="J100" i="5"/>
  <c r="J99" i="5"/>
  <c r="J98" i="5"/>
  <c r="J97" i="5"/>
  <c r="J96" i="5"/>
  <c r="J95" i="5"/>
  <c r="J94" i="5"/>
  <c r="J93" i="5"/>
  <c r="J89" i="5"/>
  <c r="J88" i="5"/>
  <c r="J87" i="5"/>
  <c r="J79" i="5"/>
  <c r="J78" i="5"/>
  <c r="J77" i="5"/>
  <c r="J76" i="5"/>
  <c r="J72" i="5"/>
  <c r="J71" i="5"/>
  <c r="J70" i="5"/>
  <c r="J69" i="5"/>
  <c r="J68" i="5"/>
  <c r="J67" i="5"/>
  <c r="J66" i="5"/>
  <c r="J65" i="5"/>
  <c r="J61" i="5"/>
  <c r="J60" i="5"/>
  <c r="J59" i="5"/>
  <c r="J58" i="5"/>
  <c r="J57" i="5"/>
  <c r="J56" i="5"/>
  <c r="J52" i="5"/>
  <c r="J51" i="5"/>
  <c r="J50" i="5"/>
  <c r="J49" i="5"/>
  <c r="J48" i="5"/>
  <c r="J42" i="5"/>
  <c r="J41" i="5"/>
  <c r="J22" i="5"/>
  <c r="J20" i="5"/>
  <c r="H202" i="5"/>
  <c r="H200" i="5" s="1"/>
  <c r="H194" i="5"/>
  <c r="H192" i="5" s="1"/>
  <c r="H190" i="5"/>
  <c r="H188" i="5" s="1"/>
  <c r="H185" i="5"/>
  <c r="H183" i="5" s="1"/>
  <c r="H178" i="5"/>
  <c r="H176" i="5" s="1"/>
  <c r="H166" i="5"/>
  <c r="H165" i="5"/>
  <c r="H164" i="5"/>
  <c r="H163" i="5"/>
  <c r="H162" i="5"/>
  <c r="H155" i="5"/>
  <c r="H153" i="5" s="1"/>
  <c r="H151" i="5" s="1"/>
  <c r="H148" i="5"/>
  <c r="H147" i="5"/>
  <c r="H146" i="5"/>
  <c r="H145" i="5"/>
  <c r="H144" i="5"/>
  <c r="H143" i="5"/>
  <c r="H142" i="5"/>
  <c r="H141" i="5"/>
  <c r="H137" i="5"/>
  <c r="H129" i="5"/>
  <c r="H125" i="5" s="1"/>
  <c r="H118" i="5"/>
  <c r="H117" i="5"/>
  <c r="H116" i="5"/>
  <c r="H110" i="5"/>
  <c r="H109" i="5"/>
  <c r="H108" i="5"/>
  <c r="H104" i="5"/>
  <c r="H102" i="5" s="1"/>
  <c r="H100" i="5"/>
  <c r="H99" i="5"/>
  <c r="H98" i="5"/>
  <c r="H97" i="5"/>
  <c r="H96" i="5"/>
  <c r="H95" i="5"/>
  <c r="H94" i="5"/>
  <c r="H93" i="5"/>
  <c r="H89" i="5"/>
  <c r="H88" i="5"/>
  <c r="H87" i="5"/>
  <c r="H79" i="5"/>
  <c r="H78" i="5"/>
  <c r="H70" i="5"/>
  <c r="H69" i="5"/>
  <c r="H68" i="5"/>
  <c r="H67" i="5"/>
  <c r="H66" i="5"/>
  <c r="H65" i="5"/>
  <c r="H61" i="5"/>
  <c r="H60" i="5"/>
  <c r="H59" i="5"/>
  <c r="H58" i="5"/>
  <c r="H57" i="5"/>
  <c r="H56" i="5"/>
  <c r="H52" i="5"/>
  <c r="H51" i="5"/>
  <c r="H50" i="5"/>
  <c r="H49" i="5"/>
  <c r="H48" i="5"/>
  <c r="H42" i="5"/>
  <c r="H41" i="5"/>
  <c r="H22" i="5"/>
  <c r="H20" i="5"/>
  <c r="F202" i="5"/>
  <c r="F200" i="5" s="1"/>
  <c r="F194" i="5"/>
  <c r="F192" i="5" s="1"/>
  <c r="F190" i="5"/>
  <c r="F188" i="5" s="1"/>
  <c r="F185" i="5"/>
  <c r="F183" i="5" s="1"/>
  <c r="F178" i="5"/>
  <c r="F176" i="5" s="1"/>
  <c r="F166" i="5"/>
  <c r="F165" i="5"/>
  <c r="F164" i="5"/>
  <c r="F163" i="5"/>
  <c r="F162" i="5"/>
  <c r="F155" i="5"/>
  <c r="F148" i="5"/>
  <c r="F147" i="5"/>
  <c r="F146" i="5"/>
  <c r="F145" i="5"/>
  <c r="F144" i="5"/>
  <c r="F143" i="5"/>
  <c r="F142" i="5"/>
  <c r="F141" i="5"/>
  <c r="F137" i="5"/>
  <c r="F134" i="5" s="1"/>
  <c r="F129" i="5"/>
  <c r="F125" i="5" s="1"/>
  <c r="F118" i="5"/>
  <c r="F117" i="5"/>
  <c r="F116" i="5"/>
  <c r="F110" i="5"/>
  <c r="F109" i="5"/>
  <c r="F108" i="5"/>
  <c r="F104" i="5"/>
  <c r="F102" i="5" s="1"/>
  <c r="F100" i="5"/>
  <c r="F99" i="5"/>
  <c r="F98" i="5"/>
  <c r="F97" i="5"/>
  <c r="F96" i="5"/>
  <c r="F95" i="5"/>
  <c r="F94" i="5"/>
  <c r="F93" i="5"/>
  <c r="F89" i="5"/>
  <c r="F88" i="5"/>
  <c r="F87" i="5"/>
  <c r="F79" i="5"/>
  <c r="F78" i="5"/>
  <c r="F77" i="5"/>
  <c r="F76" i="5"/>
  <c r="F71" i="5"/>
  <c r="F70" i="5"/>
  <c r="F69" i="5"/>
  <c r="F68" i="5"/>
  <c r="F67" i="5"/>
  <c r="F66" i="5"/>
  <c r="F65" i="5"/>
  <c r="F61" i="5"/>
  <c r="F60" i="5"/>
  <c r="F59" i="5"/>
  <c r="F58" i="5"/>
  <c r="F57" i="5"/>
  <c r="F56" i="5"/>
  <c r="F52" i="5"/>
  <c r="F51" i="5"/>
  <c r="F50" i="5"/>
  <c r="F49" i="5"/>
  <c r="F48" i="5"/>
  <c r="F42" i="5"/>
  <c r="F41" i="5"/>
  <c r="F23" i="5"/>
  <c r="F22" i="5"/>
  <c r="F20" i="5"/>
  <c r="F19" i="5"/>
  <c r="D202" i="5"/>
  <c r="D200" i="5" s="1"/>
  <c r="D194" i="5"/>
  <c r="D192" i="5" s="1"/>
  <c r="D190" i="5"/>
  <c r="D188" i="5" s="1"/>
  <c r="D185" i="5"/>
  <c r="D183" i="5" s="1"/>
  <c r="D178" i="5"/>
  <c r="D176" i="5" s="1"/>
  <c r="D166" i="5"/>
  <c r="D165" i="5"/>
  <c r="D164" i="5"/>
  <c r="D163" i="5"/>
  <c r="D162" i="5"/>
  <c r="D148" i="5"/>
  <c r="D147" i="5"/>
  <c r="D146" i="5"/>
  <c r="D145" i="5"/>
  <c r="D144" i="5"/>
  <c r="D143" i="5"/>
  <c r="D142" i="5"/>
  <c r="D141" i="5"/>
  <c r="D137" i="5"/>
  <c r="D134" i="5" s="1"/>
  <c r="D129" i="5"/>
  <c r="D125" i="5" s="1"/>
  <c r="D118" i="5"/>
  <c r="D117" i="5"/>
  <c r="D116" i="5"/>
  <c r="D110" i="5"/>
  <c r="D109" i="5"/>
  <c r="D108" i="5"/>
  <c r="D100" i="5"/>
  <c r="D98" i="5"/>
  <c r="D97" i="5"/>
  <c r="D96" i="5"/>
  <c r="D95" i="5"/>
  <c r="D94" i="5"/>
  <c r="D93" i="5"/>
  <c r="D89" i="5"/>
  <c r="D88" i="5"/>
  <c r="D87" i="5"/>
  <c r="D83" i="5"/>
  <c r="D79" i="5"/>
  <c r="D78" i="5"/>
  <c r="D77" i="5"/>
  <c r="D76" i="5"/>
  <c r="D71" i="5"/>
  <c r="D70" i="5"/>
  <c r="D69" i="5"/>
  <c r="D68" i="5"/>
  <c r="D67" i="5"/>
  <c r="D66" i="5"/>
  <c r="D65" i="5"/>
  <c r="D61" i="5"/>
  <c r="D60" i="5"/>
  <c r="D59" i="5"/>
  <c r="D58" i="5"/>
  <c r="D57" i="5"/>
  <c r="D56" i="5"/>
  <c r="D52" i="5"/>
  <c r="D51" i="5"/>
  <c r="D50" i="5"/>
  <c r="D49" i="5"/>
  <c r="D48" i="5"/>
  <c r="D42" i="5"/>
  <c r="D41" i="5"/>
  <c r="J202" i="4"/>
  <c r="J200" i="4" s="1"/>
  <c r="J194" i="4"/>
  <c r="J192" i="4" s="1"/>
  <c r="J189" i="4"/>
  <c r="J187" i="4" s="1"/>
  <c r="J184" i="4"/>
  <c r="J182" i="4" s="1"/>
  <c r="J177" i="4"/>
  <c r="J166" i="4"/>
  <c r="J165" i="4"/>
  <c r="J164" i="4"/>
  <c r="J163" i="4"/>
  <c r="J162" i="4"/>
  <c r="J155" i="4"/>
  <c r="J153" i="4" s="1"/>
  <c r="J148" i="4"/>
  <c r="J147" i="4"/>
  <c r="J146" i="4"/>
  <c r="J145" i="4"/>
  <c r="J144" i="4"/>
  <c r="J143" i="4"/>
  <c r="J142" i="4"/>
  <c r="J141" i="4"/>
  <c r="J137" i="4"/>
  <c r="J134" i="4" s="1"/>
  <c r="J129" i="4"/>
  <c r="J125" i="4" s="1"/>
  <c r="J118" i="4"/>
  <c r="J117" i="4"/>
  <c r="J116" i="4"/>
  <c r="J110" i="4"/>
  <c r="J109" i="4"/>
  <c r="J108" i="4"/>
  <c r="J104" i="4"/>
  <c r="J102" i="4" s="1"/>
  <c r="J100" i="4"/>
  <c r="J99" i="4"/>
  <c r="J98" i="4"/>
  <c r="J97" i="4"/>
  <c r="J96" i="4"/>
  <c r="J95" i="4"/>
  <c r="J94" i="4"/>
  <c r="J93" i="4"/>
  <c r="J89" i="4"/>
  <c r="J88" i="4"/>
  <c r="J87" i="4"/>
  <c r="J79" i="4"/>
  <c r="J78" i="4"/>
  <c r="J77" i="4"/>
  <c r="J76" i="4"/>
  <c r="J72" i="4"/>
  <c r="J71" i="4"/>
  <c r="J70" i="4"/>
  <c r="J69" i="4"/>
  <c r="J68" i="4"/>
  <c r="J67" i="4"/>
  <c r="J66" i="4"/>
  <c r="J65" i="4"/>
  <c r="J60" i="4"/>
  <c r="J59" i="4"/>
  <c r="J58" i="4"/>
  <c r="J57" i="4"/>
  <c r="J56" i="4"/>
  <c r="J55" i="4"/>
  <c r="J51" i="4"/>
  <c r="J50" i="4"/>
  <c r="J49" i="4"/>
  <c r="J48" i="4"/>
  <c r="J47" i="4"/>
  <c r="J41" i="4"/>
  <c r="J40" i="4"/>
  <c r="J32" i="4"/>
  <c r="J28" i="4"/>
  <c r="J27" i="4"/>
  <c r="J26" i="4"/>
  <c r="J23" i="4"/>
  <c r="J22" i="4"/>
  <c r="J21" i="4"/>
  <c r="J19" i="4"/>
  <c r="J16" i="4"/>
  <c r="H202" i="4"/>
  <c r="H200" i="4" s="1"/>
  <c r="H194" i="4"/>
  <c r="H192" i="4" s="1"/>
  <c r="H189" i="4"/>
  <c r="H187" i="4" s="1"/>
  <c r="H184" i="4"/>
  <c r="H182" i="4" s="1"/>
  <c r="H177" i="4"/>
  <c r="H166" i="4"/>
  <c r="H165" i="4"/>
  <c r="H164" i="4"/>
  <c r="H163" i="4"/>
  <c r="H162" i="4"/>
  <c r="H155" i="4"/>
  <c r="H153" i="4" s="1"/>
  <c r="H148" i="4"/>
  <c r="H147" i="4"/>
  <c r="H146" i="4"/>
  <c r="H145" i="4"/>
  <c r="H144" i="4"/>
  <c r="H143" i="4"/>
  <c r="H142" i="4"/>
  <c r="H141" i="4"/>
  <c r="H137" i="4"/>
  <c r="H134" i="4" s="1"/>
  <c r="H129" i="4"/>
  <c r="H125" i="4" s="1"/>
  <c r="H118" i="4"/>
  <c r="H117" i="4"/>
  <c r="H116" i="4"/>
  <c r="H110" i="4"/>
  <c r="H109" i="4"/>
  <c r="H108" i="4"/>
  <c r="H104" i="4"/>
  <c r="H102" i="4" s="1"/>
  <c r="H100" i="4"/>
  <c r="H99" i="4"/>
  <c r="H98" i="4"/>
  <c r="H97" i="4"/>
  <c r="H96" i="4"/>
  <c r="H95" i="4"/>
  <c r="H94" i="4"/>
  <c r="H93" i="4"/>
  <c r="H89" i="4"/>
  <c r="H88" i="4"/>
  <c r="H87" i="4"/>
  <c r="H79" i="4"/>
  <c r="H78" i="4"/>
  <c r="H70" i="4"/>
  <c r="H69" i="4"/>
  <c r="H68" i="4"/>
  <c r="H67" i="4"/>
  <c r="H66" i="4"/>
  <c r="H65" i="4"/>
  <c r="H60" i="4"/>
  <c r="H59" i="4"/>
  <c r="H58" i="4"/>
  <c r="H57" i="4"/>
  <c r="H56" i="4"/>
  <c r="H55" i="4"/>
  <c r="H51" i="4"/>
  <c r="H50" i="4"/>
  <c r="H49" i="4"/>
  <c r="H48" i="4"/>
  <c r="H47" i="4"/>
  <c r="H41" i="4"/>
  <c r="H40" i="4"/>
  <c r="H32" i="4"/>
  <c r="H21" i="4"/>
  <c r="H19" i="4"/>
  <c r="H18" i="4"/>
  <c r="F202" i="4"/>
  <c r="F200" i="4" s="1"/>
  <c r="F194" i="4"/>
  <c r="F192" i="4" s="1"/>
  <c r="F189" i="4"/>
  <c r="F187" i="4" s="1"/>
  <c r="F184" i="4"/>
  <c r="F182" i="4" s="1"/>
  <c r="F177" i="4"/>
  <c r="F166" i="4"/>
  <c r="F165" i="4"/>
  <c r="F164" i="4"/>
  <c r="F163" i="4"/>
  <c r="F162" i="4"/>
  <c r="F155" i="4"/>
  <c r="F153" i="4" s="1"/>
  <c r="F148" i="4"/>
  <c r="F147" i="4"/>
  <c r="F146" i="4"/>
  <c r="F145" i="4"/>
  <c r="F144" i="4"/>
  <c r="F143" i="4"/>
  <c r="F142" i="4"/>
  <c r="F141" i="4"/>
  <c r="F137" i="4"/>
  <c r="F134" i="4" s="1"/>
  <c r="F129" i="4"/>
  <c r="F125" i="4" s="1"/>
  <c r="F118" i="4"/>
  <c r="F117" i="4"/>
  <c r="F116" i="4"/>
  <c r="F110" i="4"/>
  <c r="F109" i="4"/>
  <c r="F108" i="4"/>
  <c r="F104" i="4"/>
  <c r="F102" i="4" s="1"/>
  <c r="F100" i="4"/>
  <c r="F99" i="4"/>
  <c r="F98" i="4"/>
  <c r="F97" i="4"/>
  <c r="F96" i="4"/>
  <c r="F95" i="4"/>
  <c r="F94" i="4"/>
  <c r="F93" i="4"/>
  <c r="F89" i="4"/>
  <c r="F88" i="4"/>
  <c r="F87" i="4"/>
  <c r="F79" i="4"/>
  <c r="F78" i="4"/>
  <c r="F77" i="4"/>
  <c r="F76" i="4"/>
  <c r="F71" i="4"/>
  <c r="F70" i="4"/>
  <c r="F69" i="4"/>
  <c r="F68" i="4"/>
  <c r="F67" i="4"/>
  <c r="F66" i="4"/>
  <c r="F65" i="4"/>
  <c r="F60" i="4"/>
  <c r="F59" i="4"/>
  <c r="F58" i="4"/>
  <c r="F57" i="4"/>
  <c r="F56" i="4"/>
  <c r="F55" i="4"/>
  <c r="F51" i="4"/>
  <c r="F50" i="4"/>
  <c r="F49" i="4"/>
  <c r="F48" i="4"/>
  <c r="F47" i="4"/>
  <c r="F41" i="4"/>
  <c r="F40" i="4"/>
  <c r="F29" i="4"/>
  <c r="F26" i="4"/>
  <c r="F22" i="4"/>
  <c r="F21" i="4"/>
  <c r="F19" i="4"/>
  <c r="F18" i="4"/>
  <c r="F16" i="4"/>
  <c r="D202" i="4"/>
  <c r="D194" i="4"/>
  <c r="D189" i="4"/>
  <c r="D187" i="4" s="1"/>
  <c r="D184" i="4"/>
  <c r="D182" i="4" s="1"/>
  <c r="D177" i="4"/>
  <c r="D175" i="4" s="1"/>
  <c r="D166" i="4"/>
  <c r="D165" i="4"/>
  <c r="D164" i="4"/>
  <c r="D163" i="4"/>
  <c r="D162" i="4"/>
  <c r="D148" i="4"/>
  <c r="D146" i="4"/>
  <c r="D147" i="4"/>
  <c r="D145" i="4"/>
  <c r="D144" i="4"/>
  <c r="D143" i="4"/>
  <c r="D142" i="4"/>
  <c r="D141" i="4"/>
  <c r="D137" i="4"/>
  <c r="D129" i="4"/>
  <c r="D118" i="4"/>
  <c r="D117" i="4"/>
  <c r="D116" i="4"/>
  <c r="D110" i="4"/>
  <c r="D109" i="4"/>
  <c r="D108" i="4"/>
  <c r="D100" i="4"/>
  <c r="D98" i="4"/>
  <c r="D97" i="4"/>
  <c r="D96" i="4"/>
  <c r="D95" i="4"/>
  <c r="D94" i="4"/>
  <c r="D93" i="4"/>
  <c r="D89" i="4"/>
  <c r="D88" i="4"/>
  <c r="D87" i="4"/>
  <c r="D83" i="4"/>
  <c r="D79" i="4"/>
  <c r="D78" i="4"/>
  <c r="D77" i="4"/>
  <c r="D76" i="4"/>
  <c r="D71" i="4"/>
  <c r="D70" i="4"/>
  <c r="D69" i="4"/>
  <c r="D68" i="4"/>
  <c r="D67" i="4"/>
  <c r="D66" i="4"/>
  <c r="D65" i="4"/>
  <c r="D60" i="4"/>
  <c r="D59" i="4"/>
  <c r="D58" i="4"/>
  <c r="D57" i="4"/>
  <c r="D56" i="4"/>
  <c r="D55" i="4"/>
  <c r="D51" i="4"/>
  <c r="D50" i="4"/>
  <c r="D49" i="4"/>
  <c r="D48" i="4"/>
  <c r="D47" i="4"/>
  <c r="D41" i="4"/>
  <c r="D40" i="4"/>
  <c r="D22" i="4"/>
  <c r="D18" i="4"/>
  <c r="D17" i="4"/>
  <c r="D30" i="4"/>
  <c r="BI136" i="12"/>
  <c r="BK135" i="12"/>
  <c r="BI135" i="12"/>
  <c r="BK134" i="12"/>
  <c r="BI134" i="12"/>
  <c r="BK133" i="12"/>
  <c r="BI133" i="12"/>
  <c r="BK132" i="12"/>
  <c r="BI132" i="12"/>
  <c r="BK131" i="12"/>
  <c r="BI131" i="12"/>
  <c r="BK130" i="12"/>
  <c r="BI130" i="12"/>
  <c r="BK129" i="12"/>
  <c r="BI129" i="12"/>
  <c r="BK128" i="12"/>
  <c r="BI128" i="12"/>
  <c r="BK127" i="12"/>
  <c r="BI127" i="12"/>
  <c r="BK126" i="12"/>
  <c r="BI126" i="12"/>
  <c r="BK125" i="12"/>
  <c r="BI125" i="12"/>
  <c r="BK124" i="12"/>
  <c r="BI124" i="12"/>
  <c r="BK123" i="12"/>
  <c r="BI123" i="12"/>
  <c r="BK122" i="12"/>
  <c r="BI122" i="12"/>
  <c r="BK121" i="12"/>
  <c r="BI121" i="12"/>
  <c r="BK120" i="12"/>
  <c r="BI120" i="12"/>
  <c r="BK119" i="12"/>
  <c r="BI119" i="12"/>
  <c r="BK118" i="12"/>
  <c r="BI118" i="12"/>
  <c r="BK117" i="12"/>
  <c r="BI117" i="12"/>
  <c r="BK116" i="12"/>
  <c r="BI116" i="12"/>
  <c r="BK115" i="12"/>
  <c r="BI115" i="12"/>
  <c r="BK114" i="12"/>
  <c r="BI114" i="12"/>
  <c r="BK113" i="12"/>
  <c r="BI113" i="12"/>
  <c r="BK112" i="12"/>
  <c r="BI112" i="12"/>
  <c r="BK111" i="12"/>
  <c r="BI111" i="12"/>
  <c r="BK110" i="12"/>
  <c r="BI110" i="12"/>
  <c r="BK109" i="12"/>
  <c r="BI109" i="12"/>
  <c r="BK108" i="12"/>
  <c r="BI108" i="12"/>
  <c r="BK107" i="12"/>
  <c r="BI107" i="12"/>
  <c r="BK106" i="12"/>
  <c r="BI106" i="12"/>
  <c r="BK105" i="12"/>
  <c r="BI105" i="12"/>
  <c r="BK104" i="12"/>
  <c r="BI104" i="12"/>
  <c r="BK103" i="12"/>
  <c r="BI103" i="12"/>
  <c r="BK102" i="12"/>
  <c r="BI102" i="12"/>
  <c r="BK101" i="12"/>
  <c r="BI101" i="12"/>
  <c r="BK100" i="12"/>
  <c r="BI100" i="12"/>
  <c r="BK99" i="12"/>
  <c r="BI99" i="12"/>
  <c r="BK98" i="12"/>
  <c r="BI98" i="12"/>
  <c r="BK97" i="12"/>
  <c r="BI97" i="12"/>
  <c r="BK96" i="12"/>
  <c r="BI96" i="12"/>
  <c r="BK95" i="12"/>
  <c r="BI95" i="12"/>
  <c r="BK94" i="12"/>
  <c r="BI94" i="12"/>
  <c r="BK93" i="12"/>
  <c r="BI93" i="12"/>
  <c r="BK92" i="12"/>
  <c r="BI92" i="12"/>
  <c r="BK91" i="12"/>
  <c r="BI91" i="12"/>
  <c r="BK90" i="12"/>
  <c r="BI90" i="12"/>
  <c r="BK89" i="12"/>
  <c r="BI89" i="12"/>
  <c r="BI88" i="12"/>
  <c r="BK87" i="12"/>
  <c r="BI87" i="12"/>
  <c r="BK86" i="12"/>
  <c r="BI86" i="12"/>
  <c r="BK85" i="12"/>
  <c r="BI85" i="12"/>
  <c r="BK84" i="12"/>
  <c r="BI84" i="12"/>
  <c r="BI83" i="12"/>
  <c r="BI82" i="12"/>
  <c r="BI81" i="12"/>
  <c r="BK80" i="12"/>
  <c r="BI80" i="12"/>
  <c r="BI79" i="12"/>
  <c r="BK78" i="12"/>
  <c r="BI78" i="12"/>
  <c r="BK77" i="12"/>
  <c r="BI77" i="12"/>
  <c r="BK76" i="12"/>
  <c r="BI76" i="12"/>
  <c r="BK75" i="12"/>
  <c r="BI75" i="12"/>
  <c r="BK74" i="12"/>
  <c r="BI74" i="12"/>
  <c r="BK73" i="12"/>
  <c r="BI73" i="12"/>
  <c r="BK72" i="12"/>
  <c r="BI72" i="12"/>
  <c r="BK71" i="12"/>
  <c r="BI71" i="12"/>
  <c r="BK70" i="12"/>
  <c r="BI70" i="12"/>
  <c r="BK69" i="12"/>
  <c r="BI69" i="12"/>
  <c r="BI68" i="12"/>
  <c r="BK67" i="12"/>
  <c r="BI67" i="12"/>
  <c r="BK66" i="12"/>
  <c r="BI66" i="12"/>
  <c r="BK65" i="12"/>
  <c r="BI65" i="12"/>
  <c r="BK64" i="12"/>
  <c r="BI64" i="12"/>
  <c r="BK63" i="12"/>
  <c r="BI63" i="12"/>
  <c r="BK62" i="12"/>
  <c r="BI62" i="12"/>
  <c r="BI61" i="12"/>
  <c r="BI60" i="12"/>
  <c r="BK59" i="12"/>
  <c r="BI59" i="12"/>
  <c r="BK58" i="12"/>
  <c r="BI58" i="12"/>
  <c r="BK57" i="12"/>
  <c r="BI57" i="12"/>
  <c r="BK56" i="12"/>
  <c r="BI56" i="12"/>
  <c r="BK55" i="12"/>
  <c r="BI55" i="12"/>
  <c r="BK54" i="12"/>
  <c r="BI54" i="12"/>
  <c r="BK53" i="12"/>
  <c r="BI53" i="12"/>
  <c r="BK52" i="12"/>
  <c r="BI52" i="12"/>
  <c r="BK51" i="12"/>
  <c r="BI51" i="12"/>
  <c r="BK50" i="12"/>
  <c r="BI50" i="12"/>
  <c r="BK49" i="12"/>
  <c r="BI49" i="12"/>
  <c r="BK48" i="12"/>
  <c r="BI48" i="12"/>
  <c r="BK47" i="12"/>
  <c r="BI47" i="12"/>
  <c r="BK46" i="12"/>
  <c r="BI46" i="12"/>
  <c r="BK45" i="12"/>
  <c r="BI45" i="12"/>
  <c r="BK44" i="12"/>
  <c r="BI44" i="12"/>
  <c r="BK43" i="12"/>
  <c r="BI43" i="12"/>
  <c r="BK42" i="12"/>
  <c r="BI42" i="12"/>
  <c r="BK41" i="12"/>
  <c r="BI41" i="12"/>
  <c r="BK40" i="12"/>
  <c r="BI40" i="12"/>
  <c r="BK39" i="12"/>
  <c r="BI39" i="12"/>
  <c r="BK38" i="12"/>
  <c r="BI38" i="12"/>
  <c r="BK37" i="12"/>
  <c r="BI37" i="12"/>
  <c r="BK36" i="12"/>
  <c r="BI36" i="12"/>
  <c r="BK35" i="12"/>
  <c r="BI35" i="12"/>
  <c r="BI34" i="12"/>
  <c r="BI33" i="12"/>
  <c r="BI32" i="12"/>
  <c r="BI31" i="12"/>
  <c r="BI30" i="12"/>
  <c r="BI29" i="12"/>
  <c r="BI28" i="12"/>
  <c r="BI27" i="12"/>
  <c r="BI26" i="12"/>
  <c r="BK25" i="12"/>
  <c r="BI25" i="12"/>
  <c r="BI24" i="12"/>
  <c r="BI23" i="12"/>
  <c r="BI22" i="12"/>
  <c r="BI21" i="12"/>
  <c r="BI20" i="12"/>
  <c r="BI19" i="12"/>
  <c r="BI18" i="12"/>
  <c r="BI17" i="12"/>
  <c r="BI16" i="12"/>
  <c r="BI15" i="12"/>
  <c r="BK14" i="12"/>
  <c r="BI14" i="12"/>
  <c r="BI13" i="12"/>
  <c r="BK12" i="12"/>
  <c r="BI12" i="12"/>
  <c r="BK11" i="12"/>
  <c r="BI11" i="12"/>
  <c r="BK10" i="12"/>
  <c r="BI10" i="12"/>
  <c r="H44" i="1"/>
  <c r="G44" i="1"/>
  <c r="F44" i="1"/>
  <c r="E44" i="1"/>
  <c r="D44" i="1"/>
  <c r="C17" i="1"/>
  <c r="D13" i="6"/>
  <c r="P123" i="12"/>
  <c r="T27" i="12"/>
  <c r="AV32" i="12"/>
  <c r="AA29" i="12"/>
  <c r="BB47" i="12"/>
  <c r="BB52" i="12"/>
  <c r="BB88" i="12"/>
  <c r="AA104" i="12"/>
  <c r="AA63" i="12"/>
  <c r="AA43" i="12"/>
  <c r="AA39" i="12"/>
  <c r="AP135" i="12"/>
  <c r="BC134" i="12"/>
  <c r="BB134" i="12"/>
  <c r="BA134" i="12"/>
  <c r="BA135" i="12"/>
  <c r="AZ134" i="12"/>
  <c r="AY134" i="12"/>
  <c r="AX134" i="12"/>
  <c r="AW134" i="12"/>
  <c r="AU134" i="12"/>
  <c r="AT134" i="12"/>
  <c r="AS134" i="12"/>
  <c r="AS135" i="12"/>
  <c r="AR134" i="12"/>
  <c r="AQ134" i="12"/>
  <c r="AP134" i="12"/>
  <c r="AO134" i="12"/>
  <c r="AN134" i="12"/>
  <c r="AM134" i="12"/>
  <c r="AL134" i="12"/>
  <c r="AK134" i="12"/>
  <c r="AK135" i="12"/>
  <c r="AJ134" i="12"/>
  <c r="AI134" i="12"/>
  <c r="AH134" i="12"/>
  <c r="AG134" i="12"/>
  <c r="AF134" i="12"/>
  <c r="AE134" i="12"/>
  <c r="AD134" i="12"/>
  <c r="AC134" i="12"/>
  <c r="AB134" i="12"/>
  <c r="AA134" i="12"/>
  <c r="Z134" i="12"/>
  <c r="Y134" i="12"/>
  <c r="X134" i="12"/>
  <c r="W134" i="12"/>
  <c r="V134" i="12"/>
  <c r="U134" i="12"/>
  <c r="S134" i="12"/>
  <c r="Q134" i="12"/>
  <c r="P134" i="12"/>
  <c r="O134" i="12"/>
  <c r="N134" i="12"/>
  <c r="M134" i="12"/>
  <c r="L134" i="12"/>
  <c r="K134" i="12"/>
  <c r="J134" i="12"/>
  <c r="I134" i="12"/>
  <c r="H134" i="12"/>
  <c r="G134" i="12"/>
  <c r="F134" i="12"/>
  <c r="E134" i="12"/>
  <c r="D134" i="12"/>
  <c r="C134" i="12"/>
  <c r="BF133" i="12"/>
  <c r="BD133" i="12"/>
  <c r="BD134" i="12"/>
  <c r="AV133" i="12"/>
  <c r="AV134" i="12"/>
  <c r="T133" i="12"/>
  <c r="R133" i="12"/>
  <c r="R134" i="12"/>
  <c r="BD132" i="12"/>
  <c r="BC132" i="12"/>
  <c r="BB132" i="12"/>
  <c r="BA132" i="12"/>
  <c r="AZ132" i="12"/>
  <c r="AY132" i="12"/>
  <c r="AX132" i="12"/>
  <c r="AW132" i="12"/>
  <c r="AU132" i="12"/>
  <c r="AT132" i="12"/>
  <c r="AS132" i="12"/>
  <c r="AR132" i="12"/>
  <c r="AQ132" i="12"/>
  <c r="AP132" i="12"/>
  <c r="AO132" i="12"/>
  <c r="AN132" i="12"/>
  <c r="AM132" i="12"/>
  <c r="AL132" i="12"/>
  <c r="AK132" i="12"/>
  <c r="AJ132" i="12"/>
  <c r="AI132" i="12"/>
  <c r="AH132" i="12"/>
  <c r="AG132" i="12"/>
  <c r="AF132" i="12"/>
  <c r="AE132" i="12"/>
  <c r="AD132" i="12"/>
  <c r="AC132" i="12"/>
  <c r="BF132" i="12"/>
  <c r="AB132" i="12"/>
  <c r="AA132" i="12"/>
  <c r="Z132" i="12"/>
  <c r="Y132" i="12"/>
  <c r="X132" i="12"/>
  <c r="W132" i="12"/>
  <c r="V132" i="12"/>
  <c r="U132" i="12"/>
  <c r="S132" i="12"/>
  <c r="Q132" i="12"/>
  <c r="P132" i="12"/>
  <c r="O132" i="12"/>
  <c r="N132" i="12"/>
  <c r="M132" i="12"/>
  <c r="L132" i="12"/>
  <c r="K132" i="12"/>
  <c r="J132" i="12"/>
  <c r="I132" i="12"/>
  <c r="H132" i="12"/>
  <c r="G132" i="12"/>
  <c r="F132" i="12"/>
  <c r="E132" i="12"/>
  <c r="D132" i="12"/>
  <c r="C132" i="12"/>
  <c r="BF131" i="12"/>
  <c r="BD131" i="12"/>
  <c r="AV131" i="12"/>
  <c r="AV132" i="12"/>
  <c r="AV135" i="12"/>
  <c r="T131" i="12"/>
  <c r="R131" i="12"/>
  <c r="R132" i="12"/>
  <c r="BC130" i="12"/>
  <c r="BB130" i="12"/>
  <c r="BA130" i="12"/>
  <c r="AZ130" i="12"/>
  <c r="AY130" i="12"/>
  <c r="AX130" i="12"/>
  <c r="AW130" i="12"/>
  <c r="AU130" i="12"/>
  <c r="AT130" i="12"/>
  <c r="AS130" i="12"/>
  <c r="AR130" i="12"/>
  <c r="AQ130" i="12"/>
  <c r="AP130" i="12"/>
  <c r="AO130" i="12"/>
  <c r="AN130" i="12"/>
  <c r="AM130" i="12"/>
  <c r="AL130" i="12"/>
  <c r="AK130" i="12"/>
  <c r="AJ130" i="12"/>
  <c r="AI130" i="12"/>
  <c r="AH130" i="12"/>
  <c r="AG130" i="12"/>
  <c r="AF130" i="12"/>
  <c r="AE130" i="12"/>
  <c r="AD130" i="12"/>
  <c r="AC130" i="12"/>
  <c r="BF130" i="12"/>
  <c r="AB130" i="12"/>
  <c r="AA130" i="12"/>
  <c r="Z130" i="12"/>
  <c r="Y130" i="12"/>
  <c r="X130" i="12"/>
  <c r="W130" i="12"/>
  <c r="V130" i="12"/>
  <c r="U130" i="12"/>
  <c r="S130" i="12"/>
  <c r="Q130" i="12"/>
  <c r="P130" i="12"/>
  <c r="O130" i="12"/>
  <c r="N130" i="12"/>
  <c r="M130" i="12"/>
  <c r="L130" i="12"/>
  <c r="K130" i="12"/>
  <c r="J130" i="12"/>
  <c r="I130" i="12"/>
  <c r="H130" i="12"/>
  <c r="G130" i="12"/>
  <c r="F130" i="12"/>
  <c r="E130" i="12"/>
  <c r="D130" i="12"/>
  <c r="C130" i="12"/>
  <c r="BF129" i="12"/>
  <c r="BD129" i="12"/>
  <c r="BD130" i="12"/>
  <c r="AV129" i="12"/>
  <c r="AV130" i="12"/>
  <c r="T129" i="12"/>
  <c r="R129" i="12"/>
  <c r="R130" i="12"/>
  <c r="BC128" i="12"/>
  <c r="BC135" i="12"/>
  <c r="BB128" i="12"/>
  <c r="BB135" i="12"/>
  <c r="BA128" i="12"/>
  <c r="AZ128" i="12"/>
  <c r="AZ135" i="12"/>
  <c r="AY128" i="12"/>
  <c r="AY135" i="12"/>
  <c r="AX128" i="12"/>
  <c r="AX135" i="12"/>
  <c r="AW128" i="12"/>
  <c r="AW135" i="12"/>
  <c r="AV128" i="12"/>
  <c r="AU128" i="12"/>
  <c r="AU135" i="12"/>
  <c r="AT128" i="12"/>
  <c r="AT135" i="12"/>
  <c r="AS128" i="12"/>
  <c r="AR128" i="12"/>
  <c r="AR135" i="12"/>
  <c r="AQ128" i="12"/>
  <c r="AQ135" i="12"/>
  <c r="AP128" i="12"/>
  <c r="AO128" i="12"/>
  <c r="AO135" i="12"/>
  <c r="AN128" i="12"/>
  <c r="AN135" i="12"/>
  <c r="AM128" i="12"/>
  <c r="AM135" i="12"/>
  <c r="AL128" i="12"/>
  <c r="AL135" i="12"/>
  <c r="AK128" i="12"/>
  <c r="AJ128" i="12"/>
  <c r="AJ135" i="12"/>
  <c r="AI128" i="12"/>
  <c r="AI135" i="12"/>
  <c r="AH128" i="12"/>
  <c r="AH135" i="12"/>
  <c r="AG128" i="12"/>
  <c r="AG135" i="12"/>
  <c r="AF128" i="12"/>
  <c r="AF135" i="12"/>
  <c r="AE128" i="12"/>
  <c r="AE135" i="12"/>
  <c r="AD128" i="12"/>
  <c r="AD135" i="12"/>
  <c r="AC128" i="12"/>
  <c r="AB128" i="12"/>
  <c r="AB135" i="12"/>
  <c r="AA128" i="12"/>
  <c r="AA135" i="12"/>
  <c r="Z128" i="12"/>
  <c r="Z135" i="12"/>
  <c r="Y128" i="12"/>
  <c r="Y135" i="12"/>
  <c r="X128" i="12"/>
  <c r="X135" i="12"/>
  <c r="W128" i="12"/>
  <c r="W135" i="12"/>
  <c r="V128" i="12"/>
  <c r="V135" i="12"/>
  <c r="U128" i="12"/>
  <c r="S128" i="12"/>
  <c r="S135" i="12"/>
  <c r="Q128" i="12"/>
  <c r="Q135" i="12"/>
  <c r="P128" i="12"/>
  <c r="P135" i="12"/>
  <c r="O128" i="12"/>
  <c r="O135" i="12"/>
  <c r="N128" i="12"/>
  <c r="N135" i="12"/>
  <c r="M128" i="12"/>
  <c r="M135" i="12"/>
  <c r="L128" i="12"/>
  <c r="L135" i="12"/>
  <c r="K128" i="12"/>
  <c r="K135" i="12"/>
  <c r="J128" i="12"/>
  <c r="J135" i="12"/>
  <c r="I128" i="12"/>
  <c r="I135" i="12"/>
  <c r="H128" i="12"/>
  <c r="H135" i="12"/>
  <c r="G128" i="12"/>
  <c r="G135" i="12"/>
  <c r="F128" i="12"/>
  <c r="F135" i="12"/>
  <c r="E128" i="12"/>
  <c r="E135" i="12"/>
  <c r="D128" i="12"/>
  <c r="D135" i="12"/>
  <c r="C128" i="12"/>
  <c r="C135" i="12"/>
  <c r="BF127" i="12"/>
  <c r="BD127" i="12"/>
  <c r="AV127" i="12"/>
  <c r="T127" i="12"/>
  <c r="R127" i="12"/>
  <c r="BF126" i="12"/>
  <c r="BD126" i="12"/>
  <c r="AV126" i="12"/>
  <c r="T126" i="12"/>
  <c r="R126" i="12"/>
  <c r="AZ125" i="12"/>
  <c r="AU125" i="12"/>
  <c r="AE125" i="12"/>
  <c r="D125" i="12"/>
  <c r="BC124" i="12"/>
  <c r="BC125" i="12"/>
  <c r="BB124" i="12"/>
  <c r="BB125" i="12"/>
  <c r="BA124" i="12"/>
  <c r="AZ124" i="12"/>
  <c r="AY124" i="12"/>
  <c r="AX124" i="12"/>
  <c r="AX125" i="12"/>
  <c r="AW124" i="12"/>
  <c r="AW125" i="12"/>
  <c r="AU124" i="12"/>
  <c r="AT124" i="12"/>
  <c r="BF124" i="12"/>
  <c r="AS124" i="12"/>
  <c r="AS125" i="12"/>
  <c r="AR124" i="12"/>
  <c r="AR125" i="12"/>
  <c r="AQ124" i="12"/>
  <c r="AP124" i="12"/>
  <c r="AO124" i="12"/>
  <c r="AO125" i="12"/>
  <c r="AN124" i="12"/>
  <c r="AM124" i="12"/>
  <c r="AM125" i="12"/>
  <c r="AL124" i="12"/>
  <c r="AK124" i="12"/>
  <c r="AJ124" i="12"/>
  <c r="AI124" i="12"/>
  <c r="AI125" i="12"/>
  <c r="AH124" i="12"/>
  <c r="AG124" i="12"/>
  <c r="AG125" i="12"/>
  <c r="AF124" i="12"/>
  <c r="AE124" i="12"/>
  <c r="AD124" i="12"/>
  <c r="AD125" i="12"/>
  <c r="AC124" i="12"/>
  <c r="AB124" i="12"/>
  <c r="AB125" i="12"/>
  <c r="AA124" i="12"/>
  <c r="AA125" i="12"/>
  <c r="Z124" i="12"/>
  <c r="Y124" i="12"/>
  <c r="Y125" i="12"/>
  <c r="X124" i="12"/>
  <c r="X125" i="12"/>
  <c r="W124" i="12"/>
  <c r="W125" i="12"/>
  <c r="V124" i="12"/>
  <c r="U124" i="12"/>
  <c r="S124" i="12"/>
  <c r="S125" i="12"/>
  <c r="Q124" i="12"/>
  <c r="Q125" i="12"/>
  <c r="O124" i="12"/>
  <c r="O125" i="12"/>
  <c r="N124" i="12"/>
  <c r="M124" i="12"/>
  <c r="L124" i="12"/>
  <c r="L125" i="12"/>
  <c r="K124" i="12"/>
  <c r="K125" i="12"/>
  <c r="J124" i="12"/>
  <c r="J125" i="12"/>
  <c r="I124" i="12"/>
  <c r="I125" i="12"/>
  <c r="H124" i="12"/>
  <c r="G124" i="12"/>
  <c r="G125" i="12"/>
  <c r="F124" i="12"/>
  <c r="E124" i="12"/>
  <c r="E125" i="12"/>
  <c r="D124" i="12"/>
  <c r="C124" i="12"/>
  <c r="C125" i="12"/>
  <c r="BF123" i="12"/>
  <c r="BD123" i="12"/>
  <c r="BD124" i="12"/>
  <c r="AV123" i="12"/>
  <c r="AV124" i="12"/>
  <c r="T123" i="12"/>
  <c r="R123" i="12"/>
  <c r="R124" i="12"/>
  <c r="BC122" i="12"/>
  <c r="BB122" i="12"/>
  <c r="BA122" i="12"/>
  <c r="BA125" i="12"/>
  <c r="AZ122" i="12"/>
  <c r="AY122" i="12"/>
  <c r="AX122" i="12"/>
  <c r="AW122" i="12"/>
  <c r="AU122" i="12"/>
  <c r="AT122" i="12"/>
  <c r="AS122" i="12"/>
  <c r="AR122" i="12"/>
  <c r="AQ122" i="12"/>
  <c r="AQ125" i="12"/>
  <c r="AP122" i="12"/>
  <c r="AO122" i="12"/>
  <c r="AN122" i="12"/>
  <c r="AN125" i="12"/>
  <c r="AM122" i="12"/>
  <c r="AL122" i="12"/>
  <c r="AK122" i="12"/>
  <c r="AK125" i="12"/>
  <c r="AJ122" i="12"/>
  <c r="AJ125" i="12"/>
  <c r="AI122" i="12"/>
  <c r="AH122" i="12"/>
  <c r="AG122" i="12"/>
  <c r="AF122" i="12"/>
  <c r="AF125" i="12"/>
  <c r="AE122" i="12"/>
  <c r="AD122" i="12"/>
  <c r="AC122" i="12"/>
  <c r="AB122" i="12"/>
  <c r="AA122" i="12"/>
  <c r="Z122" i="12"/>
  <c r="Z125" i="12"/>
  <c r="Y122" i="12"/>
  <c r="X122" i="12"/>
  <c r="W122" i="12"/>
  <c r="V122" i="12"/>
  <c r="U122" i="12"/>
  <c r="U125" i="12"/>
  <c r="S122" i="12"/>
  <c r="Q122" i="12"/>
  <c r="P122" i="12"/>
  <c r="O122" i="12"/>
  <c r="N122" i="12"/>
  <c r="M122" i="12"/>
  <c r="M125" i="12"/>
  <c r="L122" i="12"/>
  <c r="K122" i="12"/>
  <c r="J122" i="12"/>
  <c r="I122" i="12"/>
  <c r="H122" i="12"/>
  <c r="H125" i="12"/>
  <c r="G122" i="12"/>
  <c r="F122" i="12"/>
  <c r="E122" i="12"/>
  <c r="D122" i="12"/>
  <c r="C122" i="12"/>
  <c r="BF121" i="12"/>
  <c r="BD121" i="12"/>
  <c r="BE121" i="12"/>
  <c r="BG121" i="12"/>
  <c r="AV121" i="12"/>
  <c r="T121" i="12"/>
  <c r="R121" i="12"/>
  <c r="BF120" i="12"/>
  <c r="BD120" i="12"/>
  <c r="AV120" i="12"/>
  <c r="T120" i="12"/>
  <c r="R120" i="12"/>
  <c r="BF119" i="12"/>
  <c r="BD119" i="12"/>
  <c r="AV119" i="12"/>
  <c r="T119" i="12"/>
  <c r="R119" i="12"/>
  <c r="BF118" i="12"/>
  <c r="BD118" i="12"/>
  <c r="AV118" i="12"/>
  <c r="T118" i="12"/>
  <c r="R118" i="12"/>
  <c r="BG117" i="12"/>
  <c r="BF117" i="12"/>
  <c r="BE117" i="12"/>
  <c r="BD117" i="12"/>
  <c r="AV117" i="12"/>
  <c r="T117" i="12"/>
  <c r="R117" i="12"/>
  <c r="BF116" i="12"/>
  <c r="BD116" i="12"/>
  <c r="AV116" i="12"/>
  <c r="T116" i="12"/>
  <c r="R116" i="12"/>
  <c r="BF115" i="12"/>
  <c r="BD115" i="12"/>
  <c r="BE115" i="12"/>
  <c r="BG115" i="12"/>
  <c r="AV115" i="12"/>
  <c r="T115" i="12"/>
  <c r="R115" i="12"/>
  <c r="BF114" i="12"/>
  <c r="BD114" i="12"/>
  <c r="AV114" i="12"/>
  <c r="AV122" i="12"/>
  <c r="T114" i="12"/>
  <c r="R114" i="12"/>
  <c r="AK113" i="12"/>
  <c r="E113" i="12"/>
  <c r="BC112" i="12"/>
  <c r="BB112" i="12"/>
  <c r="BB113" i="12"/>
  <c r="BA112" i="12"/>
  <c r="BA113" i="12"/>
  <c r="AZ112" i="12"/>
  <c r="AY112" i="12"/>
  <c r="AY113" i="12"/>
  <c r="AX112" i="12"/>
  <c r="AW112" i="12"/>
  <c r="AW113" i="12"/>
  <c r="AU112" i="12"/>
  <c r="AT112" i="12"/>
  <c r="AS112" i="12"/>
  <c r="AR112" i="12"/>
  <c r="AQ112" i="12"/>
  <c r="AP112" i="12"/>
  <c r="AO112" i="12"/>
  <c r="AN112" i="12"/>
  <c r="AM112" i="12"/>
  <c r="AM113" i="12"/>
  <c r="AL112" i="12"/>
  <c r="AK112" i="12"/>
  <c r="AJ112" i="12"/>
  <c r="AJ113" i="12"/>
  <c r="AI112" i="12"/>
  <c r="AH112" i="12"/>
  <c r="AG112" i="12"/>
  <c r="AF112" i="12"/>
  <c r="AE112" i="12"/>
  <c r="AE113" i="12"/>
  <c r="AD112" i="12"/>
  <c r="AC112" i="12"/>
  <c r="BF112" i="12"/>
  <c r="AB112" i="12"/>
  <c r="AB113" i="12"/>
  <c r="AA112" i="12"/>
  <c r="AA113" i="12"/>
  <c r="Z112" i="12"/>
  <c r="Y112" i="12"/>
  <c r="X112" i="12"/>
  <c r="W112" i="12"/>
  <c r="W113" i="12"/>
  <c r="V112" i="12"/>
  <c r="V113" i="12"/>
  <c r="U112" i="12"/>
  <c r="U113" i="12"/>
  <c r="S112" i="12"/>
  <c r="Q112" i="12"/>
  <c r="Q113" i="12"/>
  <c r="P112" i="12"/>
  <c r="O112" i="12"/>
  <c r="O113" i="12"/>
  <c r="N112" i="12"/>
  <c r="M112" i="12"/>
  <c r="M113" i="12"/>
  <c r="L112" i="12"/>
  <c r="L113" i="12"/>
  <c r="K112" i="12"/>
  <c r="J112" i="12"/>
  <c r="I112" i="12"/>
  <c r="I113" i="12"/>
  <c r="H112" i="12"/>
  <c r="G112" i="12"/>
  <c r="G113" i="12"/>
  <c r="F112" i="12"/>
  <c r="E112" i="12"/>
  <c r="D112" i="12"/>
  <c r="D113" i="12"/>
  <c r="C112" i="12"/>
  <c r="C113" i="12"/>
  <c r="BF111" i="12"/>
  <c r="BE111" i="12"/>
  <c r="BG111" i="12"/>
  <c r="BD111" i="12"/>
  <c r="AV111" i="12"/>
  <c r="T111" i="12"/>
  <c r="R111" i="12"/>
  <c r="BF110" i="12"/>
  <c r="BD110" i="12"/>
  <c r="BE110" i="12"/>
  <c r="AV110" i="12"/>
  <c r="T110" i="12"/>
  <c r="R110" i="12"/>
  <c r="BF109" i="12"/>
  <c r="BD109" i="12"/>
  <c r="AV109" i="12"/>
  <c r="T109" i="12"/>
  <c r="R109" i="12"/>
  <c r="BF108" i="12"/>
  <c r="BD108" i="12"/>
  <c r="AV108" i="12"/>
  <c r="BE108" i="12"/>
  <c r="BG108" i="12"/>
  <c r="T108" i="12"/>
  <c r="R108" i="12"/>
  <c r="BF107" i="12"/>
  <c r="BD107" i="12"/>
  <c r="AV107" i="12"/>
  <c r="T107" i="12"/>
  <c r="R107" i="12"/>
  <c r="BF106" i="12"/>
  <c r="BD106" i="12"/>
  <c r="AV106" i="12"/>
  <c r="T106" i="12"/>
  <c r="R106" i="12"/>
  <c r="R112" i="12"/>
  <c r="BF105" i="12"/>
  <c r="BD105" i="12"/>
  <c r="BE105" i="12"/>
  <c r="BG105" i="12"/>
  <c r="AV105" i="12"/>
  <c r="T105" i="12"/>
  <c r="R105" i="12"/>
  <c r="BF104" i="12"/>
  <c r="BD104" i="12"/>
  <c r="AV104" i="12"/>
  <c r="BE104" i="12"/>
  <c r="BG104" i="12"/>
  <c r="T104" i="12"/>
  <c r="R104" i="12"/>
  <c r="BC103" i="12"/>
  <c r="BB103" i="12"/>
  <c r="BA103" i="12"/>
  <c r="AZ103" i="12"/>
  <c r="AZ113" i="12"/>
  <c r="AY103" i="12"/>
  <c r="AX103" i="12"/>
  <c r="AW103" i="12"/>
  <c r="AU103" i="12"/>
  <c r="AT103" i="12"/>
  <c r="BF103" i="12"/>
  <c r="AS103" i="12"/>
  <c r="AR103" i="12"/>
  <c r="AR113" i="12"/>
  <c r="AQ103" i="12"/>
  <c r="AP103" i="12"/>
  <c r="AO103" i="12"/>
  <c r="AN103" i="12"/>
  <c r="AM103" i="12"/>
  <c r="AL103" i="12"/>
  <c r="AL113" i="12"/>
  <c r="AK103" i="12"/>
  <c r="AJ103" i="12"/>
  <c r="AI103" i="12"/>
  <c r="AH103" i="12"/>
  <c r="AG103" i="12"/>
  <c r="AF103" i="12"/>
  <c r="AF113" i="12"/>
  <c r="AE103" i="12"/>
  <c r="AD103" i="12"/>
  <c r="AC103" i="12"/>
  <c r="AC113" i="12"/>
  <c r="AB103" i="12"/>
  <c r="AA103" i="12"/>
  <c r="Z103" i="12"/>
  <c r="Y103" i="12"/>
  <c r="X103" i="12"/>
  <c r="X113" i="12"/>
  <c r="W103" i="12"/>
  <c r="V103" i="12"/>
  <c r="U103" i="12"/>
  <c r="S103" i="12"/>
  <c r="Q103" i="12"/>
  <c r="P103" i="12"/>
  <c r="O103" i="12"/>
  <c r="N103" i="12"/>
  <c r="M103" i="12"/>
  <c r="L103" i="12"/>
  <c r="K103" i="12"/>
  <c r="J103" i="12"/>
  <c r="I103" i="12"/>
  <c r="H103" i="12"/>
  <c r="G103" i="12"/>
  <c r="F103" i="12"/>
  <c r="E103" i="12"/>
  <c r="D103" i="12"/>
  <c r="C103" i="12"/>
  <c r="BF102" i="12"/>
  <c r="BD102" i="12"/>
  <c r="BE102" i="12"/>
  <c r="BG102" i="12"/>
  <c r="AV102" i="12"/>
  <c r="T102" i="12"/>
  <c r="R102" i="12"/>
  <c r="BF101" i="12"/>
  <c r="BD101" i="12"/>
  <c r="BD103" i="12"/>
  <c r="AV101" i="12"/>
  <c r="AV103" i="12"/>
  <c r="T101" i="12"/>
  <c r="T103" i="12"/>
  <c r="R101" i="12"/>
  <c r="R103" i="12"/>
  <c r="BC100" i="12"/>
  <c r="BB100" i="12"/>
  <c r="BA100" i="12"/>
  <c r="AZ100" i="12"/>
  <c r="AY100" i="12"/>
  <c r="AX100" i="12"/>
  <c r="AW100" i="12"/>
  <c r="AU100" i="12"/>
  <c r="AT100" i="12"/>
  <c r="AS100" i="12"/>
  <c r="AR100" i="12"/>
  <c r="AQ100" i="12"/>
  <c r="AP100" i="12"/>
  <c r="AO100" i="12"/>
  <c r="AN100" i="12"/>
  <c r="AM100" i="12"/>
  <c r="AL100" i="12"/>
  <c r="AK100" i="12"/>
  <c r="AJ100" i="12"/>
  <c r="AI100" i="12"/>
  <c r="AH100" i="12"/>
  <c r="AG100" i="12"/>
  <c r="AF100" i="12"/>
  <c r="AE100" i="12"/>
  <c r="AD100" i="12"/>
  <c r="AC100" i="12"/>
  <c r="BF100" i="12"/>
  <c r="AB100" i="12"/>
  <c r="AA100" i="12"/>
  <c r="Z100" i="12"/>
  <c r="Y100" i="12"/>
  <c r="X100" i="12"/>
  <c r="W100" i="12"/>
  <c r="V100" i="12"/>
  <c r="U100" i="12"/>
  <c r="S100" i="12"/>
  <c r="Q100" i="12"/>
  <c r="P100" i="12"/>
  <c r="O100" i="12"/>
  <c r="N100" i="12"/>
  <c r="M100" i="12"/>
  <c r="L100" i="12"/>
  <c r="K100" i="12"/>
  <c r="K113" i="12"/>
  <c r="J100" i="12"/>
  <c r="I100" i="12"/>
  <c r="H100" i="12"/>
  <c r="G100" i="12"/>
  <c r="F100" i="12"/>
  <c r="E100" i="12"/>
  <c r="D100" i="12"/>
  <c r="C100" i="12"/>
  <c r="BF99" i="12"/>
  <c r="BE99" i="12"/>
  <c r="BG99" i="12"/>
  <c r="BD99" i="12"/>
  <c r="AV99" i="12"/>
  <c r="T99" i="12"/>
  <c r="R99" i="12"/>
  <c r="BF98" i="12"/>
  <c r="BD98" i="12"/>
  <c r="BE98" i="12"/>
  <c r="AV98" i="12"/>
  <c r="T98" i="12"/>
  <c r="R98" i="12"/>
  <c r="BF97" i="12"/>
  <c r="BD97" i="12"/>
  <c r="BD100" i="12"/>
  <c r="AV97" i="12"/>
  <c r="AV100" i="12"/>
  <c r="T97" i="12"/>
  <c r="R97" i="12"/>
  <c r="BF96" i="12"/>
  <c r="BD96" i="12"/>
  <c r="BE96" i="12"/>
  <c r="BG96" i="12"/>
  <c r="AV96" i="12"/>
  <c r="T96" i="12"/>
  <c r="T100" i="12"/>
  <c r="R96" i="12"/>
  <c r="BF95" i="12"/>
  <c r="BD95" i="12"/>
  <c r="AV95" i="12"/>
  <c r="T95" i="12"/>
  <c r="R95" i="12"/>
  <c r="BF94" i="12"/>
  <c r="BD94" i="12"/>
  <c r="BE94" i="12"/>
  <c r="BG94" i="12"/>
  <c r="AV94" i="12"/>
  <c r="T94" i="12"/>
  <c r="R94" i="12"/>
  <c r="BC93" i="12"/>
  <c r="BB93" i="12"/>
  <c r="BA93" i="12"/>
  <c r="AZ93" i="12"/>
  <c r="AY93" i="12"/>
  <c r="AX93" i="12"/>
  <c r="AX113" i="12"/>
  <c r="AW93" i="12"/>
  <c r="AU93" i="12"/>
  <c r="AT93" i="12"/>
  <c r="AT113" i="12"/>
  <c r="AS93" i="12"/>
  <c r="AS113" i="12"/>
  <c r="AR93" i="12"/>
  <c r="AQ93" i="12"/>
  <c r="AP93" i="12"/>
  <c r="AP113" i="12"/>
  <c r="AO93" i="12"/>
  <c r="AN93" i="12"/>
  <c r="AM93" i="12"/>
  <c r="AL93" i="12"/>
  <c r="AK93" i="12"/>
  <c r="AJ93" i="12"/>
  <c r="AI93" i="12"/>
  <c r="AH93" i="12"/>
  <c r="AH113" i="12"/>
  <c r="AG93" i="12"/>
  <c r="AF93" i="12"/>
  <c r="AE93" i="12"/>
  <c r="AD93" i="12"/>
  <c r="AC93" i="12"/>
  <c r="AB93" i="12"/>
  <c r="AA93" i="12"/>
  <c r="Z93" i="12"/>
  <c r="Z113" i="12"/>
  <c r="Y93" i="12"/>
  <c r="X93" i="12"/>
  <c r="W93" i="12"/>
  <c r="V93" i="12"/>
  <c r="U93" i="12"/>
  <c r="S93" i="12"/>
  <c r="Q93" i="12"/>
  <c r="P93" i="12"/>
  <c r="P113" i="12"/>
  <c r="O93" i="12"/>
  <c r="N93" i="12"/>
  <c r="M93" i="12"/>
  <c r="L93" i="12"/>
  <c r="K93" i="12"/>
  <c r="J93" i="12"/>
  <c r="J113" i="12"/>
  <c r="I93" i="12"/>
  <c r="H93" i="12"/>
  <c r="G93" i="12"/>
  <c r="F93" i="12"/>
  <c r="E93" i="12"/>
  <c r="D93" i="12"/>
  <c r="C93" i="12"/>
  <c r="BF92" i="12"/>
  <c r="BD92" i="12"/>
  <c r="BE92" i="12"/>
  <c r="BG92" i="12"/>
  <c r="AV92" i="12"/>
  <c r="T92" i="12"/>
  <c r="R92" i="12"/>
  <c r="BF91" i="12"/>
  <c r="BE91" i="12"/>
  <c r="BG91" i="12"/>
  <c r="BD91" i="12"/>
  <c r="AV91" i="12"/>
  <c r="T91" i="12"/>
  <c r="R91" i="12"/>
  <c r="BF90" i="12"/>
  <c r="BD90" i="12"/>
  <c r="AV90" i="12"/>
  <c r="BE90" i="12"/>
  <c r="BG90" i="12"/>
  <c r="T90" i="12"/>
  <c r="R90" i="12"/>
  <c r="BF89" i="12"/>
  <c r="BD89" i="12"/>
  <c r="BD93" i="12"/>
  <c r="AV89" i="12"/>
  <c r="BE89" i="12"/>
  <c r="T89" i="12"/>
  <c r="T93" i="12"/>
  <c r="R89" i="12"/>
  <c r="R93" i="12"/>
  <c r="BC87" i="12"/>
  <c r="BB87" i="12"/>
  <c r="BA87" i="12"/>
  <c r="AZ87" i="12"/>
  <c r="AY87" i="12"/>
  <c r="AX87" i="12"/>
  <c r="AW87" i="12"/>
  <c r="AU87" i="12"/>
  <c r="AT87" i="12"/>
  <c r="BF87" i="12"/>
  <c r="AS87" i="12"/>
  <c r="AR87" i="12"/>
  <c r="AQ87" i="12"/>
  <c r="AP87" i="12"/>
  <c r="AO87" i="12"/>
  <c r="AN87" i="12"/>
  <c r="AM87" i="12"/>
  <c r="AL87" i="12"/>
  <c r="AK87" i="12"/>
  <c r="AJ87" i="12"/>
  <c r="AI87" i="12"/>
  <c r="AH87" i="12"/>
  <c r="AG87" i="12"/>
  <c r="AF87" i="12"/>
  <c r="AE87" i="12"/>
  <c r="AD87" i="12"/>
  <c r="AC87" i="12"/>
  <c r="AB87" i="12"/>
  <c r="AA87" i="12"/>
  <c r="Z87" i="12"/>
  <c r="Y87" i="12"/>
  <c r="X87" i="12"/>
  <c r="W87" i="12"/>
  <c r="V87" i="12"/>
  <c r="U87" i="12"/>
  <c r="S87" i="12"/>
  <c r="Q87" i="12"/>
  <c r="P87" i="12"/>
  <c r="O87" i="12"/>
  <c r="N87" i="12"/>
  <c r="M87" i="12"/>
  <c r="L87" i="12"/>
  <c r="K87" i="12"/>
  <c r="J87" i="12"/>
  <c r="I87" i="12"/>
  <c r="H87" i="12"/>
  <c r="G87" i="12"/>
  <c r="F87" i="12"/>
  <c r="E87" i="12"/>
  <c r="D87" i="12"/>
  <c r="C87" i="12"/>
  <c r="BF86" i="12"/>
  <c r="BD86" i="12"/>
  <c r="BE86" i="12"/>
  <c r="BG86" i="12"/>
  <c r="AV86" i="12"/>
  <c r="T86" i="12"/>
  <c r="R86" i="12"/>
  <c r="BF85" i="12"/>
  <c r="BD85" i="12"/>
  <c r="AV85" i="12"/>
  <c r="BE85" i="12"/>
  <c r="T85" i="12"/>
  <c r="R85" i="12"/>
  <c r="BF84" i="12"/>
  <c r="BD84" i="12"/>
  <c r="AV84" i="12"/>
  <c r="AV87" i="12"/>
  <c r="T84" i="12"/>
  <c r="T87" i="12"/>
  <c r="R84" i="12"/>
  <c r="R87" i="12"/>
  <c r="BC83" i="12"/>
  <c r="BB83" i="12"/>
  <c r="BA83" i="12"/>
  <c r="BA88" i="12"/>
  <c r="AZ83" i="12"/>
  <c r="AY83" i="12"/>
  <c r="AX83" i="12"/>
  <c r="AW83" i="12"/>
  <c r="AU83" i="12"/>
  <c r="AT83" i="12"/>
  <c r="AS83" i="12"/>
  <c r="AS88" i="12"/>
  <c r="AR83" i="12"/>
  <c r="AQ83" i="12"/>
  <c r="AP83" i="12"/>
  <c r="AO83" i="12"/>
  <c r="AN83" i="12"/>
  <c r="AM83" i="12"/>
  <c r="AL83" i="12"/>
  <c r="AK83" i="12"/>
  <c r="AJ83" i="12"/>
  <c r="AI83" i="12"/>
  <c r="AH83" i="12"/>
  <c r="AG83" i="12"/>
  <c r="AF83" i="12"/>
  <c r="AE83" i="12"/>
  <c r="AD83" i="12"/>
  <c r="AC83" i="12"/>
  <c r="BF83" i="12"/>
  <c r="AB83" i="12"/>
  <c r="AA83" i="12"/>
  <c r="Z83" i="12"/>
  <c r="Y83" i="12"/>
  <c r="X83" i="12"/>
  <c r="W83" i="12"/>
  <c r="V83" i="12"/>
  <c r="U83" i="12"/>
  <c r="S83" i="12"/>
  <c r="Q83" i="12"/>
  <c r="P83" i="12"/>
  <c r="O83" i="12"/>
  <c r="N83" i="12"/>
  <c r="M83" i="12"/>
  <c r="L83" i="12"/>
  <c r="K83" i="12"/>
  <c r="BF82" i="12"/>
  <c r="BD82" i="12"/>
  <c r="AV82" i="12"/>
  <c r="AV83" i="12"/>
  <c r="T82" i="12"/>
  <c r="T83" i="12"/>
  <c r="BF81" i="12"/>
  <c r="BC81" i="12"/>
  <c r="BB81" i="12"/>
  <c r="BA81" i="12"/>
  <c r="AZ81" i="12"/>
  <c r="AY81" i="12"/>
  <c r="AX81" i="12"/>
  <c r="AW81" i="12"/>
  <c r="AU81" i="12"/>
  <c r="AU88" i="12"/>
  <c r="AT81" i="12"/>
  <c r="AS81" i="12"/>
  <c r="AR81" i="12"/>
  <c r="AQ81" i="12"/>
  <c r="AP81" i="12"/>
  <c r="AO81" i="12"/>
  <c r="AN81" i="12"/>
  <c r="AM81" i="12"/>
  <c r="AL81" i="12"/>
  <c r="AK81" i="12"/>
  <c r="AJ81" i="12"/>
  <c r="AI81" i="12"/>
  <c r="AH81" i="12"/>
  <c r="AG81" i="12"/>
  <c r="AF81" i="12"/>
  <c r="AE81" i="12"/>
  <c r="AD81" i="12"/>
  <c r="AC81" i="12"/>
  <c r="AB81" i="12"/>
  <c r="AA81" i="12"/>
  <c r="Z81" i="12"/>
  <c r="Y81" i="12"/>
  <c r="X81" i="12"/>
  <c r="W81" i="12"/>
  <c r="V81" i="12"/>
  <c r="U81" i="12"/>
  <c r="S81" i="12"/>
  <c r="Q81" i="12"/>
  <c r="P81" i="12"/>
  <c r="O81" i="12"/>
  <c r="N81" i="12"/>
  <c r="M81" i="12"/>
  <c r="L81" i="12"/>
  <c r="K81" i="12"/>
  <c r="J81" i="12"/>
  <c r="I81" i="12"/>
  <c r="H81" i="12"/>
  <c r="G81" i="12"/>
  <c r="F81" i="12"/>
  <c r="E81" i="12"/>
  <c r="D81" i="12"/>
  <c r="C81" i="12"/>
  <c r="C82" i="12" s="1"/>
  <c r="R82" i="12" s="1"/>
  <c r="BF80" i="12"/>
  <c r="BD80" i="12"/>
  <c r="AV80" i="12"/>
  <c r="T80" i="12"/>
  <c r="R80" i="12"/>
  <c r="BF79" i="12"/>
  <c r="BD79" i="12"/>
  <c r="AV79" i="12"/>
  <c r="T79" i="12"/>
  <c r="R79" i="12"/>
  <c r="C109" i="13" s="1"/>
  <c r="BF78" i="12"/>
  <c r="BD78" i="12"/>
  <c r="AV78" i="12"/>
  <c r="T78" i="12"/>
  <c r="R78" i="12"/>
  <c r="BE78" i="12"/>
  <c r="BG78" i="12"/>
  <c r="BF77" i="12"/>
  <c r="BD77" i="12"/>
  <c r="AV77" i="12"/>
  <c r="T77" i="12"/>
  <c r="R77" i="12"/>
  <c r="BF76" i="12"/>
  <c r="BD76" i="12"/>
  <c r="AV76" i="12"/>
  <c r="T76" i="12"/>
  <c r="R76" i="12"/>
  <c r="BF75" i="12"/>
  <c r="BD75" i="12"/>
  <c r="AV75" i="12"/>
  <c r="T75" i="12"/>
  <c r="R75" i="12"/>
  <c r="BF74" i="12"/>
  <c r="BD74" i="12"/>
  <c r="AV74" i="12"/>
  <c r="BE74" i="12"/>
  <c r="T74" i="12"/>
  <c r="BG74" i="12"/>
  <c r="R74" i="12"/>
  <c r="BF73" i="12"/>
  <c r="BD73" i="12"/>
  <c r="AV73" i="12"/>
  <c r="T73" i="12"/>
  <c r="R73" i="12"/>
  <c r="BC72" i="12"/>
  <c r="BB72" i="12"/>
  <c r="BA72" i="12"/>
  <c r="AZ72" i="12"/>
  <c r="AY72" i="12"/>
  <c r="AX72" i="12"/>
  <c r="AW72" i="12"/>
  <c r="AU72" i="12"/>
  <c r="AT72" i="12"/>
  <c r="AS72" i="12"/>
  <c r="AR72" i="12"/>
  <c r="AQ72" i="12"/>
  <c r="AP72" i="12"/>
  <c r="AO72" i="12"/>
  <c r="AO88" i="12"/>
  <c r="AN72" i="12"/>
  <c r="AM72" i="12"/>
  <c r="AL72" i="12"/>
  <c r="AK72" i="12"/>
  <c r="AJ72" i="12"/>
  <c r="AI72" i="12"/>
  <c r="AH72" i="12"/>
  <c r="AG72" i="12"/>
  <c r="AF72" i="12"/>
  <c r="AE72" i="12"/>
  <c r="AD72" i="12"/>
  <c r="AC72" i="12"/>
  <c r="AB72" i="12"/>
  <c r="AA72" i="12"/>
  <c r="Z72" i="12"/>
  <c r="Y72" i="12"/>
  <c r="X72" i="12"/>
  <c r="W72" i="12"/>
  <c r="V72" i="12"/>
  <c r="U72" i="12"/>
  <c r="S72" i="12"/>
  <c r="Q72" i="12"/>
  <c r="P72" i="12"/>
  <c r="O72" i="12"/>
  <c r="N72" i="12"/>
  <c r="M72" i="12"/>
  <c r="L72" i="12"/>
  <c r="J72" i="12"/>
  <c r="I72" i="12"/>
  <c r="H72" i="12"/>
  <c r="G72" i="12"/>
  <c r="F72" i="12"/>
  <c r="E72" i="12"/>
  <c r="D72" i="12"/>
  <c r="C72" i="12"/>
  <c r="BF71" i="12"/>
  <c r="BD71" i="12"/>
  <c r="BE71" i="12"/>
  <c r="BG71" i="12"/>
  <c r="AV71" i="12"/>
  <c r="T71" i="12"/>
  <c r="R71" i="12"/>
  <c r="BF70" i="12"/>
  <c r="BD70" i="12"/>
  <c r="AV70" i="12"/>
  <c r="T70" i="12"/>
  <c r="R70" i="12"/>
  <c r="BF69" i="12"/>
  <c r="BD69" i="12"/>
  <c r="AV69" i="12"/>
  <c r="AV72" i="12"/>
  <c r="T69" i="12"/>
  <c r="K69" i="12"/>
  <c r="K72" i="12"/>
  <c r="BC68" i="12"/>
  <c r="BB68" i="12"/>
  <c r="BA68" i="12"/>
  <c r="AZ68" i="12"/>
  <c r="AZ88" i="12"/>
  <c r="AY68" i="12"/>
  <c r="AX68" i="12"/>
  <c r="AW68" i="12"/>
  <c r="AU68" i="12"/>
  <c r="AT68" i="12"/>
  <c r="AS68" i="12"/>
  <c r="AR68" i="12"/>
  <c r="AQ68" i="12"/>
  <c r="AP68" i="12"/>
  <c r="AO68" i="12"/>
  <c r="AN68" i="12"/>
  <c r="AM68" i="12"/>
  <c r="AL68" i="12"/>
  <c r="AK68" i="12"/>
  <c r="AJ68" i="12"/>
  <c r="AI68" i="12"/>
  <c r="AH68" i="12"/>
  <c r="AG68" i="12"/>
  <c r="AF68" i="12"/>
  <c r="AE68" i="12"/>
  <c r="AD68" i="12"/>
  <c r="AC68" i="12"/>
  <c r="BF68" i="12"/>
  <c r="AB68" i="12"/>
  <c r="AA68" i="12"/>
  <c r="Z68" i="12"/>
  <c r="Y68" i="12"/>
  <c r="X68" i="12"/>
  <c r="W68" i="12"/>
  <c r="V68" i="12"/>
  <c r="U68" i="12"/>
  <c r="S68" i="12"/>
  <c r="Q68" i="12"/>
  <c r="P68" i="12"/>
  <c r="O68" i="12"/>
  <c r="N68" i="12"/>
  <c r="M68" i="12"/>
  <c r="L68" i="12"/>
  <c r="K68" i="12"/>
  <c r="J68" i="12"/>
  <c r="I68" i="12"/>
  <c r="H68" i="12"/>
  <c r="G68" i="12"/>
  <c r="F68" i="12"/>
  <c r="E68" i="12"/>
  <c r="D68" i="12"/>
  <c r="C68" i="12"/>
  <c r="BF67" i="12"/>
  <c r="BD67" i="12"/>
  <c r="BD68" i="12" s="1"/>
  <c r="BD88" i="12" s="1"/>
  <c r="AV67" i="12"/>
  <c r="H83" i="5" s="1"/>
  <c r="H81" i="5" s="1"/>
  <c r="AV68" i="12"/>
  <c r="T67" i="12"/>
  <c r="F83" i="4" s="1"/>
  <c r="F81" i="4" s="1"/>
  <c r="R67" i="12"/>
  <c r="R68" i="12" s="1"/>
  <c r="BC66" i="12"/>
  <c r="BB66" i="12"/>
  <c r="BA66" i="12"/>
  <c r="AZ66" i="12"/>
  <c r="AY66" i="12"/>
  <c r="AX66" i="12"/>
  <c r="AW66" i="12"/>
  <c r="AU66" i="12"/>
  <c r="AT66" i="12"/>
  <c r="AS66" i="12"/>
  <c r="AR66" i="12"/>
  <c r="AQ66" i="12"/>
  <c r="AP66" i="12"/>
  <c r="AO66" i="12"/>
  <c r="AN66" i="12"/>
  <c r="AM66" i="12"/>
  <c r="AL66" i="12"/>
  <c r="AK66" i="12"/>
  <c r="AJ66" i="12"/>
  <c r="AI66" i="12"/>
  <c r="AH66" i="12"/>
  <c r="AG66" i="12"/>
  <c r="AF66" i="12"/>
  <c r="AD66" i="12"/>
  <c r="AC66" i="12"/>
  <c r="BF66" i="12"/>
  <c r="AB66" i="12"/>
  <c r="AA66" i="12"/>
  <c r="Z66" i="12"/>
  <c r="Y66" i="12"/>
  <c r="X66" i="12"/>
  <c r="W66" i="12"/>
  <c r="V66" i="12"/>
  <c r="U66" i="12"/>
  <c r="S66" i="12"/>
  <c r="Q66" i="12"/>
  <c r="P66" i="12"/>
  <c r="O66" i="12"/>
  <c r="N66" i="12"/>
  <c r="M66" i="12"/>
  <c r="L66" i="12"/>
  <c r="K66" i="12"/>
  <c r="J66" i="12"/>
  <c r="I66" i="12"/>
  <c r="H66" i="12"/>
  <c r="G66" i="12"/>
  <c r="F66" i="12"/>
  <c r="E66" i="12"/>
  <c r="D66" i="12"/>
  <c r="C66" i="12"/>
  <c r="BF65" i="12"/>
  <c r="BG65" i="12"/>
  <c r="BD65" i="12"/>
  <c r="AV65" i="12"/>
  <c r="T65" i="12"/>
  <c r="BE65" i="12"/>
  <c r="R65" i="12"/>
  <c r="BF64" i="12"/>
  <c r="BD64" i="12"/>
  <c r="BE64" i="12"/>
  <c r="BG64" i="12"/>
  <c r="AV64" i="12"/>
  <c r="T64" i="12"/>
  <c r="R64" i="12"/>
  <c r="BF63" i="12"/>
  <c r="BD63" i="12"/>
  <c r="AE63" i="12"/>
  <c r="AV63" i="12" s="1"/>
  <c r="T63" i="12"/>
  <c r="R63" i="12"/>
  <c r="BF62" i="12"/>
  <c r="BD62" i="12"/>
  <c r="BD66" i="12"/>
  <c r="AE62" i="12"/>
  <c r="T62" i="12"/>
  <c r="R62" i="12"/>
  <c r="R66" i="12"/>
  <c r="BC61" i="12"/>
  <c r="BB61" i="12"/>
  <c r="BA61" i="12"/>
  <c r="AZ61" i="12"/>
  <c r="AY61" i="12"/>
  <c r="AY88" i="12"/>
  <c r="AX61" i="12"/>
  <c r="AW61" i="12"/>
  <c r="AU61" i="12"/>
  <c r="AT61" i="12"/>
  <c r="AS61" i="12"/>
  <c r="AR61" i="12"/>
  <c r="AR88" i="12" s="1"/>
  <c r="AQ61" i="12"/>
  <c r="AQ88" i="12" s="1"/>
  <c r="AP61" i="12"/>
  <c r="AO61" i="12"/>
  <c r="AN61" i="12"/>
  <c r="AM61" i="12"/>
  <c r="AL61" i="12"/>
  <c r="AL88" i="12" s="1"/>
  <c r="AK61" i="12"/>
  <c r="AK88" i="12" s="1"/>
  <c r="AJ61" i="12"/>
  <c r="AJ88" i="12" s="1"/>
  <c r="AI61" i="12"/>
  <c r="AI88" i="12" s="1"/>
  <c r="AH61" i="12"/>
  <c r="AG61" i="12"/>
  <c r="AF61" i="12"/>
  <c r="AD61" i="12"/>
  <c r="AC61" i="12"/>
  <c r="AB61" i="12"/>
  <c r="AB88" i="12" s="1"/>
  <c r="AA61" i="12"/>
  <c r="AA88" i="12" s="1"/>
  <c r="Z61" i="12"/>
  <c r="Z88" i="12" s="1"/>
  <c r="Y61" i="12"/>
  <c r="X61" i="12"/>
  <c r="X88" i="12" s="1"/>
  <c r="W61" i="12"/>
  <c r="W88" i="12" s="1"/>
  <c r="V61" i="12"/>
  <c r="S61" i="12"/>
  <c r="S88" i="12" s="1"/>
  <c r="Q61" i="12"/>
  <c r="Q88" i="12" s="1"/>
  <c r="O61" i="12"/>
  <c r="O88" i="12" s="1"/>
  <c r="M61" i="12"/>
  <c r="K61" i="12"/>
  <c r="J61" i="12"/>
  <c r="I61" i="12"/>
  <c r="I88" i="12" s="1"/>
  <c r="H61" i="12"/>
  <c r="G61" i="12"/>
  <c r="G88" i="12" s="1"/>
  <c r="F61" i="12"/>
  <c r="E61" i="12"/>
  <c r="E88" i="12" s="1"/>
  <c r="D61" i="12"/>
  <c r="C61" i="12"/>
  <c r="C88" i="12" s="1"/>
  <c r="BF60" i="12"/>
  <c r="BD60" i="12"/>
  <c r="AV60" i="12"/>
  <c r="F72" i="5"/>
  <c r="BF59" i="12"/>
  <c r="BD59" i="12"/>
  <c r="AE59" i="12"/>
  <c r="AE61" i="12" s="1"/>
  <c r="T59" i="12"/>
  <c r="N59" i="12"/>
  <c r="N61" i="12"/>
  <c r="N88" i="12" s="1"/>
  <c r="L59" i="12"/>
  <c r="L61" i="12"/>
  <c r="BF58" i="12"/>
  <c r="BD58" i="12"/>
  <c r="AV58" i="12"/>
  <c r="BE58" i="12"/>
  <c r="BG58" i="12"/>
  <c r="T58" i="12"/>
  <c r="R58" i="12"/>
  <c r="BF57" i="12"/>
  <c r="BD57" i="12"/>
  <c r="AV57" i="12"/>
  <c r="T57" i="12"/>
  <c r="R57" i="12"/>
  <c r="BF56" i="12"/>
  <c r="BE56" i="12"/>
  <c r="BG56" i="12"/>
  <c r="BD56" i="12"/>
  <c r="AV56" i="12"/>
  <c r="T56" i="12"/>
  <c r="R56" i="12"/>
  <c r="BF55" i="12"/>
  <c r="BD55" i="12"/>
  <c r="BE55" i="12"/>
  <c r="BG55" i="12"/>
  <c r="AV55" i="12"/>
  <c r="T55" i="12"/>
  <c r="R55" i="12"/>
  <c r="BF54" i="12"/>
  <c r="BD54" i="12"/>
  <c r="AV54" i="12"/>
  <c r="BE54" i="12"/>
  <c r="BG54" i="12"/>
  <c r="T54" i="12"/>
  <c r="R54" i="12"/>
  <c r="BF53" i="12"/>
  <c r="BD53" i="12"/>
  <c r="AV53" i="12"/>
  <c r="T53" i="12"/>
  <c r="T61" i="12"/>
  <c r="R53" i="12"/>
  <c r="BC52" i="12"/>
  <c r="BA52" i="12"/>
  <c r="AZ52" i="12"/>
  <c r="AY52" i="12"/>
  <c r="AX52" i="12"/>
  <c r="AW52" i="12"/>
  <c r="AU52" i="12"/>
  <c r="AT52" i="12"/>
  <c r="AS52" i="12"/>
  <c r="AR52" i="12"/>
  <c r="AQ52" i="12"/>
  <c r="AP52" i="12"/>
  <c r="AO52" i="12"/>
  <c r="AN52" i="12"/>
  <c r="AN88" i="12"/>
  <c r="AM52" i="12"/>
  <c r="AL52" i="12"/>
  <c r="AK52" i="12"/>
  <c r="AJ52" i="12"/>
  <c r="AI52" i="12"/>
  <c r="AH52" i="12"/>
  <c r="AG52" i="12"/>
  <c r="AF52" i="12"/>
  <c r="AE52" i="12"/>
  <c r="AD52" i="12"/>
  <c r="AC52" i="12"/>
  <c r="BF52" i="12"/>
  <c r="AB52" i="12"/>
  <c r="AA52" i="12"/>
  <c r="Z52" i="12"/>
  <c r="Y52" i="12"/>
  <c r="X52" i="12"/>
  <c r="W52" i="12"/>
  <c r="V52" i="12"/>
  <c r="U52" i="12"/>
  <c r="S52" i="12"/>
  <c r="Q52" i="12"/>
  <c r="P52" i="12"/>
  <c r="O52" i="12"/>
  <c r="N52" i="12"/>
  <c r="M52" i="12"/>
  <c r="L52" i="12"/>
  <c r="K52" i="12"/>
  <c r="J52" i="12"/>
  <c r="I52" i="12"/>
  <c r="H52" i="12"/>
  <c r="G52" i="12"/>
  <c r="F52" i="12"/>
  <c r="E52" i="12"/>
  <c r="D52" i="12"/>
  <c r="C52" i="12"/>
  <c r="BF51" i="12"/>
  <c r="BD51" i="12"/>
  <c r="AV51" i="12"/>
  <c r="T51" i="12"/>
  <c r="R51" i="12"/>
  <c r="BE51" i="12"/>
  <c r="BG51" i="12"/>
  <c r="BF50" i="12"/>
  <c r="BD50" i="12"/>
  <c r="AV50" i="12"/>
  <c r="T50" i="12"/>
  <c r="R50" i="12"/>
  <c r="BF49" i="12"/>
  <c r="BD49" i="12"/>
  <c r="AV49" i="12"/>
  <c r="BE49" i="12"/>
  <c r="BG49" i="12"/>
  <c r="T49" i="12"/>
  <c r="R49" i="12"/>
  <c r="BF48" i="12"/>
  <c r="BD48" i="12"/>
  <c r="AV48" i="12"/>
  <c r="T48" i="12"/>
  <c r="BE48" i="12"/>
  <c r="BG48" i="12"/>
  <c r="R48" i="12"/>
  <c r="BF47" i="12"/>
  <c r="BD47" i="12"/>
  <c r="BD52" i="12"/>
  <c r="AV47" i="12"/>
  <c r="T47" i="12"/>
  <c r="R47" i="12"/>
  <c r="R52" i="12"/>
  <c r="BF46" i="12"/>
  <c r="BD46" i="12"/>
  <c r="BE46" i="12"/>
  <c r="AV46" i="12"/>
  <c r="AV52" i="12"/>
  <c r="T46" i="12"/>
  <c r="R46" i="12"/>
  <c r="BC45" i="12"/>
  <c r="BB45" i="12"/>
  <c r="BA45" i="12"/>
  <c r="AZ45" i="12"/>
  <c r="AY45" i="12"/>
  <c r="AX45" i="12"/>
  <c r="AW45" i="12"/>
  <c r="AU45" i="12"/>
  <c r="AT45" i="12"/>
  <c r="BF45" i="12"/>
  <c r="AS45" i="12"/>
  <c r="AR45" i="12"/>
  <c r="AQ45" i="12"/>
  <c r="AP45" i="12"/>
  <c r="AO45" i="12"/>
  <c r="AN45" i="12"/>
  <c r="AM45" i="12"/>
  <c r="AL45" i="12"/>
  <c r="AK45" i="12"/>
  <c r="AJ45" i="12"/>
  <c r="AI45" i="12"/>
  <c r="AH45" i="12"/>
  <c r="AG45" i="12"/>
  <c r="AF45" i="12"/>
  <c r="AE45" i="12"/>
  <c r="AD45" i="12"/>
  <c r="AC45" i="12"/>
  <c r="AB45" i="12"/>
  <c r="AA45" i="12"/>
  <c r="Z45" i="12"/>
  <c r="Y45" i="12"/>
  <c r="X45" i="12"/>
  <c r="W45" i="12"/>
  <c r="V45" i="12"/>
  <c r="V88" i="12"/>
  <c r="U45" i="12"/>
  <c r="S45" i="12"/>
  <c r="Q45" i="12"/>
  <c r="P45" i="12"/>
  <c r="O45" i="12"/>
  <c r="N45" i="12"/>
  <c r="L45" i="12"/>
  <c r="K45" i="12"/>
  <c r="J45" i="12"/>
  <c r="I45" i="12"/>
  <c r="H45" i="12"/>
  <c r="G45" i="12"/>
  <c r="F45" i="12"/>
  <c r="E45" i="12"/>
  <c r="D45" i="12"/>
  <c r="C45" i="12"/>
  <c r="BF44" i="12"/>
  <c r="BD44" i="12"/>
  <c r="BE44" i="12"/>
  <c r="BG44" i="12"/>
  <c r="AV44" i="12"/>
  <c r="T44" i="12"/>
  <c r="R44" i="12"/>
  <c r="BF43" i="12"/>
  <c r="BD43" i="12"/>
  <c r="AV43" i="12"/>
  <c r="BE43" i="12"/>
  <c r="BG43" i="12"/>
  <c r="T43" i="12"/>
  <c r="R43" i="12"/>
  <c r="BF42" i="12"/>
  <c r="BD42" i="12"/>
  <c r="AV42" i="12"/>
  <c r="BE42" i="12"/>
  <c r="T42" i="12"/>
  <c r="R42" i="12"/>
  <c r="BF41" i="12"/>
  <c r="BE41" i="12"/>
  <c r="BG41" i="12"/>
  <c r="BD41" i="12"/>
  <c r="AV41" i="12"/>
  <c r="T41" i="12"/>
  <c r="M41" i="12"/>
  <c r="R41" i="12"/>
  <c r="M45" i="12"/>
  <c r="BF40" i="12"/>
  <c r="BD40" i="12"/>
  <c r="BE40" i="12"/>
  <c r="BG40" i="12"/>
  <c r="AV40" i="12"/>
  <c r="T40" i="12"/>
  <c r="R40" i="12"/>
  <c r="R45" i="12"/>
  <c r="BC39" i="12"/>
  <c r="BB39" i="12"/>
  <c r="BA39" i="12"/>
  <c r="AZ39" i="12"/>
  <c r="AY39" i="12"/>
  <c r="AX39" i="12"/>
  <c r="AW39" i="12"/>
  <c r="AU39" i="12"/>
  <c r="AT39" i="12"/>
  <c r="AS39" i="12"/>
  <c r="AR39" i="12"/>
  <c r="AQ39" i="12"/>
  <c r="AP39" i="12"/>
  <c r="AO39" i="12"/>
  <c r="AN39" i="12"/>
  <c r="AM39" i="12"/>
  <c r="AL39" i="12"/>
  <c r="AK39" i="12"/>
  <c r="AJ39" i="12"/>
  <c r="AI39" i="12"/>
  <c r="AH39" i="12"/>
  <c r="AG39" i="12"/>
  <c r="AE39" i="12"/>
  <c r="AD39" i="12"/>
  <c r="AC39" i="12"/>
  <c r="BF39" i="12"/>
  <c r="AB39" i="12"/>
  <c r="Z39" i="12"/>
  <c r="Y39" i="12"/>
  <c r="X39" i="12"/>
  <c r="W39" i="12"/>
  <c r="V39" i="12"/>
  <c r="U39" i="12"/>
  <c r="S39" i="12"/>
  <c r="Q39" i="12"/>
  <c r="P39" i="12"/>
  <c r="O39" i="12"/>
  <c r="N39" i="12"/>
  <c r="M39" i="12"/>
  <c r="L39" i="12"/>
  <c r="K39" i="12"/>
  <c r="J39" i="12"/>
  <c r="I39" i="12"/>
  <c r="H39" i="12"/>
  <c r="G39" i="12"/>
  <c r="F39" i="12"/>
  <c r="E39" i="12"/>
  <c r="D39" i="12"/>
  <c r="C39" i="12"/>
  <c r="BF38" i="12"/>
  <c r="BD38" i="12"/>
  <c r="AV38" i="12"/>
  <c r="T38" i="12"/>
  <c r="T39" i="12"/>
  <c r="R38" i="12"/>
  <c r="BF37" i="12"/>
  <c r="BD37" i="12"/>
  <c r="AV37" i="12"/>
  <c r="BE37" i="12"/>
  <c r="BG37" i="12"/>
  <c r="T37" i="12"/>
  <c r="R37" i="12"/>
  <c r="BF36" i="12"/>
  <c r="BD36" i="12"/>
  <c r="AF36" i="12"/>
  <c r="AF39" i="12"/>
  <c r="AF88" i="12"/>
  <c r="T36" i="12"/>
  <c r="R36" i="12"/>
  <c r="BF35" i="12"/>
  <c r="BD35" i="12"/>
  <c r="BE35" i="12"/>
  <c r="BG35" i="12"/>
  <c r="AV35" i="12"/>
  <c r="T35" i="12"/>
  <c r="R35" i="12"/>
  <c r="BC33" i="12"/>
  <c r="BB33" i="12"/>
  <c r="BA33" i="12"/>
  <c r="AZ33" i="12"/>
  <c r="AY33" i="12"/>
  <c r="AY34" i="12" s="1"/>
  <c r="AY136" i="12" s="1"/>
  <c r="AX33" i="12"/>
  <c r="BD33" i="12" s="1"/>
  <c r="AW33" i="12"/>
  <c r="AU33" i="12"/>
  <c r="AT33" i="12"/>
  <c r="AS33" i="12"/>
  <c r="AR33" i="12"/>
  <c r="AQ33" i="12"/>
  <c r="AP33" i="12"/>
  <c r="AP34" i="12" s="1"/>
  <c r="AO33" i="12"/>
  <c r="AN33" i="12"/>
  <c r="AM33" i="12"/>
  <c r="AL33" i="12"/>
  <c r="AK33" i="12"/>
  <c r="AJ33" i="12"/>
  <c r="AI33" i="12"/>
  <c r="AH33" i="12"/>
  <c r="AH34" i="12" s="1"/>
  <c r="AG33" i="12"/>
  <c r="AF33" i="12"/>
  <c r="AE33" i="12"/>
  <c r="AD33" i="12"/>
  <c r="AC33" i="12"/>
  <c r="AB33" i="12"/>
  <c r="Z33" i="12"/>
  <c r="Y33" i="12"/>
  <c r="X33" i="12"/>
  <c r="AV33" i="12" s="1"/>
  <c r="W33" i="12"/>
  <c r="V33" i="12"/>
  <c r="U33" i="12"/>
  <c r="T33" i="12"/>
  <c r="S33" i="12"/>
  <c r="Q33" i="12"/>
  <c r="Q34" i="12" s="1"/>
  <c r="P33" i="12"/>
  <c r="O33" i="12"/>
  <c r="N33" i="12"/>
  <c r="M33" i="12"/>
  <c r="L33" i="12"/>
  <c r="K33" i="12"/>
  <c r="J33" i="12"/>
  <c r="I33" i="12"/>
  <c r="R33" i="12" s="1"/>
  <c r="BK33" i="12" s="1"/>
  <c r="H33" i="12"/>
  <c r="G33" i="12"/>
  <c r="F33" i="12"/>
  <c r="E33" i="12"/>
  <c r="D33" i="12"/>
  <c r="C33" i="12"/>
  <c r="BF32" i="12"/>
  <c r="BD32" i="12"/>
  <c r="J33" i="4" s="1"/>
  <c r="T32" i="12"/>
  <c r="F33" i="4" s="1"/>
  <c r="R32" i="12"/>
  <c r="BF31" i="12"/>
  <c r="BD31" i="12"/>
  <c r="AV31" i="12"/>
  <c r="T31" i="12"/>
  <c r="F32" i="4" s="1"/>
  <c r="R31" i="12"/>
  <c r="BF30" i="12"/>
  <c r="BD30" i="12"/>
  <c r="J31" i="4" s="1"/>
  <c r="AV30" i="12"/>
  <c r="H31" i="4" s="1"/>
  <c r="T30" i="12"/>
  <c r="F31" i="4" s="1"/>
  <c r="R30" i="12"/>
  <c r="BC29" i="12"/>
  <c r="BB29" i="12"/>
  <c r="BA29" i="12"/>
  <c r="AZ29" i="12"/>
  <c r="AZ34" i="12" s="1"/>
  <c r="AZ136" i="12" s="1"/>
  <c r="AY29" i="12"/>
  <c r="BD29" i="12" s="1"/>
  <c r="AX29" i="12"/>
  <c r="AW29" i="12"/>
  <c r="AU29" i="12"/>
  <c r="AT29" i="12"/>
  <c r="BF29" i="12" s="1"/>
  <c r="AS29" i="12"/>
  <c r="AR29" i="12"/>
  <c r="AQ29" i="12"/>
  <c r="AP29" i="12"/>
  <c r="AO29" i="12"/>
  <c r="AN29" i="12"/>
  <c r="AM29" i="12"/>
  <c r="AL29" i="12"/>
  <c r="AK29" i="12"/>
  <c r="AJ29" i="12"/>
  <c r="AI29" i="12"/>
  <c r="AH29" i="12"/>
  <c r="AG29" i="12"/>
  <c r="AF29" i="12"/>
  <c r="AE29" i="12"/>
  <c r="AD29" i="12"/>
  <c r="AC29" i="12"/>
  <c r="AB29" i="12"/>
  <c r="Z29" i="12"/>
  <c r="Y29" i="12"/>
  <c r="X29" i="12"/>
  <c r="W29" i="12"/>
  <c r="V29" i="12"/>
  <c r="U29" i="12"/>
  <c r="AV29" i="12" s="1"/>
  <c r="S29" i="12"/>
  <c r="T29" i="12"/>
  <c r="Q29" i="12"/>
  <c r="P29" i="12"/>
  <c r="O29" i="12"/>
  <c r="N29" i="12"/>
  <c r="M29" i="12"/>
  <c r="M34" i="12" s="1"/>
  <c r="L29" i="12"/>
  <c r="L34" i="12" s="1"/>
  <c r="K29" i="12"/>
  <c r="J29" i="12"/>
  <c r="I29" i="12"/>
  <c r="H29" i="12"/>
  <c r="G29" i="12"/>
  <c r="F29" i="12"/>
  <c r="E29" i="12"/>
  <c r="D29" i="12"/>
  <c r="C29" i="12"/>
  <c r="BF28" i="12"/>
  <c r="BD28" i="12"/>
  <c r="J30" i="4" s="1"/>
  <c r="T28" i="12"/>
  <c r="F30" i="4" s="1"/>
  <c r="R28" i="12"/>
  <c r="BF27" i="12"/>
  <c r="BD27" i="12"/>
  <c r="J29" i="4" s="1"/>
  <c r="AV27" i="12"/>
  <c r="R27" i="12"/>
  <c r="BF26" i="12"/>
  <c r="BD26" i="12"/>
  <c r="AV26" i="12"/>
  <c r="H28" i="4" s="1"/>
  <c r="T26" i="12"/>
  <c r="F28" i="4" s="1"/>
  <c r="R26" i="12"/>
  <c r="BK26" i="12" s="1"/>
  <c r="BF25" i="12"/>
  <c r="BD25" i="12"/>
  <c r="AV25" i="12"/>
  <c r="T25" i="12"/>
  <c r="F27" i="4" s="1"/>
  <c r="R25" i="12"/>
  <c r="BF24" i="12"/>
  <c r="BD24" i="12"/>
  <c r="AV24" i="12"/>
  <c r="H26" i="4" s="1"/>
  <c r="T24" i="12"/>
  <c r="R24" i="12"/>
  <c r="BC23" i="12"/>
  <c r="BB23" i="12"/>
  <c r="BB34" i="12"/>
  <c r="BB136" i="12" s="1"/>
  <c r="BA23" i="12"/>
  <c r="AZ23" i="12"/>
  <c r="AY23" i="12"/>
  <c r="AX23" i="12"/>
  <c r="AW23" i="12"/>
  <c r="BD23" i="12" s="1"/>
  <c r="AU23" i="12"/>
  <c r="AT23" i="12"/>
  <c r="AS23" i="12"/>
  <c r="AR23" i="12"/>
  <c r="AQ23" i="12"/>
  <c r="AP23" i="12"/>
  <c r="AO23" i="12"/>
  <c r="AN23" i="12"/>
  <c r="AM23" i="12"/>
  <c r="AL23" i="12"/>
  <c r="AK23" i="12"/>
  <c r="AJ23" i="12"/>
  <c r="AI23" i="12"/>
  <c r="AH23" i="12"/>
  <c r="AG23" i="12"/>
  <c r="AF23" i="12"/>
  <c r="AE23" i="12"/>
  <c r="AD23" i="12"/>
  <c r="AC23" i="12"/>
  <c r="BF23" i="12" s="1"/>
  <c r="AB23" i="12"/>
  <c r="AA23" i="12"/>
  <c r="Z23" i="12"/>
  <c r="Y23" i="12"/>
  <c r="X23" i="12"/>
  <c r="W23" i="12"/>
  <c r="V23" i="12"/>
  <c r="U23" i="12"/>
  <c r="S23" i="12"/>
  <c r="Q23" i="12"/>
  <c r="P23" i="12"/>
  <c r="O23" i="12"/>
  <c r="N23" i="12"/>
  <c r="M23" i="12"/>
  <c r="L23" i="12"/>
  <c r="K23" i="12"/>
  <c r="J23" i="12"/>
  <c r="I23" i="12"/>
  <c r="H23" i="12"/>
  <c r="R23" i="12" s="1"/>
  <c r="BK23" i="12" s="1"/>
  <c r="G23" i="12"/>
  <c r="F23" i="12"/>
  <c r="E23" i="12"/>
  <c r="D23" i="12"/>
  <c r="C23" i="12"/>
  <c r="BF22" i="12"/>
  <c r="BD22" i="12"/>
  <c r="AV22" i="12"/>
  <c r="T22" i="12"/>
  <c r="R22" i="12"/>
  <c r="G34" i="13" s="1"/>
  <c r="BF21" i="12"/>
  <c r="BD21" i="12"/>
  <c r="J20" i="4" s="1"/>
  <c r="AV21" i="12"/>
  <c r="H20" i="4" s="1"/>
  <c r="T21" i="12"/>
  <c r="F20" i="4" s="1"/>
  <c r="R21" i="12"/>
  <c r="D20" i="4" s="1"/>
  <c r="BF20" i="12"/>
  <c r="BD20" i="12"/>
  <c r="J24" i="4" s="1"/>
  <c r="AV20" i="12"/>
  <c r="T20" i="12"/>
  <c r="F24" i="4" s="1"/>
  <c r="R20" i="12"/>
  <c r="BF19" i="12"/>
  <c r="BD19" i="12"/>
  <c r="AV19" i="12"/>
  <c r="T19" i="12"/>
  <c r="R19" i="12"/>
  <c r="BF18" i="12"/>
  <c r="BD18" i="12"/>
  <c r="AV18" i="12"/>
  <c r="T18" i="12"/>
  <c r="F23" i="4" s="1"/>
  <c r="R18" i="12"/>
  <c r="BK18" i="12" s="1"/>
  <c r="BD17" i="12"/>
  <c r="BC17" i="12"/>
  <c r="BB17" i="12"/>
  <c r="BA17" i="12"/>
  <c r="AZ17" i="12"/>
  <c r="AY17" i="12"/>
  <c r="AX17" i="12"/>
  <c r="AW17" i="12"/>
  <c r="AU17" i="12"/>
  <c r="AT17" i="12"/>
  <c r="AS17" i="12"/>
  <c r="AR17" i="12"/>
  <c r="AQ17" i="12"/>
  <c r="AP17" i="12"/>
  <c r="AO17" i="12"/>
  <c r="AN17" i="12"/>
  <c r="AM17" i="12"/>
  <c r="AL17" i="12"/>
  <c r="AK17" i="12"/>
  <c r="AJ17" i="12"/>
  <c r="AI17" i="12"/>
  <c r="AH17" i="12"/>
  <c r="AG17" i="12"/>
  <c r="AF17" i="12"/>
  <c r="AF34" i="12" s="1"/>
  <c r="AF136" i="12" s="1"/>
  <c r="AE17" i="12"/>
  <c r="AD17" i="12"/>
  <c r="AC17" i="12"/>
  <c r="AB17" i="12"/>
  <c r="AA17" i="12"/>
  <c r="Z17" i="12"/>
  <c r="Y17" i="12"/>
  <c r="X17" i="12"/>
  <c r="W17" i="12"/>
  <c r="W34" i="12" s="1"/>
  <c r="V17" i="12"/>
  <c r="U17" i="12"/>
  <c r="AV17" i="12" s="1"/>
  <c r="T17" i="12"/>
  <c r="S17" i="12"/>
  <c r="Q17" i="12"/>
  <c r="P17" i="12"/>
  <c r="O17" i="12"/>
  <c r="N17" i="12"/>
  <c r="M17" i="12"/>
  <c r="L17" i="12"/>
  <c r="K17" i="12"/>
  <c r="J17" i="12"/>
  <c r="I17" i="12"/>
  <c r="H17" i="12"/>
  <c r="G17" i="12"/>
  <c r="F17" i="12"/>
  <c r="E17" i="12"/>
  <c r="R17" i="12" s="1"/>
  <c r="BK17" i="12" s="1"/>
  <c r="D17" i="12"/>
  <c r="C17" i="12"/>
  <c r="BF16" i="12"/>
  <c r="BD16" i="12"/>
  <c r="AV16" i="12"/>
  <c r="BE16" i="12" s="1"/>
  <c r="BG16" i="12" s="1"/>
  <c r="T16" i="12"/>
  <c r="R16" i="12"/>
  <c r="BK16" i="12" s="1"/>
  <c r="BF15" i="12"/>
  <c r="BD15" i="12"/>
  <c r="AV15" i="12"/>
  <c r="T15" i="12"/>
  <c r="R15" i="12"/>
  <c r="BE15" i="12" s="1"/>
  <c r="BG15" i="12" s="1"/>
  <c r="BF14" i="12"/>
  <c r="BD14" i="12"/>
  <c r="AV14" i="12"/>
  <c r="E22" i="13" s="1"/>
  <c r="T14" i="12"/>
  <c r="R14" i="12"/>
  <c r="BC13" i="12"/>
  <c r="BC34" i="12" s="1"/>
  <c r="BC136" i="12" s="1"/>
  <c r="BB13" i="12"/>
  <c r="BA13" i="12"/>
  <c r="BA34" i="12" s="1"/>
  <c r="BA136" i="12" s="1"/>
  <c r="AZ13" i="12"/>
  <c r="AY13" i="12"/>
  <c r="AX13" i="12"/>
  <c r="AW13" i="12"/>
  <c r="AU13" i="12"/>
  <c r="AT13" i="12"/>
  <c r="AS13" i="12"/>
  <c r="AR13" i="12"/>
  <c r="AQ13" i="12"/>
  <c r="AP13" i="12"/>
  <c r="AO13" i="12"/>
  <c r="AN13" i="12"/>
  <c r="AM13" i="12"/>
  <c r="AL13" i="12"/>
  <c r="AK13" i="12"/>
  <c r="AK34" i="12" s="1"/>
  <c r="AJ13" i="12"/>
  <c r="AJ34" i="12" s="1"/>
  <c r="AI13" i="12"/>
  <c r="AH13" i="12"/>
  <c r="AG13" i="12"/>
  <c r="AF13" i="12"/>
  <c r="AE13" i="12"/>
  <c r="AD13" i="12"/>
  <c r="AC13" i="12"/>
  <c r="AC34" i="12" s="1"/>
  <c r="AB13" i="12"/>
  <c r="AB34" i="12" s="1"/>
  <c r="AA13" i="12"/>
  <c r="Z13" i="12"/>
  <c r="Y13" i="12"/>
  <c r="X13" i="12"/>
  <c r="W13" i="12"/>
  <c r="V13" i="12"/>
  <c r="U13" i="12"/>
  <c r="S13" i="12"/>
  <c r="T13" i="12" s="1"/>
  <c r="Q13" i="12"/>
  <c r="P13" i="12"/>
  <c r="O13" i="12"/>
  <c r="N13" i="12"/>
  <c r="M13" i="12"/>
  <c r="L13" i="12"/>
  <c r="K13" i="12"/>
  <c r="J13" i="12"/>
  <c r="I13" i="12"/>
  <c r="H13" i="12"/>
  <c r="G13" i="12"/>
  <c r="R13" i="12" s="1"/>
  <c r="F13" i="12"/>
  <c r="E13" i="12"/>
  <c r="D13" i="12"/>
  <c r="C13" i="12"/>
  <c r="BF12" i="12"/>
  <c r="BD12" i="12"/>
  <c r="J19" i="5" s="1"/>
  <c r="AV12" i="12"/>
  <c r="H19" i="5" s="1"/>
  <c r="T12" i="12"/>
  <c r="R12" i="12"/>
  <c r="BF11" i="12"/>
  <c r="BD11" i="12"/>
  <c r="J17" i="4" s="1"/>
  <c r="AV11" i="12"/>
  <c r="G19" i="13" s="1"/>
  <c r="T11" i="12"/>
  <c r="F17" i="4" s="1"/>
  <c r="R11" i="12"/>
  <c r="BF10" i="12"/>
  <c r="BD10" i="12"/>
  <c r="AV10" i="12"/>
  <c r="H16" i="4" s="1"/>
  <c r="T10" i="12"/>
  <c r="R10" i="12"/>
  <c r="G18" i="13" s="1"/>
  <c r="BD45" i="12"/>
  <c r="BD83" i="12"/>
  <c r="Y113" i="12"/>
  <c r="AG113" i="12"/>
  <c r="AO113" i="12"/>
  <c r="V125" i="12"/>
  <c r="AL125" i="12"/>
  <c r="AT125" i="12"/>
  <c r="U135" i="12"/>
  <c r="BF128" i="12"/>
  <c r="AT88" i="12"/>
  <c r="BE97" i="12"/>
  <c r="BG97" i="12"/>
  <c r="H113" i="12"/>
  <c r="BE114" i="12"/>
  <c r="BG114" i="12"/>
  <c r="BF122" i="12"/>
  <c r="BE126" i="12"/>
  <c r="BG126" i="12"/>
  <c r="AI113" i="12"/>
  <c r="AQ113" i="12"/>
  <c r="BD39" i="12"/>
  <c r="R59" i="12"/>
  <c r="G90" i="13"/>
  <c r="P61" i="12"/>
  <c r="AC88" i="12"/>
  <c r="S113" i="12"/>
  <c r="F125" i="12"/>
  <c r="N125" i="12"/>
  <c r="BF72" i="12"/>
  <c r="BF93" i="12"/>
  <c r="BC88" i="12"/>
  <c r="T128" i="12"/>
  <c r="T130" i="12"/>
  <c r="BE129" i="12"/>
  <c r="BG129" i="12"/>
  <c r="R39" i="12"/>
  <c r="T45" i="12"/>
  <c r="BE50" i="12"/>
  <c r="BG50" i="12"/>
  <c r="AW88" i="12"/>
  <c r="T134" i="12"/>
  <c r="BE133" i="12"/>
  <c r="BG133" i="12"/>
  <c r="AG88" i="12"/>
  <c r="T122" i="12"/>
  <c r="AC125" i="12"/>
  <c r="BF125" i="12"/>
  <c r="T52" i="12"/>
  <c r="P124" i="12"/>
  <c r="P125" i="12"/>
  <c r="BD128" i="12"/>
  <c r="BD135" i="12"/>
  <c r="U61" i="12"/>
  <c r="C31" i="1"/>
  <c r="C14" i="1"/>
  <c r="C44" i="1"/>
  <c r="G194" i="3"/>
  <c r="D194" i="3"/>
  <c r="D24" i="3"/>
  <c r="G33" i="3"/>
  <c r="G206" i="3"/>
  <c r="G171" i="3"/>
  <c r="G121" i="3"/>
  <c r="L362" i="28"/>
  <c r="G146" i="13"/>
  <c r="D143" i="13"/>
  <c r="G154" i="13"/>
  <c r="G239" i="15"/>
  <c r="D230" i="15"/>
  <c r="C173" i="15"/>
  <c r="D99" i="13"/>
  <c r="E129" i="15"/>
  <c r="P35" i="28"/>
  <c r="L17" i="27"/>
  <c r="B140" i="23"/>
  <c r="D170" i="13"/>
  <c r="D168" i="13" s="1"/>
  <c r="E170" i="13"/>
  <c r="E168" i="13" s="1"/>
  <c r="F170" i="13"/>
  <c r="F168" i="13" s="1"/>
  <c r="D200" i="15"/>
  <c r="D198" i="15" s="1"/>
  <c r="E200" i="15"/>
  <c r="F200" i="15"/>
  <c r="F198" i="15" s="1"/>
  <c r="D153" i="3"/>
  <c r="D151" i="3" s="1"/>
  <c r="D189" i="3"/>
  <c r="D101" i="3"/>
  <c r="D19" i="1"/>
  <c r="D14" i="1"/>
  <c r="J196" i="4"/>
  <c r="H196" i="5"/>
  <c r="F196" i="5"/>
  <c r="B173" i="4"/>
  <c r="G173" i="4" s="1"/>
  <c r="C173" i="4" s="1"/>
  <c r="B173" i="5"/>
  <c r="I173" i="5" s="1"/>
  <c r="J170" i="5"/>
  <c r="H170" i="4"/>
  <c r="D170" i="5"/>
  <c r="B132" i="5"/>
  <c r="I132" i="5" s="1"/>
  <c r="B127" i="5"/>
  <c r="B35" i="5"/>
  <c r="J207" i="5"/>
  <c r="J205" i="5" s="1"/>
  <c r="J196" i="5"/>
  <c r="J121" i="5"/>
  <c r="H207" i="5"/>
  <c r="H205" i="5" s="1"/>
  <c r="H121" i="5"/>
  <c r="F207" i="5"/>
  <c r="F205" i="5" s="1"/>
  <c r="F121" i="5"/>
  <c r="L88" i="27"/>
  <c r="M35" i="28"/>
  <c r="G233" i="15"/>
  <c r="C11" i="18"/>
  <c r="D11" i="18"/>
  <c r="D9" i="18"/>
  <c r="E11" i="18"/>
  <c r="F11" i="18"/>
  <c r="G13" i="18"/>
  <c r="G11" i="18"/>
  <c r="C15" i="18"/>
  <c r="C9" i="18"/>
  <c r="D15" i="18"/>
  <c r="E15" i="18"/>
  <c r="F15" i="18"/>
  <c r="G17" i="18"/>
  <c r="G15" i="18"/>
  <c r="G18" i="18"/>
  <c r="G19" i="18"/>
  <c r="C21" i="18"/>
  <c r="E21" i="18"/>
  <c r="G23" i="18"/>
  <c r="G21" i="18"/>
  <c r="C25" i="18"/>
  <c r="E25" i="18"/>
  <c r="F25" i="18"/>
  <c r="D25" i="18"/>
  <c r="C29" i="18"/>
  <c r="D29" i="18"/>
  <c r="E29" i="18"/>
  <c r="F29" i="18"/>
  <c r="G31" i="18"/>
  <c r="G29" i="18"/>
  <c r="G32" i="18"/>
  <c r="C42" i="18"/>
  <c r="C40" i="18"/>
  <c r="C39" i="18"/>
  <c r="D42" i="18"/>
  <c r="D40" i="18"/>
  <c r="E42" i="18"/>
  <c r="F42" i="18"/>
  <c r="G44" i="18"/>
  <c r="G45" i="18"/>
  <c r="G42" i="18"/>
  <c r="C47" i="18"/>
  <c r="D47" i="18"/>
  <c r="E47" i="18"/>
  <c r="F47" i="18"/>
  <c r="G49" i="18"/>
  <c r="G47" i="18"/>
  <c r="G50" i="18"/>
  <c r="C52" i="18"/>
  <c r="D52" i="18"/>
  <c r="E52" i="18"/>
  <c r="F52" i="18"/>
  <c r="G54" i="18"/>
  <c r="G52" i="18"/>
  <c r="G55" i="18"/>
  <c r="G56" i="18"/>
  <c r="G57" i="18"/>
  <c r="G58" i="18"/>
  <c r="C60" i="18"/>
  <c r="C61" i="18"/>
  <c r="D60" i="18"/>
  <c r="E60" i="18"/>
  <c r="F60" i="18"/>
  <c r="F61" i="18"/>
  <c r="G63" i="18"/>
  <c r="G60" i="18"/>
  <c r="G61" i="18"/>
  <c r="G64" i="18"/>
  <c r="G65" i="18"/>
  <c r="G66" i="18"/>
  <c r="G67" i="18"/>
  <c r="C69" i="18"/>
  <c r="D69" i="18"/>
  <c r="E69" i="18"/>
  <c r="E61" i="18"/>
  <c r="F69" i="18"/>
  <c r="G71" i="18"/>
  <c r="G72" i="18"/>
  <c r="G69" i="18"/>
  <c r="C76" i="18"/>
  <c r="D76" i="18"/>
  <c r="E76" i="18"/>
  <c r="E74" i="18"/>
  <c r="F76" i="18"/>
  <c r="G78" i="18"/>
  <c r="G79" i="18"/>
  <c r="G80" i="18"/>
  <c r="G81" i="18"/>
  <c r="G76" i="18"/>
  <c r="C83" i="18"/>
  <c r="D83" i="18"/>
  <c r="E83" i="18"/>
  <c r="F83" i="18"/>
  <c r="G85" i="18"/>
  <c r="G86" i="18"/>
  <c r="G87" i="18"/>
  <c r="G88" i="18"/>
  <c r="G89" i="18"/>
  <c r="C91" i="18"/>
  <c r="D91" i="18"/>
  <c r="E91" i="18"/>
  <c r="F91" i="18"/>
  <c r="F74" i="18"/>
  <c r="G91" i="18"/>
  <c r="G93" i="18"/>
  <c r="G94" i="18"/>
  <c r="G95" i="18"/>
  <c r="G96" i="18"/>
  <c r="G97" i="18"/>
  <c r="G98" i="18"/>
  <c r="C100" i="18"/>
  <c r="D100" i="18"/>
  <c r="E100" i="18"/>
  <c r="F100" i="18"/>
  <c r="G102" i="18"/>
  <c r="G103" i="18"/>
  <c r="G104" i="18"/>
  <c r="G105" i="18"/>
  <c r="G100" i="18"/>
  <c r="G106" i="18"/>
  <c r="C108" i="18"/>
  <c r="D108" i="18"/>
  <c r="E108" i="18"/>
  <c r="F108" i="18"/>
  <c r="G110" i="18"/>
  <c r="G111" i="18"/>
  <c r="G112" i="18"/>
  <c r="G113" i="18"/>
  <c r="C115" i="18"/>
  <c r="D115" i="18"/>
  <c r="E115" i="18"/>
  <c r="F115" i="18"/>
  <c r="G117" i="18"/>
  <c r="G115" i="18"/>
  <c r="C119" i="18"/>
  <c r="D119" i="18"/>
  <c r="E119" i="18"/>
  <c r="F119" i="18"/>
  <c r="G121" i="18"/>
  <c r="G122" i="18"/>
  <c r="G123" i="18"/>
  <c r="G119" i="18"/>
  <c r="C125" i="18"/>
  <c r="D125" i="18"/>
  <c r="E125" i="18"/>
  <c r="F125" i="18"/>
  <c r="G127" i="18"/>
  <c r="G128" i="18"/>
  <c r="G129" i="18"/>
  <c r="G130" i="18"/>
  <c r="G125" i="18"/>
  <c r="G131" i="18"/>
  <c r="G132" i="18"/>
  <c r="G133" i="18"/>
  <c r="C135" i="18"/>
  <c r="D135" i="18"/>
  <c r="E135" i="18"/>
  <c r="F135" i="18"/>
  <c r="G135" i="18"/>
  <c r="G137" i="18"/>
  <c r="G138" i="18"/>
  <c r="C142" i="18"/>
  <c r="D142" i="18"/>
  <c r="E142" i="18"/>
  <c r="F142" i="18"/>
  <c r="F140" i="18"/>
  <c r="G144" i="18"/>
  <c r="G145" i="18"/>
  <c r="G146" i="18"/>
  <c r="G142" i="18"/>
  <c r="G147" i="18"/>
  <c r="C149" i="18"/>
  <c r="D149" i="18"/>
  <c r="D140" i="18"/>
  <c r="E149" i="18"/>
  <c r="F149" i="18"/>
  <c r="G151" i="18"/>
  <c r="G149" i="18"/>
  <c r="C153" i="18"/>
  <c r="D153" i="18"/>
  <c r="E153" i="18"/>
  <c r="F153" i="18"/>
  <c r="G155" i="18"/>
  <c r="G156" i="18"/>
  <c r="G157" i="18"/>
  <c r="G158" i="18"/>
  <c r="G159" i="18"/>
  <c r="G160" i="18"/>
  <c r="C162" i="18"/>
  <c r="D162" i="18"/>
  <c r="E162" i="18"/>
  <c r="F162" i="18"/>
  <c r="G164" i="18"/>
  <c r="G165" i="18"/>
  <c r="G162" i="18"/>
  <c r="C167" i="18"/>
  <c r="D167" i="18"/>
  <c r="E167" i="18"/>
  <c r="F167" i="18"/>
  <c r="G169" i="18"/>
  <c r="G170" i="18"/>
  <c r="G171" i="18"/>
  <c r="G172" i="18"/>
  <c r="G173" i="18"/>
  <c r="G174" i="18"/>
  <c r="G175" i="18"/>
  <c r="G176" i="18"/>
  <c r="C180" i="18"/>
  <c r="C178" i="18"/>
  <c r="D180" i="18"/>
  <c r="D178" i="18"/>
  <c r="E180" i="18"/>
  <c r="F180" i="18"/>
  <c r="G182" i="18"/>
  <c r="G183" i="18"/>
  <c r="G180" i="18"/>
  <c r="G184" i="18"/>
  <c r="G185" i="18"/>
  <c r="G186" i="18"/>
  <c r="G187" i="18"/>
  <c r="G188" i="18"/>
  <c r="C190" i="18"/>
  <c r="D190" i="18"/>
  <c r="E190" i="18"/>
  <c r="E178" i="18"/>
  <c r="F190" i="18"/>
  <c r="G192" i="18"/>
  <c r="G193" i="18"/>
  <c r="G190" i="18"/>
  <c r="G194" i="18"/>
  <c r="C196" i="18"/>
  <c r="D196" i="18"/>
  <c r="E196" i="18"/>
  <c r="F196" i="18"/>
  <c r="G198" i="18"/>
  <c r="G196" i="18"/>
  <c r="C202" i="18"/>
  <c r="D202" i="18"/>
  <c r="D200" i="18"/>
  <c r="E202" i="18"/>
  <c r="F202" i="18"/>
  <c r="G202" i="18"/>
  <c r="G204" i="18"/>
  <c r="G205" i="18"/>
  <c r="C207" i="18"/>
  <c r="C200" i="18"/>
  <c r="D207" i="18"/>
  <c r="E207" i="18"/>
  <c r="F207" i="18"/>
  <c r="G209" i="18"/>
  <c r="G207" i="18"/>
  <c r="C211" i="18"/>
  <c r="D211" i="18"/>
  <c r="E211" i="18"/>
  <c r="F211" i="18"/>
  <c r="G211" i="18"/>
  <c r="G213" i="18"/>
  <c r="C215" i="18"/>
  <c r="D215" i="18"/>
  <c r="E215" i="18"/>
  <c r="F215" i="18"/>
  <c r="G217" i="18"/>
  <c r="G215" i="18"/>
  <c r="G218" i="18"/>
  <c r="C222" i="18"/>
  <c r="C220" i="18"/>
  <c r="D222" i="18"/>
  <c r="D220" i="18"/>
  <c r="E222" i="18"/>
  <c r="E220" i="18"/>
  <c r="F222" i="18"/>
  <c r="F220" i="18"/>
  <c r="G224" i="18"/>
  <c r="G225" i="18"/>
  <c r="G222" i="18"/>
  <c r="G220" i="18"/>
  <c r="B13" i="19"/>
  <c r="B212" i="19" s="1"/>
  <c r="E15" i="19"/>
  <c r="E16" i="19"/>
  <c r="E17" i="19"/>
  <c r="E21" i="19"/>
  <c r="E22" i="19"/>
  <c r="E26" i="19"/>
  <c r="E27" i="19"/>
  <c r="E28" i="19"/>
  <c r="E29" i="19"/>
  <c r="E30" i="19"/>
  <c r="E35" i="19"/>
  <c r="E36" i="19"/>
  <c r="E37" i="19"/>
  <c r="E38" i="19"/>
  <c r="E39" i="19"/>
  <c r="E43" i="19"/>
  <c r="E41" i="19" s="1"/>
  <c r="E44" i="19"/>
  <c r="E48" i="19"/>
  <c r="E46" i="19" s="1"/>
  <c r="E54" i="19"/>
  <c r="E55" i="19"/>
  <c r="E56" i="19"/>
  <c r="E57" i="19"/>
  <c r="E61" i="19"/>
  <c r="E62" i="19"/>
  <c r="E63" i="19"/>
  <c r="E64" i="19"/>
  <c r="E65" i="19"/>
  <c r="E67" i="19"/>
  <c r="E71" i="19"/>
  <c r="E72" i="19"/>
  <c r="E73" i="19"/>
  <c r="E74" i="19"/>
  <c r="E78" i="19"/>
  <c r="E79" i="19"/>
  <c r="E80" i="19"/>
  <c r="E81" i="19"/>
  <c r="E82" i="19"/>
  <c r="E83" i="19"/>
  <c r="E84" i="19"/>
  <c r="E88" i="19"/>
  <c r="E89" i="19"/>
  <c r="E90" i="19"/>
  <c r="E91" i="19"/>
  <c r="E95" i="19"/>
  <c r="E93" i="19" s="1"/>
  <c r="E99" i="19"/>
  <c r="E100" i="19"/>
  <c r="E101" i="19"/>
  <c r="E105" i="19"/>
  <c r="E106" i="19"/>
  <c r="E107" i="19"/>
  <c r="E108" i="19"/>
  <c r="E109" i="19"/>
  <c r="E110" i="19"/>
  <c r="E111" i="19"/>
  <c r="E112" i="19"/>
  <c r="E116" i="19"/>
  <c r="E114" i="19" s="1"/>
  <c r="E120" i="19"/>
  <c r="E121" i="19"/>
  <c r="E122" i="19"/>
  <c r="E128" i="19"/>
  <c r="E129" i="19"/>
  <c r="E130" i="19"/>
  <c r="E131" i="19"/>
  <c r="E135" i="19"/>
  <c r="E133" i="19" s="1"/>
  <c r="E139" i="19"/>
  <c r="E140" i="19"/>
  <c r="E141" i="19"/>
  <c r="E142" i="19"/>
  <c r="E143" i="19"/>
  <c r="E144" i="19"/>
  <c r="E148" i="19"/>
  <c r="E149" i="19"/>
  <c r="E153" i="19"/>
  <c r="E154" i="19"/>
  <c r="E155" i="19"/>
  <c r="E156" i="19"/>
  <c r="E157" i="19"/>
  <c r="E158" i="19"/>
  <c r="E159" i="19"/>
  <c r="E160" i="19"/>
  <c r="E166" i="19"/>
  <c r="E167" i="19"/>
  <c r="E168" i="19"/>
  <c r="E169" i="19"/>
  <c r="E170" i="19"/>
  <c r="E171" i="19"/>
  <c r="E172" i="19"/>
  <c r="E173" i="19"/>
  <c r="E177" i="19"/>
  <c r="E178" i="19"/>
  <c r="E175" i="19" s="1"/>
  <c r="E182" i="19"/>
  <c r="E183" i="19"/>
  <c r="E189" i="19"/>
  <c r="E190" i="19"/>
  <c r="E194" i="19"/>
  <c r="E192" i="19" s="1"/>
  <c r="E198" i="19"/>
  <c r="E196" i="19" s="1"/>
  <c r="E202" i="19"/>
  <c r="E203" i="19"/>
  <c r="E209" i="19"/>
  <c r="E210" i="19"/>
  <c r="B220" i="19"/>
  <c r="B419" i="19" s="1"/>
  <c r="E222" i="19"/>
  <c r="E223" i="19"/>
  <c r="E224" i="19"/>
  <c r="E228" i="19"/>
  <c r="E229" i="19"/>
  <c r="E233" i="19"/>
  <c r="E234" i="19"/>
  <c r="E235" i="19"/>
  <c r="E236" i="19"/>
  <c r="E237" i="19"/>
  <c r="E242" i="19"/>
  <c r="E243" i="19"/>
  <c r="E244" i="19"/>
  <c r="E245" i="19"/>
  <c r="E246" i="19"/>
  <c r="E250" i="19"/>
  <c r="E251" i="19"/>
  <c r="E255" i="19"/>
  <c r="E253" i="19" s="1"/>
  <c r="E261" i="19"/>
  <c r="E262" i="19"/>
  <c r="E263" i="19"/>
  <c r="E264" i="19"/>
  <c r="E268" i="19"/>
  <c r="E269" i="19"/>
  <c r="E270" i="19"/>
  <c r="E271" i="19"/>
  <c r="E272" i="19"/>
  <c r="E276" i="19"/>
  <c r="E277" i="19"/>
  <c r="E278" i="19"/>
  <c r="E279" i="19"/>
  <c r="E280" i="19"/>
  <c r="E281" i="19"/>
  <c r="E285" i="19"/>
  <c r="E286" i="19"/>
  <c r="E287" i="19"/>
  <c r="E288" i="19"/>
  <c r="E289" i="19"/>
  <c r="E290" i="19"/>
  <c r="E295" i="19"/>
  <c r="E296" i="19"/>
  <c r="E297" i="19"/>
  <c r="E298" i="19"/>
  <c r="E302" i="19"/>
  <c r="E300" i="19" s="1"/>
  <c r="E306" i="19"/>
  <c r="E307" i="19"/>
  <c r="E308" i="19"/>
  <c r="E312" i="19"/>
  <c r="E313" i="19"/>
  <c r="E314" i="19"/>
  <c r="E315" i="19"/>
  <c r="E316" i="19"/>
  <c r="E317" i="19"/>
  <c r="E318" i="19"/>
  <c r="E319" i="19"/>
  <c r="E323" i="19"/>
  <c r="E321" i="19" s="1"/>
  <c r="E327" i="19"/>
  <c r="E328" i="19"/>
  <c r="E329" i="19"/>
  <c r="E335" i="19"/>
  <c r="E336" i="19"/>
  <c r="E337" i="19"/>
  <c r="E338" i="19"/>
  <c r="E342" i="19"/>
  <c r="E340" i="19" s="1"/>
  <c r="E346" i="19"/>
  <c r="E347" i="19"/>
  <c r="E348" i="19"/>
  <c r="E349" i="19"/>
  <c r="E350" i="19"/>
  <c r="E351" i="19"/>
  <c r="E355" i="19"/>
  <c r="E356" i="19"/>
  <c r="E360" i="19"/>
  <c r="E361" i="19"/>
  <c r="E362" i="19"/>
  <c r="E363" i="19"/>
  <c r="E364" i="19"/>
  <c r="E365" i="19"/>
  <c r="E366" i="19"/>
  <c r="E367" i="19"/>
  <c r="E373" i="19"/>
  <c r="E374" i="19"/>
  <c r="E375" i="19"/>
  <c r="E376" i="19"/>
  <c r="E377" i="19"/>
  <c r="E378" i="19"/>
  <c r="E379" i="19"/>
  <c r="E380" i="19"/>
  <c r="E384" i="19"/>
  <c r="E385" i="19"/>
  <c r="E389" i="19"/>
  <c r="E390" i="19"/>
  <c r="E396" i="19"/>
  <c r="E397" i="19"/>
  <c r="E401" i="19"/>
  <c r="E399" i="19" s="1"/>
  <c r="E405" i="19"/>
  <c r="E403" i="19" s="1"/>
  <c r="E409" i="19"/>
  <c r="E410" i="19"/>
  <c r="E416" i="19"/>
  <c r="E417" i="19"/>
  <c r="E425" i="19"/>
  <c r="E427" i="19"/>
  <c r="E433" i="19"/>
  <c r="E438" i="19"/>
  <c r="E446" i="19"/>
  <c r="E447" i="19"/>
  <c r="E424" i="19"/>
  <c r="E455" i="19"/>
  <c r="E460" i="19"/>
  <c r="E466" i="19"/>
  <c r="E473" i="19"/>
  <c r="E481" i="19"/>
  <c r="B490" i="19"/>
  <c r="B624" i="19" s="1"/>
  <c r="E490" i="19"/>
  <c r="E464" i="19"/>
  <c r="E500" i="19"/>
  <c r="E507" i="19"/>
  <c r="E511" i="19"/>
  <c r="E517" i="19"/>
  <c r="E528" i="19"/>
  <c r="E532" i="19"/>
  <c r="E540" i="19"/>
  <c r="E549" i="19"/>
  <c r="E547" i="19"/>
  <c r="E551" i="19"/>
  <c r="E560" i="19"/>
  <c r="E565" i="19"/>
  <c r="E577" i="19"/>
  <c r="E587" i="19"/>
  <c r="E592" i="19"/>
  <c r="E599" i="19"/>
  <c r="E604" i="19"/>
  <c r="E608" i="19"/>
  <c r="E612" i="19"/>
  <c r="E617" i="19"/>
  <c r="E619" i="19"/>
  <c r="E629" i="19"/>
  <c r="E631" i="19"/>
  <c r="E628" i="19"/>
  <c r="E637" i="19"/>
  <c r="E642" i="19"/>
  <c r="E650" i="19"/>
  <c r="E651" i="19"/>
  <c r="E659" i="19"/>
  <c r="E664" i="19"/>
  <c r="E670" i="19"/>
  <c r="E677" i="19"/>
  <c r="E685" i="19"/>
  <c r="E694" i="19"/>
  <c r="E704" i="19"/>
  <c r="E711" i="19"/>
  <c r="E715" i="19"/>
  <c r="E721" i="19"/>
  <c r="E732" i="19"/>
  <c r="E736" i="19"/>
  <c r="E744" i="19"/>
  <c r="E742" i="19"/>
  <c r="E753" i="19"/>
  <c r="E751" i="19"/>
  <c r="E755" i="19"/>
  <c r="E764" i="19"/>
  <c r="E769" i="19"/>
  <c r="E781" i="19"/>
  <c r="E779" i="19"/>
  <c r="E791" i="19"/>
  <c r="E796" i="19"/>
  <c r="E803" i="19"/>
  <c r="E808" i="19"/>
  <c r="E812" i="19"/>
  <c r="E801" i="19"/>
  <c r="E828" i="19"/>
  <c r="E816" i="19"/>
  <c r="E821" i="19"/>
  <c r="E823" i="19"/>
  <c r="B828" i="19"/>
  <c r="E837" i="19"/>
  <c r="B838" i="19"/>
  <c r="E838" i="19"/>
  <c r="E839" i="19"/>
  <c r="B840" i="19"/>
  <c r="B841" i="19"/>
  <c r="B842" i="19"/>
  <c r="E843" i="19"/>
  <c r="E841" i="19" s="1"/>
  <c r="E844" i="19"/>
  <c r="E848" i="19"/>
  <c r="E849" i="19"/>
  <c r="E850" i="19"/>
  <c r="E851" i="19"/>
  <c r="E852" i="19"/>
  <c r="E857" i="19"/>
  <c r="E858" i="19"/>
  <c r="E859" i="19"/>
  <c r="E860" i="19"/>
  <c r="E861" i="19"/>
  <c r="E865" i="19"/>
  <c r="E866" i="19"/>
  <c r="E870" i="19"/>
  <c r="E868" i="19" s="1"/>
  <c r="E876" i="19"/>
  <c r="E877" i="19"/>
  <c r="E878" i="19"/>
  <c r="E879" i="19"/>
  <c r="E883" i="19"/>
  <c r="E884" i="19"/>
  <c r="E885" i="19"/>
  <c r="E886" i="19"/>
  <c r="E887" i="19"/>
  <c r="E891" i="19"/>
  <c r="E892" i="19"/>
  <c r="E893" i="19"/>
  <c r="E894" i="19"/>
  <c r="E895" i="19"/>
  <c r="E896" i="19"/>
  <c r="E900" i="19"/>
  <c r="E901" i="19"/>
  <c r="E902" i="19"/>
  <c r="E903" i="19"/>
  <c r="E904" i="19"/>
  <c r="E905" i="19"/>
  <c r="E906" i="19"/>
  <c r="E910" i="19"/>
  <c r="E911" i="19"/>
  <c r="E912" i="19"/>
  <c r="E913" i="19"/>
  <c r="E917" i="19"/>
  <c r="E915" i="19" s="1"/>
  <c r="E921" i="19"/>
  <c r="E922" i="19"/>
  <c r="E923" i="19"/>
  <c r="E927" i="19"/>
  <c r="E928" i="19"/>
  <c r="E929" i="19"/>
  <c r="E930" i="19"/>
  <c r="E931" i="19"/>
  <c r="E932" i="19"/>
  <c r="E933" i="19"/>
  <c r="E934" i="19"/>
  <c r="E938" i="19"/>
  <c r="E936" i="19"/>
  <c r="E942" i="19"/>
  <c r="E943" i="19"/>
  <c r="E944" i="19"/>
  <c r="E950" i="19"/>
  <c r="E951" i="19"/>
  <c r="E952" i="19"/>
  <c r="E953" i="19"/>
  <c r="E957" i="19"/>
  <c r="E955" i="19" s="1"/>
  <c r="E961" i="19"/>
  <c r="E962" i="19"/>
  <c r="E963" i="19"/>
  <c r="E964" i="19"/>
  <c r="E965" i="19"/>
  <c r="E966" i="19"/>
  <c r="E970" i="19"/>
  <c r="E971" i="19"/>
  <c r="E975" i="19"/>
  <c r="E976" i="19"/>
  <c r="E977" i="19"/>
  <c r="E978" i="19"/>
  <c r="E979" i="19"/>
  <c r="E980" i="19"/>
  <c r="E981" i="19"/>
  <c r="E982" i="19"/>
  <c r="E988" i="19"/>
  <c r="E989" i="19"/>
  <c r="E990" i="19"/>
  <c r="E991" i="19"/>
  <c r="E992" i="19"/>
  <c r="E993" i="19"/>
  <c r="E994" i="19"/>
  <c r="E995" i="19"/>
  <c r="E999" i="19"/>
  <c r="E997" i="19" s="1"/>
  <c r="E1000" i="19"/>
  <c r="E1004" i="19"/>
  <c r="E1005" i="19"/>
  <c r="E1011" i="19"/>
  <c r="E1012" i="19"/>
  <c r="E1016" i="19"/>
  <c r="E1014" i="19" s="1"/>
  <c r="E1020" i="19"/>
  <c r="E1018" i="19" s="1"/>
  <c r="E1024" i="19"/>
  <c r="E1025" i="19"/>
  <c r="E1031" i="19"/>
  <c r="E1032" i="19"/>
  <c r="N7" i="27"/>
  <c r="L23" i="27"/>
  <c r="L35" i="27"/>
  <c r="L123" i="27"/>
  <c r="L128" i="27"/>
  <c r="L136" i="27"/>
  <c r="L139" i="27"/>
  <c r="L210" i="27"/>
  <c r="L221" i="27"/>
  <c r="L216" i="27"/>
  <c r="F216" i="27"/>
  <c r="L235" i="27"/>
  <c r="L239" i="27"/>
  <c r="F239" i="27"/>
  <c r="L245" i="27"/>
  <c r="L258" i="27"/>
  <c r="L276" i="27"/>
  <c r="Q14" i="28"/>
  <c r="Q12" i="28"/>
  <c r="Q10" i="28"/>
  <c r="R14" i="28"/>
  <c r="R12" i="28"/>
  <c r="R10" i="28"/>
  <c r="Q16" i="28"/>
  <c r="R16" i="28"/>
  <c r="P17" i="28"/>
  <c r="L28" i="28"/>
  <c r="N54" i="28"/>
  <c r="L57" i="28"/>
  <c r="N88" i="28"/>
  <c r="N92" i="28"/>
  <c r="L98" i="28"/>
  <c r="L103" i="28"/>
  <c r="L105" i="28"/>
  <c r="P107" i="28"/>
  <c r="L108" i="28"/>
  <c r="L110" i="28"/>
  <c r="L111" i="28"/>
  <c r="L124" i="28"/>
  <c r="L125" i="28"/>
  <c r="L127" i="28"/>
  <c r="L139" i="28"/>
  <c r="L140" i="28"/>
  <c r="L141" i="28"/>
  <c r="L142" i="28"/>
  <c r="L143" i="28"/>
  <c r="N210" i="28"/>
  <c r="P210" i="28"/>
  <c r="N235" i="28"/>
  <c r="O235" i="28"/>
  <c r="P235" i="28"/>
  <c r="M235" i="28"/>
  <c r="M239" i="28"/>
  <c r="N239" i="28"/>
  <c r="O239" i="28"/>
  <c r="L245" i="28"/>
  <c r="F245" i="28"/>
  <c r="L276" i="28"/>
  <c r="P17" i="26"/>
  <c r="L24" i="26"/>
  <c r="L30" i="26"/>
  <c r="M35" i="26"/>
  <c r="N88" i="26"/>
  <c r="L98" i="26"/>
  <c r="L103" i="26"/>
  <c r="L105" i="26"/>
  <c r="P107" i="26"/>
  <c r="L108" i="26"/>
  <c r="L110" i="26"/>
  <c r="L111" i="26"/>
  <c r="L124" i="26"/>
  <c r="L125" i="26"/>
  <c r="L127" i="26"/>
  <c r="L139" i="26"/>
  <c r="L140" i="26"/>
  <c r="L141" i="26"/>
  <c r="L142" i="26"/>
  <c r="L143" i="26"/>
  <c r="N210" i="26"/>
  <c r="P210" i="26"/>
  <c r="N235" i="26"/>
  <c r="O235" i="26"/>
  <c r="P235" i="26"/>
  <c r="L236" i="26"/>
  <c r="L235" i="26"/>
  <c r="M239" i="26"/>
  <c r="N239" i="26"/>
  <c r="O239" i="26"/>
  <c r="L245" i="26"/>
  <c r="F245" i="26"/>
  <c r="O276" i="26"/>
  <c r="E31" i="16"/>
  <c r="E31" i="11"/>
  <c r="A141" i="24"/>
  <c r="B141" i="24"/>
  <c r="B144" i="24" s="1"/>
  <c r="B169" i="23"/>
  <c r="B84" i="21"/>
  <c r="B136" i="21"/>
  <c r="B137" i="21"/>
  <c r="B138" i="21"/>
  <c r="A168" i="21"/>
  <c r="B168" i="21"/>
  <c r="B171" i="21" s="1"/>
  <c r="A169" i="21"/>
  <c r="M362" i="28"/>
  <c r="N362" i="26"/>
  <c r="O362" i="28"/>
  <c r="O276" i="28"/>
  <c r="C11" i="15"/>
  <c r="D11" i="15"/>
  <c r="F11" i="15"/>
  <c r="E11" i="15"/>
  <c r="D15" i="15"/>
  <c r="D9" i="15" s="1"/>
  <c r="K9" i="15" s="1"/>
  <c r="F15" i="15"/>
  <c r="F9" i="15" s="1"/>
  <c r="M9" i="15" s="1"/>
  <c r="C24" i="15"/>
  <c r="D24" i="15"/>
  <c r="E24" i="15"/>
  <c r="G26" i="15"/>
  <c r="G24" i="15" s="1"/>
  <c r="C28" i="15"/>
  <c r="D28" i="15"/>
  <c r="F28" i="15"/>
  <c r="G30" i="15"/>
  <c r="E28" i="15"/>
  <c r="C33" i="15"/>
  <c r="D33" i="15"/>
  <c r="F33" i="15"/>
  <c r="G35" i="15"/>
  <c r="E81" i="15"/>
  <c r="E139" i="13"/>
  <c r="G215" i="15"/>
  <c r="D189" i="13"/>
  <c r="C194" i="13"/>
  <c r="F214" i="13"/>
  <c r="D218" i="13"/>
  <c r="C225" i="13"/>
  <c r="C223" i="13" s="1"/>
  <c r="F225" i="13"/>
  <c r="F223" i="13" s="1"/>
  <c r="G257" i="15"/>
  <c r="D13" i="3"/>
  <c r="D73" i="3"/>
  <c r="D80" i="3"/>
  <c r="D84" i="3"/>
  <c r="D106" i="3"/>
  <c r="D121" i="3"/>
  <c r="D125" i="3"/>
  <c r="D171" i="3"/>
  <c r="D176" i="3"/>
  <c r="D183" i="3"/>
  <c r="D201" i="3"/>
  <c r="D206" i="3"/>
  <c r="J10" i="4"/>
  <c r="F11" i="4"/>
  <c r="J11" i="4"/>
  <c r="F178" i="4"/>
  <c r="H178" i="4"/>
  <c r="J178" i="4"/>
  <c r="B178" i="4" s="1"/>
  <c r="F209" i="4"/>
  <c r="B209" i="4" s="1"/>
  <c r="F207" i="4"/>
  <c r="F205" i="4" s="1"/>
  <c r="G13" i="6"/>
  <c r="G27" i="6"/>
  <c r="A19" i="6"/>
  <c r="E14" i="1"/>
  <c r="F14" i="1"/>
  <c r="G14" i="1"/>
  <c r="H14" i="1"/>
  <c r="J14" i="1"/>
  <c r="K14" i="1"/>
  <c r="L14" i="1"/>
  <c r="M14" i="1"/>
  <c r="N14" i="1"/>
  <c r="O14" i="1"/>
  <c r="P14" i="1"/>
  <c r="Q14" i="1"/>
  <c r="Q44" i="1"/>
  <c r="R14" i="1"/>
  <c r="T14" i="1"/>
  <c r="U14" i="1"/>
  <c r="U44" i="1"/>
  <c r="V14" i="1"/>
  <c r="W14" i="1"/>
  <c r="X14" i="1"/>
  <c r="Y14" i="1"/>
  <c r="Z14" i="1"/>
  <c r="AA14" i="1"/>
  <c r="I17" i="1"/>
  <c r="I14" i="1"/>
  <c r="S17" i="1"/>
  <c r="S14" i="1"/>
  <c r="V19" i="1"/>
  <c r="I23" i="1"/>
  <c r="E31" i="1"/>
  <c r="F31" i="1"/>
  <c r="G31" i="1"/>
  <c r="H31" i="1"/>
  <c r="K31" i="1"/>
  <c r="K44" i="1"/>
  <c r="L31" i="1"/>
  <c r="L44" i="1"/>
  <c r="M31" i="1"/>
  <c r="M44" i="1"/>
  <c r="N31" i="1"/>
  <c r="N44" i="1"/>
  <c r="O31" i="1"/>
  <c r="O44" i="1"/>
  <c r="P31" i="1"/>
  <c r="P44" i="1"/>
  <c r="Q31" i="1"/>
  <c r="R31" i="1"/>
  <c r="R44" i="1"/>
  <c r="S31" i="1"/>
  <c r="S44" i="1"/>
  <c r="T31" i="1"/>
  <c r="T44" i="1"/>
  <c r="U31" i="1"/>
  <c r="X31" i="1"/>
  <c r="X44" i="1"/>
  <c r="Y31" i="1"/>
  <c r="Y44" i="1"/>
  <c r="Z31" i="1"/>
  <c r="AA31" i="1"/>
  <c r="AA44" i="1"/>
  <c r="J33" i="1"/>
  <c r="J31" i="1"/>
  <c r="J44" i="1"/>
  <c r="V33" i="1"/>
  <c r="V31" i="1"/>
  <c r="V44" i="1"/>
  <c r="W33" i="1"/>
  <c r="W31" i="1"/>
  <c r="W44" i="1"/>
  <c r="I34" i="1"/>
  <c r="I31" i="1"/>
  <c r="I44" i="1"/>
  <c r="J34" i="1"/>
  <c r="V34" i="1"/>
  <c r="W34" i="1"/>
  <c r="V36" i="1"/>
  <c r="W36" i="1"/>
  <c r="T39" i="1"/>
  <c r="U39" i="1"/>
  <c r="V39" i="1"/>
  <c r="W39" i="1"/>
  <c r="X39" i="1"/>
  <c r="Y39" i="1"/>
  <c r="Z39" i="1"/>
  <c r="AA39" i="1"/>
  <c r="G16" i="14"/>
  <c r="H14" i="14"/>
  <c r="G21" i="14"/>
  <c r="H19" i="14" s="1"/>
  <c r="G31" i="14"/>
  <c r="G29" i="14"/>
  <c r="G39" i="14"/>
  <c r="G13" i="15"/>
  <c r="G11" i="15" s="1"/>
  <c r="D81" i="15"/>
  <c r="E214" i="13"/>
  <c r="L147" i="26"/>
  <c r="F121" i="4"/>
  <c r="B203" i="5"/>
  <c r="I203" i="5" s="1"/>
  <c r="C254" i="15"/>
  <c r="C252" i="15" s="1"/>
  <c r="H121" i="4"/>
  <c r="B209" i="5"/>
  <c r="E169" i="15"/>
  <c r="G220" i="15"/>
  <c r="G218" i="15" s="1"/>
  <c r="F254" i="15"/>
  <c r="F252" i="15" s="1"/>
  <c r="C218" i="15"/>
  <c r="D247" i="15"/>
  <c r="F81" i="15"/>
  <c r="D207" i="5"/>
  <c r="D205" i="5" s="1"/>
  <c r="B210" i="5"/>
  <c r="B206" i="3"/>
  <c r="H207" i="4"/>
  <c r="D121" i="5"/>
  <c r="B123" i="5"/>
  <c r="N136" i="26"/>
  <c r="F169" i="15"/>
  <c r="F139" i="13"/>
  <c r="G256" i="15"/>
  <c r="G254" i="15" s="1"/>
  <c r="G252" i="15" s="1"/>
  <c r="P221" i="28"/>
  <c r="P216" i="28"/>
  <c r="P221" i="26"/>
  <c r="P216" i="26"/>
  <c r="G226" i="15"/>
  <c r="D214" i="13"/>
  <c r="D243" i="15"/>
  <c r="C81" i="15"/>
  <c r="G83" i="15"/>
  <c r="G81" i="15" s="1"/>
  <c r="G175" i="15"/>
  <c r="M123" i="28"/>
  <c r="F189" i="13"/>
  <c r="F218" i="15"/>
  <c r="P239" i="28"/>
  <c r="F243" i="15"/>
  <c r="N276" i="28"/>
  <c r="N276" i="26"/>
  <c r="B132" i="22"/>
  <c r="L119" i="28"/>
  <c r="D254" i="15"/>
  <c r="D252" i="15" s="1"/>
  <c r="D139" i="13"/>
  <c r="D169" i="15"/>
  <c r="O221" i="28"/>
  <c r="O216" i="28"/>
  <c r="O221" i="26"/>
  <c r="O216" i="26"/>
  <c r="O136" i="26"/>
  <c r="L149" i="26"/>
  <c r="M136" i="28"/>
  <c r="D218" i="15"/>
  <c r="M210" i="28"/>
  <c r="M210" i="26"/>
  <c r="P200" i="26"/>
  <c r="P276" i="28"/>
  <c r="P276" i="26"/>
  <c r="L148" i="26"/>
  <c r="L120" i="26"/>
  <c r="M221" i="26"/>
  <c r="M216" i="26"/>
  <c r="L149" i="28"/>
  <c r="N123" i="26"/>
  <c r="N123" i="28"/>
  <c r="M200" i="28"/>
  <c r="M200" i="26"/>
  <c r="M276" i="28"/>
  <c r="L263" i="26"/>
  <c r="L263" i="28"/>
  <c r="L150" i="26"/>
  <c r="L130" i="26"/>
  <c r="N258" i="28"/>
  <c r="N256" i="28"/>
  <c r="N243" i="28"/>
  <c r="P136" i="28"/>
  <c r="L152" i="26"/>
  <c r="N107" i="26"/>
  <c r="N107" i="28"/>
  <c r="L134" i="28"/>
  <c r="O117" i="28"/>
  <c r="L109" i="28"/>
  <c r="P123" i="28"/>
  <c r="P123" i="26"/>
  <c r="P117" i="26"/>
  <c r="L131" i="26"/>
  <c r="L131" i="28"/>
  <c r="O123" i="26"/>
  <c r="O123" i="28"/>
  <c r="M117" i="26"/>
  <c r="E243" i="15"/>
  <c r="G209" i="15"/>
  <c r="G176" i="15"/>
  <c r="G184" i="15"/>
  <c r="C139" i="13"/>
  <c r="C169" i="15"/>
  <c r="G171" i="15"/>
  <c r="G169" i="15"/>
  <c r="E218" i="15"/>
  <c r="G221" i="15"/>
  <c r="E254" i="15"/>
  <c r="E252" i="15" s="1"/>
  <c r="G178" i="15"/>
  <c r="G180" i="15"/>
  <c r="F196" i="4"/>
  <c r="P88" i="26"/>
  <c r="P88" i="28"/>
  <c r="M88" i="26"/>
  <c r="L104" i="28"/>
  <c r="L104" i="26"/>
  <c r="P92" i="28"/>
  <c r="D38" i="3"/>
  <c r="D134" i="3"/>
  <c r="D53" i="3"/>
  <c r="D114" i="3"/>
  <c r="D139" i="3"/>
  <c r="D159" i="3"/>
  <c r="D45" i="3"/>
  <c r="D62" i="3"/>
  <c r="D90" i="3"/>
  <c r="N35" i="26"/>
  <c r="N35" i="28"/>
  <c r="E225" i="13"/>
  <c r="E223" i="13" s="1"/>
  <c r="P362" i="28"/>
  <c r="P362" i="26"/>
  <c r="G22" i="15"/>
  <c r="C23" i="2"/>
  <c r="E15" i="15"/>
  <c r="C74" i="18"/>
  <c r="F40" i="18"/>
  <c r="F39" i="18"/>
  <c r="D39" i="18"/>
  <c r="G200" i="18"/>
  <c r="G167" i="18"/>
  <c r="G178" i="18"/>
  <c r="E40" i="18"/>
  <c r="E39" i="18"/>
  <c r="L62" i="28"/>
  <c r="L62" i="26"/>
  <c r="B132" i="21"/>
  <c r="O362" i="26"/>
  <c r="G31" i="15"/>
  <c r="G28" i="15"/>
  <c r="P35" i="26"/>
  <c r="M17" i="26"/>
  <c r="P66" i="26"/>
  <c r="P52" i="26"/>
  <c r="L59" i="28"/>
  <c r="L78" i="28"/>
  <c r="L58" i="28"/>
  <c r="L58" i="26"/>
  <c r="O66" i="28"/>
  <c r="O88" i="28"/>
  <c r="O88" i="26"/>
  <c r="Z44" i="1"/>
  <c r="B121" i="3"/>
  <c r="B121" i="5"/>
  <c r="K121" i="5" s="1"/>
  <c r="E150" i="15"/>
  <c r="E597" i="19"/>
  <c r="E538" i="19"/>
  <c r="G108" i="18"/>
  <c r="D121" i="4"/>
  <c r="E668" i="19"/>
  <c r="F178" i="18"/>
  <c r="G83" i="18"/>
  <c r="G74" i="18"/>
  <c r="E575" i="19"/>
  <c r="E624" i="19"/>
  <c r="C140" i="18"/>
  <c r="C34" i="18"/>
  <c r="E140" i="18"/>
  <c r="E34" i="18"/>
  <c r="E9" i="18"/>
  <c r="O39" i="26"/>
  <c r="O38" i="26"/>
  <c r="D74" i="18"/>
  <c r="D34" i="18"/>
  <c r="D61" i="18"/>
  <c r="F200" i="18"/>
  <c r="F9" i="18"/>
  <c r="E200" i="18"/>
  <c r="G153" i="18"/>
  <c r="G140" i="18"/>
  <c r="G40" i="18"/>
  <c r="G39" i="18"/>
  <c r="G34" i="18"/>
  <c r="O23" i="26"/>
  <c r="F34" i="18"/>
  <c r="O35" i="28"/>
  <c r="O35" i="26"/>
  <c r="D31" i="1"/>
  <c r="G148" i="13"/>
  <c r="N362" i="28"/>
  <c r="B203" i="4"/>
  <c r="I203" i="4" s="1"/>
  <c r="E173" i="15"/>
  <c r="E218" i="13"/>
  <c r="E247" i="15"/>
  <c r="L265" i="28"/>
  <c r="L265" i="26"/>
  <c r="G91" i="15"/>
  <c r="B167" i="5"/>
  <c r="D225" i="13"/>
  <c r="G141" i="13"/>
  <c r="G139" i="13" s="1"/>
  <c r="L68" i="28"/>
  <c r="P54" i="28"/>
  <c r="D207" i="15"/>
  <c r="N23" i="26"/>
  <c r="L266" i="28"/>
  <c r="L236" i="28"/>
  <c r="L235" i="28"/>
  <c r="L132" i="26"/>
  <c r="L126" i="28"/>
  <c r="L123" i="28"/>
  <c r="L113" i="28"/>
  <c r="P258" i="28"/>
  <c r="P256" i="28"/>
  <c r="P243" i="28"/>
  <c r="M107" i="28"/>
  <c r="N23" i="28"/>
  <c r="P23" i="26"/>
  <c r="N45" i="28"/>
  <c r="L87" i="26"/>
  <c r="O45" i="28"/>
  <c r="L138" i="28"/>
  <c r="O23" i="28"/>
  <c r="L112" i="28"/>
  <c r="P128" i="28"/>
  <c r="L107" i="27"/>
  <c r="L54" i="27"/>
  <c r="D196" i="5"/>
  <c r="C243" i="15"/>
  <c r="G245" i="15"/>
  <c r="G243" i="15" s="1"/>
  <c r="G216" i="13"/>
  <c r="G214" i="13" s="1"/>
  <c r="E239" i="15"/>
  <c r="D21" i="18"/>
  <c r="L20" i="28"/>
  <c r="F129" i="15"/>
  <c r="L214" i="28"/>
  <c r="L210" i="28"/>
  <c r="L64" i="28"/>
  <c r="P45" i="28"/>
  <c r="L43" i="28"/>
  <c r="L40" i="28"/>
  <c r="L45" i="27"/>
  <c r="F133" i="15"/>
  <c r="M17" i="28"/>
  <c r="M136" i="26"/>
  <c r="L133" i="28"/>
  <c r="L146" i="26"/>
  <c r="L84" i="28"/>
  <c r="L144" i="27"/>
  <c r="P54" i="26"/>
  <c r="N60" i="26"/>
  <c r="L137" i="28"/>
  <c r="L136" i="28"/>
  <c r="L109" i="26"/>
  <c r="N128" i="26"/>
  <c r="L84" i="26"/>
  <c r="C239" i="15"/>
  <c r="O107" i="26"/>
  <c r="N117" i="26"/>
  <c r="N115" i="26"/>
  <c r="L122" i="26"/>
  <c r="L46" i="26"/>
  <c r="P39" i="26"/>
  <c r="L122" i="28"/>
  <c r="L25" i="26"/>
  <c r="M66" i="28"/>
  <c r="L33" i="28"/>
  <c r="L72" i="26"/>
  <c r="L28" i="26"/>
  <c r="L33" i="26"/>
  <c r="L73" i="28"/>
  <c r="O60" i="28"/>
  <c r="L24" i="28"/>
  <c r="G179" i="15"/>
  <c r="L20" i="26"/>
  <c r="L70" i="26"/>
  <c r="M54" i="26"/>
  <c r="O17" i="26"/>
  <c r="O74" i="28"/>
  <c r="P74" i="28"/>
  <c r="M60" i="28"/>
  <c r="O54" i="28"/>
  <c r="L65" i="26"/>
  <c r="L81" i="26"/>
  <c r="L30" i="28"/>
  <c r="P83" i="28"/>
  <c r="L87" i="28"/>
  <c r="P23" i="28"/>
  <c r="P83" i="26"/>
  <c r="L60" i="27"/>
  <c r="L29" i="27"/>
  <c r="F16" i="27"/>
  <c r="L59" i="26"/>
  <c r="L80" i="28"/>
  <c r="L56" i="28"/>
  <c r="L48" i="28"/>
  <c r="L46" i="28"/>
  <c r="D182" i="15"/>
  <c r="M60" i="26"/>
  <c r="M52" i="26"/>
  <c r="C122" i="15"/>
  <c r="N144" i="26"/>
  <c r="L113" i="26"/>
  <c r="O210" i="28"/>
  <c r="O200" i="28"/>
  <c r="O83" i="26"/>
  <c r="L67" i="26"/>
  <c r="C182" i="15"/>
  <c r="N136" i="28"/>
  <c r="N92" i="26"/>
  <c r="P66" i="28"/>
  <c r="M83" i="28"/>
  <c r="E99" i="13"/>
  <c r="G129" i="15"/>
  <c r="L118" i="28"/>
  <c r="B173" i="23"/>
  <c r="O45" i="26"/>
  <c r="N29" i="26"/>
  <c r="M83" i="26"/>
  <c r="F94" i="15"/>
  <c r="D173" i="15"/>
  <c r="P144" i="26"/>
  <c r="O117" i="26"/>
  <c r="O136" i="28"/>
  <c r="L83" i="27"/>
  <c r="L71" i="28"/>
  <c r="L99" i="28"/>
  <c r="L118" i="26"/>
  <c r="C129" i="15"/>
  <c r="C152" i="13"/>
  <c r="L145" i="26"/>
  <c r="P200" i="28"/>
  <c r="L89" i="26"/>
  <c r="L88" i="26"/>
  <c r="F162" i="15"/>
  <c r="O74" i="26"/>
  <c r="L63" i="26"/>
  <c r="C210" i="13"/>
  <c r="M235" i="26"/>
  <c r="L112" i="26"/>
  <c r="L132" i="28"/>
  <c r="O144" i="26"/>
  <c r="M92" i="26"/>
  <c r="L121" i="26"/>
  <c r="O128" i="28"/>
  <c r="L63" i="28"/>
  <c r="P39" i="28"/>
  <c r="P29" i="28"/>
  <c r="L117" i="27"/>
  <c r="F201" i="13"/>
  <c r="O83" i="28"/>
  <c r="G216" i="15"/>
  <c r="F230" i="15"/>
  <c r="L74" i="27"/>
  <c r="G27" i="18"/>
  <c r="G25" i="18"/>
  <c r="G9" i="18"/>
  <c r="L146" i="28"/>
  <c r="M107" i="26"/>
  <c r="P29" i="26"/>
  <c r="P144" i="28"/>
  <c r="L66" i="27"/>
  <c r="L39" i="27"/>
  <c r="N45" i="26"/>
  <c r="L44" i="26"/>
  <c r="L37" i="26"/>
  <c r="L35" i="26"/>
  <c r="L56" i="26"/>
  <c r="M117" i="28"/>
  <c r="M115" i="28"/>
  <c r="E133" i="15"/>
  <c r="O107" i="28"/>
  <c r="L129" i="28"/>
  <c r="N83" i="26"/>
  <c r="L80" i="26"/>
  <c r="L76" i="26"/>
  <c r="L64" i="26"/>
  <c r="L76" i="28"/>
  <c r="L107" i="28"/>
  <c r="L133" i="26"/>
  <c r="N29" i="28"/>
  <c r="L85" i="26"/>
  <c r="L201" i="26"/>
  <c r="L135" i="26"/>
  <c r="L85" i="28"/>
  <c r="D150" i="15"/>
  <c r="E230" i="15"/>
  <c r="L102" i="28"/>
  <c r="N74" i="26"/>
  <c r="L75" i="26"/>
  <c r="P136" i="26"/>
  <c r="L148" i="28"/>
  <c r="N144" i="28"/>
  <c r="O144" i="28"/>
  <c r="L147" i="28"/>
  <c r="O128" i="26"/>
  <c r="L129" i="26"/>
  <c r="N54" i="26"/>
  <c r="L55" i="26"/>
  <c r="M39" i="26"/>
  <c r="M38" i="26"/>
  <c r="L99" i="26"/>
  <c r="P117" i="28"/>
  <c r="P115" i="28"/>
  <c r="L121" i="28"/>
  <c r="O258" i="26"/>
  <c r="O256" i="26"/>
  <c r="O243" i="26"/>
  <c r="D207" i="4"/>
  <c r="N66" i="26"/>
  <c r="L69" i="26"/>
  <c r="L61" i="26"/>
  <c r="O60" i="26"/>
  <c r="E154" i="15"/>
  <c r="L137" i="26"/>
  <c r="L136" i="26"/>
  <c r="M221" i="28"/>
  <c r="M216" i="28"/>
  <c r="N258" i="26"/>
  <c r="N256" i="26"/>
  <c r="N243" i="26"/>
  <c r="M88" i="28"/>
  <c r="L89" i="28"/>
  <c r="L88" i="28"/>
  <c r="L95" i="26"/>
  <c r="L130" i="28"/>
  <c r="N128" i="28"/>
  <c r="L22" i="26"/>
  <c r="C187" i="15"/>
  <c r="M123" i="26"/>
  <c r="L126" i="26"/>
  <c r="L123" i="26"/>
  <c r="P92" i="26"/>
  <c r="P128" i="26"/>
  <c r="L134" i="26"/>
  <c r="M128" i="26"/>
  <c r="L94" i="28"/>
  <c r="L41" i="26"/>
  <c r="L18" i="28"/>
  <c r="O17" i="28"/>
  <c r="L135" i="28"/>
  <c r="M128" i="28"/>
  <c r="M144" i="26"/>
  <c r="M115" i="26"/>
  <c r="L119" i="26"/>
  <c r="L70" i="28"/>
  <c r="N66" i="28"/>
  <c r="L65" i="28"/>
  <c r="P60" i="28"/>
  <c r="L31" i="28"/>
  <c r="M29" i="28"/>
  <c r="E207" i="15"/>
  <c r="L120" i="28"/>
  <c r="N117" i="28"/>
  <c r="L214" i="26"/>
  <c r="L210" i="26"/>
  <c r="O210" i="26"/>
  <c r="O200" i="26"/>
  <c r="O198" i="26"/>
  <c r="M276" i="26"/>
  <c r="L277" i="26"/>
  <c r="L276" i="26"/>
  <c r="M144" i="28"/>
  <c r="L145" i="28"/>
  <c r="C154" i="15"/>
  <c r="L92" i="27"/>
  <c r="L52" i="27"/>
  <c r="F52" i="27"/>
  <c r="L34" i="28"/>
  <c r="L86" i="28"/>
  <c r="L32" i="28"/>
  <c r="L77" i="28"/>
  <c r="L138" i="26"/>
  <c r="L44" i="28"/>
  <c r="L37" i="28"/>
  <c r="L35" i="28"/>
  <c r="L86" i="26"/>
  <c r="L83" i="26"/>
  <c r="L77" i="26"/>
  <c r="L68" i="26"/>
  <c r="P60" i="26"/>
  <c r="L43" i="26"/>
  <c r="L40" i="26"/>
  <c r="L79" i="28"/>
  <c r="L69" i="28"/>
  <c r="L55" i="28"/>
  <c r="L47" i="28"/>
  <c r="M74" i="26"/>
  <c r="L72" i="28"/>
  <c r="L32" i="26"/>
  <c r="L78" i="26"/>
  <c r="L34" i="26"/>
  <c r="G145" i="13"/>
  <c r="F75" i="15"/>
  <c r="F235" i="15"/>
  <c r="G208" i="13"/>
  <c r="G206" i="13" s="1"/>
  <c r="F239" i="15"/>
  <c r="F210" i="13"/>
  <c r="F218" i="13"/>
  <c r="G250" i="15"/>
  <c r="N83" i="28"/>
  <c r="C235" i="15"/>
  <c r="G235" i="15"/>
  <c r="C46" i="15"/>
  <c r="M29" i="26"/>
  <c r="M23" i="26"/>
  <c r="M54" i="28"/>
  <c r="M45" i="28"/>
  <c r="L48" i="26"/>
  <c r="F67" i="15"/>
  <c r="F66" i="15"/>
  <c r="D66" i="15"/>
  <c r="F52" i="15"/>
  <c r="D67" i="15"/>
  <c r="F154" i="15"/>
  <c r="F223" i="15"/>
  <c r="D75" i="15"/>
  <c r="L67" i="28"/>
  <c r="L71" i="26"/>
  <c r="O66" i="26"/>
  <c r="M66" i="26"/>
  <c r="L73" i="26"/>
  <c r="L31" i="26"/>
  <c r="O29" i="26"/>
  <c r="D94" i="15"/>
  <c r="D46" i="15"/>
  <c r="D44" i="15"/>
  <c r="F87" i="15"/>
  <c r="L57" i="26"/>
  <c r="L54" i="26"/>
  <c r="L52" i="26"/>
  <c r="O54" i="26"/>
  <c r="L42" i="28"/>
  <c r="N39" i="28"/>
  <c r="L41" i="28"/>
  <c r="O39" i="28"/>
  <c r="P74" i="26"/>
  <c r="L79" i="26"/>
  <c r="C99" i="13"/>
  <c r="N74" i="28"/>
  <c r="L81" i="28"/>
  <c r="L61" i="28"/>
  <c r="L60" i="28"/>
  <c r="N60" i="28"/>
  <c r="D187" i="15"/>
  <c r="D133" i="15"/>
  <c r="N17" i="26"/>
  <c r="L18" i="26"/>
  <c r="O29" i="28"/>
  <c r="C94" i="15"/>
  <c r="M39" i="28"/>
  <c r="C102" i="15"/>
  <c r="N39" i="26"/>
  <c r="L42" i="26"/>
  <c r="M74" i="28"/>
  <c r="L75" i="28"/>
  <c r="L47" i="26"/>
  <c r="L45" i="26"/>
  <c r="M45" i="26"/>
  <c r="L22" i="28"/>
  <c r="N17" i="28"/>
  <c r="D52" i="15"/>
  <c r="D58" i="15"/>
  <c r="G182" i="15"/>
  <c r="E182" i="15"/>
  <c r="P45" i="26"/>
  <c r="C120" i="13"/>
  <c r="D201" i="13"/>
  <c r="N38" i="28"/>
  <c r="O38" i="28"/>
  <c r="L54" i="28"/>
  <c r="L23" i="26"/>
  <c r="N38" i="26"/>
  <c r="P16" i="28"/>
  <c r="O115" i="26"/>
  <c r="E210" i="13"/>
  <c r="F38" i="27"/>
  <c r="L29" i="26"/>
  <c r="G166" i="13"/>
  <c r="D239" i="15"/>
  <c r="N115" i="28"/>
  <c r="L115" i="27"/>
  <c r="P14" i="28"/>
  <c r="L100" i="28"/>
  <c r="L100" i="26"/>
  <c r="L39" i="26"/>
  <c r="F38" i="26"/>
  <c r="L117" i="28"/>
  <c r="L95" i="28"/>
  <c r="P38" i="28"/>
  <c r="L117" i="26"/>
  <c r="C214" i="13"/>
  <c r="L144" i="26"/>
  <c r="L93" i="26"/>
  <c r="L74" i="26"/>
  <c r="L107" i="26"/>
  <c r="P96" i="28"/>
  <c r="P96" i="26"/>
  <c r="L17" i="26"/>
  <c r="L83" i="28"/>
  <c r="L45" i="28"/>
  <c r="D152" i="13"/>
  <c r="L17" i="28"/>
  <c r="E124" i="13"/>
  <c r="L60" i="26"/>
  <c r="L14" i="27"/>
  <c r="L66" i="28"/>
  <c r="L144" i="28"/>
  <c r="L128" i="28"/>
  <c r="L115" i="28"/>
  <c r="E103" i="13"/>
  <c r="L94" i="26"/>
  <c r="N96" i="26"/>
  <c r="N96" i="28"/>
  <c r="N52" i="28"/>
  <c r="N12" i="28"/>
  <c r="L96" i="27"/>
  <c r="U52" i="27"/>
  <c r="E206" i="13"/>
  <c r="E235" i="15"/>
  <c r="L128" i="26"/>
  <c r="L115" i="26"/>
  <c r="O96" i="26"/>
  <c r="L97" i="26"/>
  <c r="L97" i="28"/>
  <c r="D205" i="4"/>
  <c r="G221" i="13"/>
  <c r="M96" i="28"/>
  <c r="C206" i="13"/>
  <c r="M96" i="26"/>
  <c r="L102" i="26"/>
  <c r="L39" i="28"/>
  <c r="L38" i="28"/>
  <c r="M38" i="28"/>
  <c r="O16" i="28"/>
  <c r="O14" i="28"/>
  <c r="F194" i="13"/>
  <c r="L66" i="26"/>
  <c r="N16" i="28"/>
  <c r="N14" i="28"/>
  <c r="E152" i="13"/>
  <c r="G74" i="13"/>
  <c r="P38" i="26"/>
  <c r="L74" i="28"/>
  <c r="D196" i="4"/>
  <c r="L14" i="26"/>
  <c r="O92" i="28"/>
  <c r="L38" i="26"/>
  <c r="L92" i="26"/>
  <c r="O92" i="26"/>
  <c r="F16" i="26"/>
  <c r="L16" i="26"/>
  <c r="L101" i="28"/>
  <c r="L96" i="28"/>
  <c r="L101" i="26"/>
  <c r="L96" i="26"/>
  <c r="F14" i="26"/>
  <c r="O96" i="28"/>
  <c r="C230" i="15"/>
  <c r="L201" i="28"/>
  <c r="D162" i="15"/>
  <c r="N221" i="26"/>
  <c r="N216" i="26"/>
  <c r="L222" i="26"/>
  <c r="L221" i="26"/>
  <c r="L216" i="26"/>
  <c r="G78" i="13"/>
  <c r="F46" i="15"/>
  <c r="C58" i="15"/>
  <c r="C44" i="15"/>
  <c r="D87" i="15"/>
  <c r="D223" i="15"/>
  <c r="F122" i="15"/>
  <c r="L264" i="26"/>
  <c r="L264" i="28"/>
  <c r="C75" i="15"/>
  <c r="G92" i="15"/>
  <c r="E94" i="15"/>
  <c r="P258" i="26"/>
  <c r="P256" i="26"/>
  <c r="P243" i="26"/>
  <c r="J207" i="4"/>
  <c r="B210" i="4"/>
  <c r="D129" i="15"/>
  <c r="F173" i="15"/>
  <c r="C150" i="15"/>
  <c r="J205" i="4"/>
  <c r="C72" i="13"/>
  <c r="N200" i="28"/>
  <c r="L202" i="26"/>
  <c r="L200" i="26"/>
  <c r="F200" i="26"/>
  <c r="G210" i="4"/>
  <c r="I210" i="4"/>
  <c r="E210" i="4"/>
  <c r="C210" i="4" s="1"/>
  <c r="K210" i="4"/>
  <c r="N200" i="26"/>
  <c r="N198" i="26"/>
  <c r="G230" i="15"/>
  <c r="G86" i="13"/>
  <c r="G127" i="13"/>
  <c r="J176" i="5"/>
  <c r="F362" i="26"/>
  <c r="L362" i="26"/>
  <c r="D139" i="15"/>
  <c r="D235" i="15"/>
  <c r="D206" i="13"/>
  <c r="C247" i="15"/>
  <c r="G247" i="15"/>
  <c r="C218" i="13"/>
  <c r="G220" i="13"/>
  <c r="F182" i="15"/>
  <c r="E46" i="15"/>
  <c r="D72" i="13"/>
  <c r="E223" i="15"/>
  <c r="F187" i="15"/>
  <c r="F152" i="13"/>
  <c r="D154" i="15"/>
  <c r="C52" i="15"/>
  <c r="F150" i="15"/>
  <c r="G150" i="15"/>
  <c r="E194" i="13"/>
  <c r="G79" i="13"/>
  <c r="F120" i="13"/>
  <c r="L262" i="26"/>
  <c r="L262" i="28"/>
  <c r="M258" i="28"/>
  <c r="M256" i="28"/>
  <c r="M243" i="28"/>
  <c r="C13" i="2"/>
  <c r="B13" i="6"/>
  <c r="D22" i="6"/>
  <c r="G227" i="13"/>
  <c r="G228" i="13"/>
  <c r="M362" i="26"/>
  <c r="C201" i="13"/>
  <c r="B186" i="5"/>
  <c r="I186" i="5" s="1"/>
  <c r="B136" i="5"/>
  <c r="B131" i="5"/>
  <c r="I131" i="5" s="1"/>
  <c r="B43" i="5"/>
  <c r="H205" i="4"/>
  <c r="G22" i="6"/>
  <c r="C223" i="15"/>
  <c r="G196" i="13"/>
  <c r="C111" i="15"/>
  <c r="D120" i="13"/>
  <c r="L266" i="26"/>
  <c r="M258" i="26"/>
  <c r="M256" i="26"/>
  <c r="M243" i="26"/>
  <c r="F157" i="13"/>
  <c r="U115" i="27"/>
  <c r="G126" i="13"/>
  <c r="G107" i="13"/>
  <c r="M198" i="28"/>
  <c r="F58" i="15"/>
  <c r="F44" i="15"/>
  <c r="D102" i="15"/>
  <c r="L202" i="28"/>
  <c r="L200" i="28"/>
  <c r="O198" i="28"/>
  <c r="G101" i="13"/>
  <c r="G99" i="13" s="1"/>
  <c r="G167" i="15"/>
  <c r="B119" i="5"/>
  <c r="D122" i="15"/>
  <c r="G68" i="13"/>
  <c r="M198" i="26"/>
  <c r="D45" i="13"/>
  <c r="F247" i="15"/>
  <c r="C162" i="15"/>
  <c r="L222" i="28"/>
  <c r="L221" i="28"/>
  <c r="L216" i="28"/>
  <c r="N221" i="28"/>
  <c r="N216" i="28"/>
  <c r="N198" i="28"/>
  <c r="N10" i="28"/>
  <c r="N368" i="28"/>
  <c r="F36" i="13"/>
  <c r="E143" i="13"/>
  <c r="F64" i="13"/>
  <c r="L256" i="27"/>
  <c r="F256" i="27"/>
  <c r="F243" i="27"/>
  <c r="G203" i="13"/>
  <c r="D111" i="15"/>
  <c r="F45" i="13"/>
  <c r="F111" i="15"/>
  <c r="L261" i="28"/>
  <c r="L258" i="28"/>
  <c r="L256" i="28"/>
  <c r="L243" i="28"/>
  <c r="P239" i="26"/>
  <c r="P198" i="26"/>
  <c r="L241" i="26"/>
  <c r="L239" i="26"/>
  <c r="F239" i="26"/>
  <c r="F139" i="15"/>
  <c r="C124" i="13"/>
  <c r="G88" i="13"/>
  <c r="C87" i="15"/>
  <c r="D132" i="13"/>
  <c r="L241" i="28"/>
  <c r="L239" i="28"/>
  <c r="F22" i="13"/>
  <c r="C143" i="13"/>
  <c r="G113" i="13"/>
  <c r="D92" i="13"/>
  <c r="G97" i="13"/>
  <c r="D81" i="13"/>
  <c r="C132" i="13"/>
  <c r="F57" i="13"/>
  <c r="G128" i="13"/>
  <c r="E201" i="13"/>
  <c r="B166" i="23"/>
  <c r="F143" i="13"/>
  <c r="G147" i="13"/>
  <c r="G182" i="13"/>
  <c r="F52" i="26"/>
  <c r="L12" i="26"/>
  <c r="C157" i="13"/>
  <c r="L198" i="28"/>
  <c r="F216" i="26"/>
  <c r="F198" i="26"/>
  <c r="L198" i="26"/>
  <c r="F132" i="13"/>
  <c r="N52" i="26"/>
  <c r="L29" i="28"/>
  <c r="O52" i="26"/>
  <c r="N14" i="26"/>
  <c r="N12" i="26"/>
  <c r="N10" i="26"/>
  <c r="N368" i="26"/>
  <c r="N16" i="26"/>
  <c r="M23" i="28"/>
  <c r="L25" i="28"/>
  <c r="L23" i="28"/>
  <c r="P52" i="28"/>
  <c r="P12" i="28"/>
  <c r="C66" i="15"/>
  <c r="C67" i="15"/>
  <c r="G20" i="13"/>
  <c r="D16" i="13"/>
  <c r="F16" i="13"/>
  <c r="O52" i="28"/>
  <c r="O12" i="28"/>
  <c r="O10" i="28"/>
  <c r="O368" i="28"/>
  <c r="M92" i="28"/>
  <c r="M52" i="28"/>
  <c r="L93" i="28"/>
  <c r="L92" i="28"/>
  <c r="L52" i="28"/>
  <c r="M16" i="26"/>
  <c r="M14" i="26"/>
  <c r="M12" i="26"/>
  <c r="M10" i="26"/>
  <c r="M368" i="26"/>
  <c r="O115" i="28"/>
  <c r="G70" i="13"/>
  <c r="O16" i="26"/>
  <c r="O14" i="26"/>
  <c r="O12" i="26"/>
  <c r="O10" i="26"/>
  <c r="O368" i="26"/>
  <c r="P16" i="26"/>
  <c r="P14" i="26"/>
  <c r="G111" i="13"/>
  <c r="F12" i="27"/>
  <c r="F14" i="27"/>
  <c r="P115" i="26"/>
  <c r="G164" i="13"/>
  <c r="P198" i="28"/>
  <c r="L261" i="26"/>
  <c r="L258" i="26"/>
  <c r="L256" i="26"/>
  <c r="L150" i="28"/>
  <c r="O258" i="28"/>
  <c r="O256" i="28"/>
  <c r="O243" i="28"/>
  <c r="L200" i="27"/>
  <c r="E102" i="15"/>
  <c r="L152" i="28"/>
  <c r="H88" i="12"/>
  <c r="T112" i="12"/>
  <c r="T113" i="12"/>
  <c r="BE107" i="12"/>
  <c r="BG107" i="12"/>
  <c r="C64" i="13"/>
  <c r="BG85" i="12"/>
  <c r="BE100" i="12"/>
  <c r="BG100" i="12"/>
  <c r="BG110" i="12"/>
  <c r="BE123" i="12"/>
  <c r="BG123" i="12"/>
  <c r="T124" i="12"/>
  <c r="T125" i="12"/>
  <c r="AC135" i="12"/>
  <c r="BF134" i="12"/>
  <c r="BE75" i="12"/>
  <c r="BG75" i="12"/>
  <c r="R113" i="12"/>
  <c r="AV125" i="12"/>
  <c r="AH125" i="12"/>
  <c r="R128" i="12"/>
  <c r="R135" i="12"/>
  <c r="BE127" i="12"/>
  <c r="BG127" i="12"/>
  <c r="BE70" i="12"/>
  <c r="BG70" i="12"/>
  <c r="BD72" i="12"/>
  <c r="AM88" i="12"/>
  <c r="R100" i="12"/>
  <c r="BE95" i="12"/>
  <c r="BG95" i="12"/>
  <c r="BE124" i="12"/>
  <c r="BG124" i="12"/>
  <c r="AP125" i="12"/>
  <c r="BE38" i="12"/>
  <c r="BG38" i="12"/>
  <c r="BE53" i="12"/>
  <c r="BG53" i="12"/>
  <c r="T72" i="12"/>
  <c r="BE77" i="12"/>
  <c r="BG77" i="12"/>
  <c r="BD81" i="12"/>
  <c r="BE109" i="12"/>
  <c r="BG109" i="12"/>
  <c r="BD112" i="12"/>
  <c r="AD113" i="12"/>
  <c r="AY125" i="12"/>
  <c r="T132" i="12"/>
  <c r="T135" i="12"/>
  <c r="BE131" i="12"/>
  <c r="BE128" i="12"/>
  <c r="BG128" i="12"/>
  <c r="BG42" i="12"/>
  <c r="T68" i="12"/>
  <c r="T88" i="12" s="1"/>
  <c r="BE73" i="12"/>
  <c r="BG73" i="12"/>
  <c r="T81" i="12"/>
  <c r="BD87" i="12"/>
  <c r="BE84" i="12"/>
  <c r="BG84" i="12"/>
  <c r="Y88" i="12"/>
  <c r="AV93" i="12"/>
  <c r="BE93" i="12"/>
  <c r="BG93" i="12"/>
  <c r="BE106" i="12"/>
  <c r="BG106" i="12"/>
  <c r="F113" i="12"/>
  <c r="AU113" i="12"/>
  <c r="BC113" i="12"/>
  <c r="R122" i="12"/>
  <c r="BE119" i="12"/>
  <c r="BG119" i="12"/>
  <c r="BE120" i="12"/>
  <c r="BG120" i="12"/>
  <c r="BE57" i="12"/>
  <c r="BG57" i="12"/>
  <c r="BD61" i="12"/>
  <c r="T66" i="12"/>
  <c r="AX88" i="12"/>
  <c r="AV81" i="12"/>
  <c r="BG98" i="12"/>
  <c r="BE103" i="12"/>
  <c r="BG103" i="12"/>
  <c r="N113" i="12"/>
  <c r="AN113" i="12"/>
  <c r="BE130" i="12"/>
  <c r="BG130" i="12"/>
  <c r="BG46" i="12"/>
  <c r="AH88" i="12"/>
  <c r="AP88" i="12"/>
  <c r="BD122" i="12"/>
  <c r="BE116" i="12"/>
  <c r="BG116" i="12"/>
  <c r="R125" i="12"/>
  <c r="BE134" i="12"/>
  <c r="BG134" i="12"/>
  <c r="BE101" i="12"/>
  <c r="BG101" i="12"/>
  <c r="BE118" i="12"/>
  <c r="BG118" i="12"/>
  <c r="R69" i="12"/>
  <c r="F207" i="15"/>
  <c r="BD113" i="12"/>
  <c r="G77" i="13"/>
  <c r="E72" i="13"/>
  <c r="L16" i="28"/>
  <c r="L14" i="28"/>
  <c r="L12" i="28"/>
  <c r="L10" i="28"/>
  <c r="L368" i="28"/>
  <c r="M14" i="28"/>
  <c r="M12" i="28"/>
  <c r="M10" i="28"/>
  <c r="M368" i="28"/>
  <c r="M16" i="28"/>
  <c r="R72" i="12"/>
  <c r="BF135" i="12"/>
  <c r="D36" i="13"/>
  <c r="P12" i="26"/>
  <c r="P10" i="26"/>
  <c r="P368" i="26"/>
  <c r="F256" i="26"/>
  <c r="F243" i="26"/>
  <c r="L243" i="26"/>
  <c r="BE69" i="12"/>
  <c r="BG69" i="12"/>
  <c r="C207" i="15"/>
  <c r="BE87" i="12"/>
  <c r="BG87" i="12"/>
  <c r="L10" i="26"/>
  <c r="L368" i="26"/>
  <c r="L151" i="28"/>
  <c r="L151" i="26"/>
  <c r="BE122" i="12"/>
  <c r="BG122" i="12"/>
  <c r="BD125" i="12"/>
  <c r="F200" i="27"/>
  <c r="F198" i="27"/>
  <c r="F10" i="27"/>
  <c r="L198" i="27"/>
  <c r="L368" i="27"/>
  <c r="F12" i="26"/>
  <c r="F10" i="26"/>
  <c r="F368" i="26"/>
  <c r="BG131" i="12"/>
  <c r="BE132" i="12"/>
  <c r="BG132" i="12"/>
  <c r="P10" i="28"/>
  <c r="P368" i="28"/>
  <c r="F368" i="27"/>
  <c r="P7" i="27"/>
  <c r="R7" i="27"/>
  <c r="BE125" i="12"/>
  <c r="BG125" i="12"/>
  <c r="G181" i="13"/>
  <c r="E178" i="13"/>
  <c r="BE72" i="12"/>
  <c r="BG72" i="12"/>
  <c r="C133" i="15"/>
  <c r="F372" i="27"/>
  <c r="F377" i="27"/>
  <c r="G105" i="13"/>
  <c r="C103" i="13"/>
  <c r="G26" i="13"/>
  <c r="C22" i="13"/>
  <c r="B43" i="4"/>
  <c r="E43" i="4" s="1"/>
  <c r="C57" i="13"/>
  <c r="AV112" i="12"/>
  <c r="G162" i="13"/>
  <c r="G161" i="13"/>
  <c r="E187" i="15"/>
  <c r="G159" i="13"/>
  <c r="E157" i="13"/>
  <c r="G69" i="13"/>
  <c r="E64" i="13"/>
  <c r="AV45" i="12"/>
  <c r="BE112" i="12"/>
  <c r="BG112" i="12"/>
  <c r="BE45" i="12"/>
  <c r="BG45" i="12"/>
  <c r="BE52" i="12"/>
  <c r="BG52" i="12"/>
  <c r="BE47" i="12"/>
  <c r="BG47" i="12"/>
  <c r="F102" i="15"/>
  <c r="F72" i="13"/>
  <c r="G75" i="13"/>
  <c r="BE135" i="12"/>
  <c r="BG135" i="12"/>
  <c r="AA33" i="12"/>
  <c r="AV28" i="12"/>
  <c r="E58" i="15"/>
  <c r="E75" i="15"/>
  <c r="E52" i="15"/>
  <c r="E44" i="15"/>
  <c r="E67" i="15"/>
  <c r="E66" i="15"/>
  <c r="G24" i="13"/>
  <c r="AV36" i="12"/>
  <c r="AV39" i="12"/>
  <c r="BE39" i="12"/>
  <c r="BG39" i="12"/>
  <c r="BE36" i="12"/>
  <c r="BG36" i="12"/>
  <c r="BE76" i="12"/>
  <c r="BG76" i="12"/>
  <c r="E139" i="15"/>
  <c r="G61" i="13"/>
  <c r="E87" i="15"/>
  <c r="G116" i="13"/>
  <c r="BE80" i="12"/>
  <c r="BG80" i="12"/>
  <c r="E122" i="15"/>
  <c r="AV113" i="12"/>
  <c r="BG89" i="12"/>
  <c r="BF113" i="12"/>
  <c r="C139" i="15"/>
  <c r="BE113" i="12"/>
  <c r="BG113" i="12"/>
  <c r="B38" i="17"/>
  <c r="G37" i="14"/>
  <c r="H35" i="14" s="1"/>
  <c r="E162" i="15"/>
  <c r="E33" i="15"/>
  <c r="G36" i="15"/>
  <c r="G33" i="15" s="1"/>
  <c r="E132" i="13"/>
  <c r="C29" i="2"/>
  <c r="C34" i="2" s="1"/>
  <c r="B22" i="6"/>
  <c r="B27" i="6" s="1"/>
  <c r="H196" i="4"/>
  <c r="B165" i="21"/>
  <c r="B198" i="5"/>
  <c r="I198" i="5" s="1"/>
  <c r="G197" i="13"/>
  <c r="D194" i="13"/>
  <c r="G186" i="13"/>
  <c r="E189" i="13"/>
  <c r="D178" i="13"/>
  <c r="C189" i="13"/>
  <c r="G192" i="13"/>
  <c r="C178" i="13"/>
  <c r="G183" i="13"/>
  <c r="B158" i="23"/>
  <c r="G180" i="13"/>
  <c r="B106" i="24"/>
  <c r="J125" i="5"/>
  <c r="B119" i="4"/>
  <c r="E119" i="4" s="1"/>
  <c r="G112" i="13"/>
  <c r="D109" i="13"/>
  <c r="G62" i="13"/>
  <c r="D57" i="13"/>
  <c r="B44" i="5"/>
  <c r="G53" i="13"/>
  <c r="G51" i="13" s="1"/>
  <c r="G134" i="13"/>
  <c r="G106" i="13"/>
  <c r="D103" i="13"/>
  <c r="G163" i="13"/>
  <c r="G137" i="13"/>
  <c r="E109" i="13"/>
  <c r="I136" i="5"/>
  <c r="G118" i="13"/>
  <c r="G66" i="13"/>
  <c r="G115" i="13"/>
  <c r="F109" i="13"/>
  <c r="F81" i="13"/>
  <c r="D210" i="13"/>
  <c r="G212" i="13"/>
  <c r="G210" i="13" s="1"/>
  <c r="B34" i="24"/>
  <c r="F28" i="13"/>
  <c r="B42" i="4"/>
  <c r="D64" i="13"/>
  <c r="B153" i="21"/>
  <c r="G185" i="13"/>
  <c r="D28" i="13"/>
  <c r="D157" i="13"/>
  <c r="G60" i="13"/>
  <c r="E57" i="13"/>
  <c r="G114" i="13"/>
  <c r="G136" i="13"/>
  <c r="B161" i="5"/>
  <c r="G135" i="13"/>
  <c r="F178" i="13"/>
  <c r="G76" i="13"/>
  <c r="G67" i="13"/>
  <c r="F206" i="13"/>
  <c r="G191" i="13"/>
  <c r="D22" i="13"/>
  <c r="G25" i="13"/>
  <c r="F92" i="13"/>
  <c r="G149" i="13"/>
  <c r="G84" i="13"/>
  <c r="B130" i="5"/>
  <c r="G155" i="13"/>
  <c r="D124" i="13"/>
  <c r="B138" i="24"/>
  <c r="B128" i="5"/>
  <c r="B128" i="4"/>
  <c r="F103" i="13"/>
  <c r="C92" i="13"/>
  <c r="G187" i="13"/>
  <c r="B168" i="4"/>
  <c r="K168" i="4" s="1"/>
  <c r="C168" i="4" s="1"/>
  <c r="B168" i="5"/>
  <c r="E120" i="13"/>
  <c r="G122" i="13"/>
  <c r="G120" i="13" s="1"/>
  <c r="G165" i="13"/>
  <c r="G96" i="13"/>
  <c r="G160" i="13"/>
  <c r="B120" i="22"/>
  <c r="G184" i="13"/>
  <c r="B127" i="22"/>
  <c r="G204" i="13"/>
  <c r="B136" i="4"/>
  <c r="G136" i="4"/>
  <c r="B172" i="5"/>
  <c r="F170" i="5"/>
  <c r="F170" i="4"/>
  <c r="G170" i="4" s="1"/>
  <c r="H170" i="5"/>
  <c r="B174" i="5"/>
  <c r="G59" i="13"/>
  <c r="G83" i="13"/>
  <c r="B81" i="24"/>
  <c r="F99" i="13"/>
  <c r="F124" i="13"/>
  <c r="G150" i="13"/>
  <c r="J170" i="4"/>
  <c r="B126" i="24"/>
  <c r="B198" i="4"/>
  <c r="I198" i="4" s="1"/>
  <c r="B34" i="4"/>
  <c r="K34" i="4"/>
  <c r="B167" i="4"/>
  <c r="E167" i="4"/>
  <c r="C167" i="4" s="1"/>
  <c r="B149" i="4"/>
  <c r="B130" i="4"/>
  <c r="K130" i="4"/>
  <c r="B131" i="4"/>
  <c r="I131" i="4"/>
  <c r="I136" i="4"/>
  <c r="G168" i="4"/>
  <c r="I42" i="4"/>
  <c r="E42" i="4"/>
  <c r="C42" i="4" s="1"/>
  <c r="G130" i="4"/>
  <c r="C130" i="4" s="1"/>
  <c r="B161" i="4"/>
  <c r="K173" i="4"/>
  <c r="E173" i="4"/>
  <c r="B101" i="3"/>
  <c r="B127" i="4"/>
  <c r="I127" i="4"/>
  <c r="J121" i="4"/>
  <c r="B123" i="4"/>
  <c r="K123" i="4" s="1"/>
  <c r="B121" i="4"/>
  <c r="I121" i="4" s="1"/>
  <c r="B172" i="4"/>
  <c r="E172" i="4"/>
  <c r="D170" i="4"/>
  <c r="E170" i="4" s="1"/>
  <c r="C170" i="4" s="1"/>
  <c r="B132" i="4"/>
  <c r="G132" i="4" s="1"/>
  <c r="B171" i="3"/>
  <c r="B185" i="4"/>
  <c r="I185" i="4" s="1"/>
  <c r="G185" i="4"/>
  <c r="K119" i="4"/>
  <c r="I173" i="4"/>
  <c r="I168" i="4"/>
  <c r="E168" i="4"/>
  <c r="K136" i="4"/>
  <c r="E136" i="4"/>
  <c r="C136" i="4" s="1"/>
  <c r="E130" i="4"/>
  <c r="I130" i="4"/>
  <c r="G119" i="4"/>
  <c r="K42" i="4"/>
  <c r="G42" i="4"/>
  <c r="G131" i="4"/>
  <c r="C131" i="4" s="1"/>
  <c r="E131" i="4"/>
  <c r="K131" i="4"/>
  <c r="I149" i="4"/>
  <c r="C149" i="4" s="1"/>
  <c r="E149" i="4"/>
  <c r="G149" i="4"/>
  <c r="K149" i="4"/>
  <c r="I161" i="4"/>
  <c r="K161" i="4"/>
  <c r="C161" i="4" s="1"/>
  <c r="B113" i="21"/>
  <c r="E198" i="4"/>
  <c r="K167" i="4"/>
  <c r="G167" i="4"/>
  <c r="I167" i="4"/>
  <c r="B84" i="3"/>
  <c r="B34" i="22"/>
  <c r="I128" i="4"/>
  <c r="K128" i="4"/>
  <c r="G128" i="4"/>
  <c r="E128" i="4"/>
  <c r="I128" i="5"/>
  <c r="B106" i="22"/>
  <c r="B121" i="23"/>
  <c r="B81" i="22"/>
  <c r="I130" i="5"/>
  <c r="B81" i="21"/>
  <c r="B106" i="3"/>
  <c r="I34" i="4"/>
  <c r="G34" i="4"/>
  <c r="E34" i="4"/>
  <c r="E123" i="4"/>
  <c r="K121" i="4"/>
  <c r="K127" i="4"/>
  <c r="I123" i="4"/>
  <c r="E185" i="4"/>
  <c r="E127" i="4"/>
  <c r="C127" i="4" s="1"/>
  <c r="G127" i="4"/>
  <c r="G161" i="4"/>
  <c r="E161" i="4"/>
  <c r="G172" i="4"/>
  <c r="B170" i="4"/>
  <c r="I172" i="4"/>
  <c r="C172" i="4" s="1"/>
  <c r="C128" i="4"/>
  <c r="I170" i="4"/>
  <c r="K170" i="4"/>
  <c r="D27" i="6"/>
  <c r="E13" i="6"/>
  <c r="E111" i="15"/>
  <c r="D153" i="4"/>
  <c r="D151" i="4"/>
  <c r="G87" i="13"/>
  <c r="C34" i="12"/>
  <c r="K34" i="12"/>
  <c r="BK24" i="12"/>
  <c r="D34" i="12"/>
  <c r="S34" i="12"/>
  <c r="T34" i="12" s="1"/>
  <c r="BE22" i="12"/>
  <c r="BK21" i="12"/>
  <c r="BK20" i="12"/>
  <c r="F34" i="12"/>
  <c r="T23" i="12"/>
  <c r="H25" i="6"/>
  <c r="H24" i="6"/>
  <c r="H16" i="6"/>
  <c r="H15" i="6"/>
  <c r="H18" i="6"/>
  <c r="H19" i="6"/>
  <c r="H20" i="6"/>
  <c r="H22" i="6"/>
  <c r="H27" i="6"/>
  <c r="H13" i="6"/>
  <c r="E18" i="6"/>
  <c r="E16" i="6"/>
  <c r="E20" i="6"/>
  <c r="E22" i="6"/>
  <c r="E25" i="6"/>
  <c r="I25" i="6"/>
  <c r="E27" i="6"/>
  <c r="I13" i="6"/>
  <c r="E24" i="6"/>
  <c r="E19" i="6"/>
  <c r="E17" i="6"/>
  <c r="E15" i="6"/>
  <c r="I20" i="6"/>
  <c r="I16" i="6"/>
  <c r="I22" i="6"/>
  <c r="I18" i="6"/>
  <c r="I15" i="6"/>
  <c r="I19" i="6"/>
  <c r="I24" i="6"/>
  <c r="I17" i="6"/>
  <c r="I27" i="6"/>
  <c r="G201" i="3" l="1"/>
  <c r="B207" i="5"/>
  <c r="E898" i="19"/>
  <c r="E394" i="19"/>
  <c r="E353" i="19"/>
  <c r="E118" i="19"/>
  <c r="E387" i="19"/>
  <c r="E24" i="19"/>
  <c r="E1029" i="19"/>
  <c r="E1027" i="19" s="1"/>
  <c r="E1002" i="19"/>
  <c r="E382" i="19"/>
  <c r="E248" i="19"/>
  <c r="E187" i="19"/>
  <c r="E19" i="19"/>
  <c r="E414" i="19"/>
  <c r="E412" i="19" s="1"/>
  <c r="E13" i="19"/>
  <c r="B134" i="3"/>
  <c r="B201" i="3"/>
  <c r="J83" i="4"/>
  <c r="J81" i="4" s="1"/>
  <c r="J83" i="5"/>
  <c r="J81" i="5" s="1"/>
  <c r="H83" i="4"/>
  <c r="H81" i="4" s="1"/>
  <c r="U88" i="12"/>
  <c r="AD88" i="12"/>
  <c r="BE67" i="12"/>
  <c r="B82" i="3" s="1"/>
  <c r="B80" i="3" s="1"/>
  <c r="F83" i="5"/>
  <c r="F81" i="5" s="1"/>
  <c r="BE68" i="12"/>
  <c r="BG68" i="12" s="1"/>
  <c r="BK68" i="12"/>
  <c r="AX34" i="12"/>
  <c r="AX136" i="12" s="1"/>
  <c r="AW34" i="12"/>
  <c r="AW136" i="12" s="1"/>
  <c r="BD13" i="12"/>
  <c r="BD34" i="12"/>
  <c r="BD136" i="12" s="1"/>
  <c r="BD139" i="12" s="1"/>
  <c r="J18" i="4"/>
  <c r="B18" i="4" s="1"/>
  <c r="I18" i="4" s="1"/>
  <c r="BF61" i="12"/>
  <c r="AK136" i="12"/>
  <c r="BF88" i="12"/>
  <c r="AJ136" i="12"/>
  <c r="AH136" i="12"/>
  <c r="AP136" i="12"/>
  <c r="AC136" i="12"/>
  <c r="W136" i="12"/>
  <c r="D88" i="12"/>
  <c r="AB136" i="12"/>
  <c r="BF33" i="12"/>
  <c r="AI34" i="12"/>
  <c r="AI136" i="12" s="1"/>
  <c r="BE30" i="12"/>
  <c r="BG30" i="12" s="1"/>
  <c r="AA34" i="12"/>
  <c r="AA136" i="12" s="1"/>
  <c r="U34" i="12"/>
  <c r="BE24" i="12"/>
  <c r="BG24" i="12" s="1"/>
  <c r="X34" i="12"/>
  <c r="X136" i="12" s="1"/>
  <c r="V34" i="12"/>
  <c r="V136" i="12" s="1"/>
  <c r="BE28" i="12"/>
  <c r="BG28" i="12" s="1"/>
  <c r="AO34" i="12"/>
  <c r="AO136" i="12" s="1"/>
  <c r="Z34" i="12"/>
  <c r="Z136" i="12" s="1"/>
  <c r="BG22" i="12"/>
  <c r="AV23" i="12"/>
  <c r="AD34" i="12"/>
  <c r="AD136" i="12" s="1"/>
  <c r="AL34" i="12"/>
  <c r="AL136" i="12" s="1"/>
  <c r="AQ34" i="12"/>
  <c r="AQ136" i="12" s="1"/>
  <c r="AU34" i="12"/>
  <c r="AU136" i="12" s="1"/>
  <c r="AR34" i="12"/>
  <c r="AR136" i="12" s="1"/>
  <c r="AT34" i="12"/>
  <c r="AT136" i="12" s="1"/>
  <c r="AE34" i="12"/>
  <c r="AM34" i="12"/>
  <c r="AM136" i="12" s="1"/>
  <c r="AN34" i="12"/>
  <c r="AN136" i="12" s="1"/>
  <c r="Y34" i="12"/>
  <c r="Y136" i="12" s="1"/>
  <c r="AG34" i="12"/>
  <c r="AG136" i="12" s="1"/>
  <c r="BF17" i="12"/>
  <c r="AV13" i="12"/>
  <c r="BF13" i="12"/>
  <c r="BE12" i="12"/>
  <c r="BG12" i="12" s="1"/>
  <c r="BE10" i="12"/>
  <c r="S136" i="12"/>
  <c r="S138" i="12" s="1"/>
  <c r="BE21" i="12"/>
  <c r="BG21" i="12" s="1"/>
  <c r="BE20" i="12"/>
  <c r="BG20" i="12" s="1"/>
  <c r="T136" i="12"/>
  <c r="L88" i="12"/>
  <c r="F72" i="4"/>
  <c r="F62" i="4" s="1"/>
  <c r="F88" i="12"/>
  <c r="F136" i="12" s="1"/>
  <c r="M88" i="12"/>
  <c r="P88" i="12"/>
  <c r="J88" i="12"/>
  <c r="K88" i="12"/>
  <c r="K136" i="12" s="1"/>
  <c r="D104" i="5"/>
  <c r="D102" i="5" s="1"/>
  <c r="D104" i="4"/>
  <c r="D102" i="4" s="1"/>
  <c r="BK82" i="12"/>
  <c r="BE82" i="12"/>
  <c r="BG82" i="12" s="1"/>
  <c r="R83" i="12"/>
  <c r="M136" i="12"/>
  <c r="BE79" i="12"/>
  <c r="BG79" i="12" s="1"/>
  <c r="D136" i="12"/>
  <c r="L136" i="12"/>
  <c r="Q136" i="12"/>
  <c r="R81" i="12"/>
  <c r="BK81" i="12" s="1"/>
  <c r="N34" i="12"/>
  <c r="N136" i="12" s="1"/>
  <c r="O34" i="12"/>
  <c r="O136" i="12" s="1"/>
  <c r="BE33" i="12"/>
  <c r="BG33" i="12" s="1"/>
  <c r="J34" i="12"/>
  <c r="J136" i="12" s="1"/>
  <c r="BE26" i="12"/>
  <c r="BG26" i="12" s="1"/>
  <c r="R29" i="12"/>
  <c r="BE29" i="12" s="1"/>
  <c r="BG29" i="12" s="1"/>
  <c r="P34" i="12"/>
  <c r="H34" i="12"/>
  <c r="H136" i="12" s="1"/>
  <c r="D19" i="4"/>
  <c r="B19" i="4" s="1"/>
  <c r="G19" i="4" s="1"/>
  <c r="BK15" i="12"/>
  <c r="I34" i="12"/>
  <c r="I136" i="12" s="1"/>
  <c r="D21" i="4"/>
  <c r="B21" i="4" s="1"/>
  <c r="K21" i="4" s="1"/>
  <c r="BE17" i="12"/>
  <c r="BG17" i="12" s="1"/>
  <c r="E34" i="12"/>
  <c r="E136" i="12" s="1"/>
  <c r="BK13" i="12"/>
  <c r="BE13" i="12"/>
  <c r="BG13" i="12" s="1"/>
  <c r="P136" i="12"/>
  <c r="G34" i="12"/>
  <c r="G136" i="12" s="1"/>
  <c r="C15" i="6"/>
  <c r="F15" i="6" s="1"/>
  <c r="C24" i="6"/>
  <c r="F24" i="6" s="1"/>
  <c r="C13" i="6"/>
  <c r="F13" i="6" s="1"/>
  <c r="C16" i="6"/>
  <c r="F16" i="6" s="1"/>
  <c r="C25" i="6"/>
  <c r="F25" i="6" s="1"/>
  <c r="C19" i="6"/>
  <c r="F19" i="6" s="1"/>
  <c r="C20" i="6"/>
  <c r="F20" i="6" s="1"/>
  <c r="C18" i="6"/>
  <c r="F18" i="6" s="1"/>
  <c r="C17" i="6"/>
  <c r="F17" i="6" s="1"/>
  <c r="C22" i="6"/>
  <c r="E1022" i="19"/>
  <c r="E310" i="19"/>
  <c r="E146" i="19"/>
  <c r="E968" i="19"/>
  <c r="E180" i="19"/>
  <c r="E76" i="19"/>
  <c r="E33" i="19"/>
  <c r="E10" i="19" s="1"/>
  <c r="E1009" i="19"/>
  <c r="E200" i="19"/>
  <c r="E164" i="19"/>
  <c r="E86" i="19"/>
  <c r="AE66" i="12"/>
  <c r="AE88" i="12" s="1"/>
  <c r="E846" i="19"/>
  <c r="E52" i="19"/>
  <c r="E948" i="19"/>
  <c r="B1034" i="19"/>
  <c r="B1036" i="19" s="1"/>
  <c r="E151" i="19"/>
  <c r="B136" i="22"/>
  <c r="B134" i="22"/>
  <c r="B175" i="21"/>
  <c r="E9" i="15"/>
  <c r="L9" i="15" s="1"/>
  <c r="G117" i="13"/>
  <c r="G109" i="13" s="1"/>
  <c r="BE81" i="12"/>
  <c r="BG81" i="12" s="1"/>
  <c r="BK79" i="12"/>
  <c r="D99" i="5"/>
  <c r="B99" i="5" s="1"/>
  <c r="D99" i="4"/>
  <c r="D91" i="4" s="1"/>
  <c r="C81" i="13"/>
  <c r="C55" i="13" s="1"/>
  <c r="E17" i="9" s="1"/>
  <c r="G39" i="13"/>
  <c r="H72" i="4"/>
  <c r="D72" i="4"/>
  <c r="D62" i="4" s="1"/>
  <c r="D63" i="5"/>
  <c r="R61" i="12"/>
  <c r="BE60" i="12"/>
  <c r="BK60" i="12"/>
  <c r="H9" i="14"/>
  <c r="G178" i="4"/>
  <c r="E178" i="4"/>
  <c r="I178" i="4"/>
  <c r="B146" i="24"/>
  <c r="B148" i="24"/>
  <c r="B189" i="3"/>
  <c r="E407" i="19"/>
  <c r="E392" i="19" s="1"/>
  <c r="E304" i="19"/>
  <c r="E220" i="19"/>
  <c r="E137" i="19"/>
  <c r="E11" i="19"/>
  <c r="E45" i="13"/>
  <c r="B34" i="23"/>
  <c r="G40" i="13"/>
  <c r="G47" i="13"/>
  <c r="H175" i="4"/>
  <c r="E986" i="19"/>
  <c r="E984" i="19" s="1"/>
  <c r="E959" i="19"/>
  <c r="E940" i="19"/>
  <c r="E889" i="19"/>
  <c r="E835" i="19"/>
  <c r="E207" i="19"/>
  <c r="E205" i="19" s="1"/>
  <c r="F175" i="4"/>
  <c r="E973" i="19"/>
  <c r="E358" i="19"/>
  <c r="E333" i="19"/>
  <c r="E274" i="19"/>
  <c r="E231" i="19"/>
  <c r="E185" i="19"/>
  <c r="E919" i="19"/>
  <c r="E925" i="19"/>
  <c r="E874" i="19"/>
  <c r="E854" i="19"/>
  <c r="E259" i="19"/>
  <c r="E226" i="19"/>
  <c r="E103" i="19"/>
  <c r="E32" i="19"/>
  <c r="E881" i="19"/>
  <c r="E371" i="19"/>
  <c r="E283" i="19"/>
  <c r="E240" i="19"/>
  <c r="E59" i="19"/>
  <c r="E908" i="19"/>
  <c r="E863" i="19"/>
  <c r="E344" i="19"/>
  <c r="E325" i="19"/>
  <c r="E293" i="19"/>
  <c r="E266" i="19"/>
  <c r="E126" i="19"/>
  <c r="E97" i="19"/>
  <c r="G48" i="13"/>
  <c r="D27" i="2"/>
  <c r="D21" i="2"/>
  <c r="D25" i="2"/>
  <c r="D18" i="2"/>
  <c r="D31" i="2"/>
  <c r="D15" i="2"/>
  <c r="D13" i="2"/>
  <c r="D19" i="2"/>
  <c r="D20" i="2"/>
  <c r="D23" i="2"/>
  <c r="D32" i="2"/>
  <c r="D17" i="2"/>
  <c r="D29" i="2"/>
  <c r="B125" i="3"/>
  <c r="B194" i="3"/>
  <c r="E207" i="5"/>
  <c r="B205" i="5"/>
  <c r="G43" i="13"/>
  <c r="C45" i="13"/>
  <c r="G49" i="13"/>
  <c r="BE14" i="12"/>
  <c r="H22" i="4"/>
  <c r="B22" i="4" s="1"/>
  <c r="K22" i="4" s="1"/>
  <c r="BE32" i="12"/>
  <c r="BG32" i="12" s="1"/>
  <c r="H33" i="4"/>
  <c r="E28" i="13"/>
  <c r="G32" i="13"/>
  <c r="E36" i="13"/>
  <c r="H27" i="4"/>
  <c r="BE27" i="12"/>
  <c r="BG27" i="12" s="1"/>
  <c r="H29" i="4"/>
  <c r="H30" i="4"/>
  <c r="B30" i="4" s="1"/>
  <c r="G30" i="4" s="1"/>
  <c r="G30" i="13"/>
  <c r="BE25" i="12"/>
  <c r="BG25" i="12" s="1"/>
  <c r="G42" i="13"/>
  <c r="B21" i="5"/>
  <c r="B19" i="3" s="1"/>
  <c r="AS34" i="12"/>
  <c r="BE18" i="12"/>
  <c r="BG18" i="12" s="1"/>
  <c r="H23" i="4"/>
  <c r="H24" i="4"/>
  <c r="BE23" i="12"/>
  <c r="BG23" i="12" s="1"/>
  <c r="G33" i="13"/>
  <c r="H17" i="4"/>
  <c r="BE11" i="12"/>
  <c r="E16" i="13"/>
  <c r="B22" i="5"/>
  <c r="B20" i="3" s="1"/>
  <c r="BK32" i="12"/>
  <c r="D31" i="4"/>
  <c r="B31" i="4" s="1"/>
  <c r="E31" i="4" s="1"/>
  <c r="C36" i="13"/>
  <c r="D32" i="4"/>
  <c r="B32" i="4" s="1"/>
  <c r="G32" i="4" s="1"/>
  <c r="D33" i="4"/>
  <c r="BE31" i="12"/>
  <c r="BK30" i="12"/>
  <c r="BK31" i="12"/>
  <c r="BK29" i="12"/>
  <c r="G41" i="13"/>
  <c r="BK27" i="12"/>
  <c r="D26" i="4"/>
  <c r="B26" i="4" s="1"/>
  <c r="D27" i="4"/>
  <c r="B29" i="5"/>
  <c r="B27" i="3" s="1"/>
  <c r="BK28" i="12"/>
  <c r="D28" i="4"/>
  <c r="B28" i="4" s="1"/>
  <c r="G28" i="4" s="1"/>
  <c r="D29" i="4"/>
  <c r="B31" i="5"/>
  <c r="B29" i="3" s="1"/>
  <c r="C28" i="13"/>
  <c r="BE19" i="12"/>
  <c r="BG19" i="12" s="1"/>
  <c r="C16" i="13"/>
  <c r="D24" i="4"/>
  <c r="D23" i="4"/>
  <c r="G31" i="13"/>
  <c r="BK19" i="12"/>
  <c r="BK22" i="12"/>
  <c r="BG10" i="12"/>
  <c r="C136" i="12"/>
  <c r="D16" i="4"/>
  <c r="B16" i="4" s="1"/>
  <c r="I16" i="4" s="1"/>
  <c r="H85" i="5"/>
  <c r="B163" i="4"/>
  <c r="K163" i="4" s="1"/>
  <c r="F38" i="4"/>
  <c r="J85" i="4"/>
  <c r="B110" i="5"/>
  <c r="I110" i="5" s="1"/>
  <c r="J106" i="5"/>
  <c r="B145" i="5"/>
  <c r="I145" i="5" s="1"/>
  <c r="B45" i="3"/>
  <c r="D106" i="5"/>
  <c r="B78" i="5"/>
  <c r="I78" i="5" s="1"/>
  <c r="G95" i="13"/>
  <c r="BE63" i="12"/>
  <c r="H77" i="5"/>
  <c r="B77" i="5" s="1"/>
  <c r="I77" i="5" s="1"/>
  <c r="H77" i="4"/>
  <c r="B77" i="4" s="1"/>
  <c r="K77" i="4" s="1"/>
  <c r="E1007" i="19"/>
  <c r="E218" i="19"/>
  <c r="E833" i="19"/>
  <c r="AV59" i="12"/>
  <c r="AV62" i="12"/>
  <c r="B143" i="5"/>
  <c r="I143" i="5" s="1"/>
  <c r="B108" i="5"/>
  <c r="I108" i="5" s="1"/>
  <c r="E239" i="19"/>
  <c r="B49" i="4"/>
  <c r="G49" i="4" s="1"/>
  <c r="E855" i="19"/>
  <c r="E832" i="19" s="1"/>
  <c r="B196" i="5"/>
  <c r="E196" i="5" s="1"/>
  <c r="B170" i="5"/>
  <c r="B147" i="5"/>
  <c r="I147" i="5" s="1"/>
  <c r="H114" i="5"/>
  <c r="B100" i="5"/>
  <c r="D74" i="5"/>
  <c r="F39" i="5"/>
  <c r="B50" i="5"/>
  <c r="I50" i="5" s="1"/>
  <c r="B173" i="21"/>
  <c r="C205" i="15"/>
  <c r="F228" i="15"/>
  <c r="F205" i="15"/>
  <c r="E43" i="15"/>
  <c r="D205" i="15"/>
  <c r="G152" i="13"/>
  <c r="G218" i="13"/>
  <c r="D223" i="13"/>
  <c r="E130" i="13"/>
  <c r="E19" i="11" s="1"/>
  <c r="D14" i="13"/>
  <c r="E176" i="13"/>
  <c r="E21" i="11" s="1"/>
  <c r="D37" i="13"/>
  <c r="G194" i="13"/>
  <c r="C176" i="13"/>
  <c r="E21" i="9" s="1"/>
  <c r="J106" i="4"/>
  <c r="J74" i="5"/>
  <c r="B38" i="3"/>
  <c r="B194" i="5"/>
  <c r="I194" i="5" s="1"/>
  <c r="B79" i="4"/>
  <c r="K79" i="4" s="1"/>
  <c r="B96" i="4"/>
  <c r="G96" i="4" s="1"/>
  <c r="B48" i="5"/>
  <c r="I48" i="5" s="1"/>
  <c r="B59" i="5"/>
  <c r="I59" i="5" s="1"/>
  <c r="B70" i="5"/>
  <c r="I70" i="5" s="1"/>
  <c r="F85" i="5"/>
  <c r="B165" i="5"/>
  <c r="B41" i="5"/>
  <c r="I41" i="5" s="1"/>
  <c r="B68" i="5"/>
  <c r="I68" i="5" s="1"/>
  <c r="B79" i="5"/>
  <c r="I79" i="5" s="1"/>
  <c r="B96" i="5"/>
  <c r="B163" i="5"/>
  <c r="B114" i="3"/>
  <c r="B144" i="4"/>
  <c r="K144" i="4" s="1"/>
  <c r="B95" i="4"/>
  <c r="K95" i="4" s="1"/>
  <c r="D46" i="5"/>
  <c r="H106" i="4"/>
  <c r="H139" i="4"/>
  <c r="H159" i="4"/>
  <c r="J74" i="4"/>
  <c r="D85" i="5"/>
  <c r="F114" i="5"/>
  <c r="F53" i="4"/>
  <c r="B87" i="5"/>
  <c r="I87" i="5" s="1"/>
  <c r="B178" i="5"/>
  <c r="B176" i="5" s="1"/>
  <c r="K176" i="5" s="1"/>
  <c r="B89" i="5"/>
  <c r="I89" i="5" s="1"/>
  <c r="H106" i="5"/>
  <c r="B162" i="4"/>
  <c r="K162" i="4" s="1"/>
  <c r="B194" i="4"/>
  <c r="E194" i="4" s="1"/>
  <c r="H114" i="4"/>
  <c r="H159" i="5"/>
  <c r="H157" i="5" s="1"/>
  <c r="J39" i="5"/>
  <c r="B117" i="5"/>
  <c r="I117" i="5" s="1"/>
  <c r="H85" i="4"/>
  <c r="B57" i="5"/>
  <c r="I57" i="5" s="1"/>
  <c r="B52" i="5"/>
  <c r="B61" i="5"/>
  <c r="I61" i="5" s="1"/>
  <c r="B98" i="5"/>
  <c r="I98" i="5" s="1"/>
  <c r="J151" i="4"/>
  <c r="B68" i="4"/>
  <c r="I68" i="4" s="1"/>
  <c r="B110" i="4"/>
  <c r="I110" i="4" s="1"/>
  <c r="B143" i="4"/>
  <c r="I143" i="4" s="1"/>
  <c r="B55" i="4"/>
  <c r="K55" i="4" s="1"/>
  <c r="B58" i="5"/>
  <c r="I58" i="5" s="1"/>
  <c r="B69" i="5"/>
  <c r="I69" i="5" s="1"/>
  <c r="B97" i="5"/>
  <c r="B116" i="5"/>
  <c r="I116" i="5" s="1"/>
  <c r="B144" i="5"/>
  <c r="I144" i="5" s="1"/>
  <c r="B164" i="5"/>
  <c r="B56" i="5"/>
  <c r="I56" i="5" s="1"/>
  <c r="B95" i="5"/>
  <c r="F106" i="5"/>
  <c r="B23" i="5"/>
  <c r="B21" i="3" s="1"/>
  <c r="B51" i="5"/>
  <c r="I51" i="5" s="1"/>
  <c r="B148" i="5"/>
  <c r="I148" i="5" s="1"/>
  <c r="B49" i="5"/>
  <c r="I49" i="5" s="1"/>
  <c r="B118" i="5"/>
  <c r="I118" i="5" s="1"/>
  <c r="B146" i="5"/>
  <c r="I146" i="5" s="1"/>
  <c r="B53" i="3"/>
  <c r="B159" i="3"/>
  <c r="B157" i="3" s="1"/>
  <c r="H39" i="5"/>
  <c r="B20" i="5"/>
  <c r="B18" i="3" s="1"/>
  <c r="G124" i="13"/>
  <c r="D176" i="13"/>
  <c r="G22" i="13"/>
  <c r="D199" i="13"/>
  <c r="E199" i="13"/>
  <c r="E23" i="11" s="1"/>
  <c r="G103" i="13"/>
  <c r="G57" i="13"/>
  <c r="D130" i="13"/>
  <c r="G132" i="13"/>
  <c r="F14" i="13"/>
  <c r="G201" i="13"/>
  <c r="G157" i="13"/>
  <c r="F176" i="13"/>
  <c r="G178" i="13"/>
  <c r="G189" i="13"/>
  <c r="G16" i="13"/>
  <c r="D55" i="13"/>
  <c r="E17" i="10" s="1"/>
  <c r="E28" i="10" s="1"/>
  <c r="G225" i="13"/>
  <c r="G223" i="13" s="1"/>
  <c r="F130" i="13"/>
  <c r="E19" i="16" s="1"/>
  <c r="C199" i="13"/>
  <c r="E23" i="9" s="1"/>
  <c r="F199" i="13"/>
  <c r="E23" i="16" s="1"/>
  <c r="G143" i="13"/>
  <c r="C130" i="13"/>
  <c r="E19" i="9" s="1"/>
  <c r="F55" i="13"/>
  <c r="E17" i="16" s="1"/>
  <c r="G72" i="13"/>
  <c r="G64" i="13"/>
  <c r="F37" i="13"/>
  <c r="G173" i="15"/>
  <c r="G154" i="15"/>
  <c r="D228" i="15"/>
  <c r="G87" i="15"/>
  <c r="G223" i="15"/>
  <c r="F43" i="15"/>
  <c r="F160" i="15"/>
  <c r="F85" i="15"/>
  <c r="G122" i="15"/>
  <c r="D160" i="15"/>
  <c r="G133" i="15"/>
  <c r="G139" i="15"/>
  <c r="G162" i="15"/>
  <c r="E205" i="15"/>
  <c r="E228" i="15"/>
  <c r="E198" i="15"/>
  <c r="E160" i="15"/>
  <c r="G111" i="15"/>
  <c r="E85" i="15"/>
  <c r="G102" i="15"/>
  <c r="G58" i="15"/>
  <c r="G207" i="15"/>
  <c r="G187" i="15"/>
  <c r="D85" i="15"/>
  <c r="G94" i="15"/>
  <c r="G75" i="15"/>
  <c r="D43" i="15"/>
  <c r="G228" i="15"/>
  <c r="C228" i="15"/>
  <c r="C160" i="15"/>
  <c r="C85" i="15"/>
  <c r="G46" i="15"/>
  <c r="G66" i="15"/>
  <c r="G52" i="15"/>
  <c r="G67" i="15"/>
  <c r="C43" i="15"/>
  <c r="G44" i="15"/>
  <c r="B139" i="3"/>
  <c r="G73" i="3"/>
  <c r="G106" i="3"/>
  <c r="G134" i="3"/>
  <c r="D12" i="3"/>
  <c r="G84" i="3"/>
  <c r="G159" i="3"/>
  <c r="D36" i="3"/>
  <c r="D181" i="3"/>
  <c r="G114" i="3"/>
  <c r="G189" i="3"/>
  <c r="G181" i="3" s="1"/>
  <c r="D112" i="3"/>
  <c r="D157" i="3"/>
  <c r="G125" i="3"/>
  <c r="G176" i="3"/>
  <c r="G53" i="3"/>
  <c r="G139" i="3"/>
  <c r="G90" i="3"/>
  <c r="G62" i="3"/>
  <c r="G38" i="3"/>
  <c r="G45" i="3"/>
  <c r="G24" i="3"/>
  <c r="G13" i="3"/>
  <c r="B190" i="5"/>
  <c r="I190" i="5" s="1"/>
  <c r="B166" i="5"/>
  <c r="F159" i="5"/>
  <c r="F157" i="5" s="1"/>
  <c r="B129" i="5"/>
  <c r="I129" i="5" s="1"/>
  <c r="H91" i="5"/>
  <c r="J85" i="5"/>
  <c r="F74" i="5"/>
  <c r="H54" i="5"/>
  <c r="D54" i="5"/>
  <c r="J54" i="5"/>
  <c r="F46" i="5"/>
  <c r="B42" i="5"/>
  <c r="I42" i="5" s="1"/>
  <c r="D39" i="5"/>
  <c r="G121" i="5"/>
  <c r="I127" i="5"/>
  <c r="B60" i="5"/>
  <c r="I60" i="5" s="1"/>
  <c r="D159" i="5"/>
  <c r="D157" i="5" s="1"/>
  <c r="I170" i="5"/>
  <c r="E121" i="5"/>
  <c r="J159" i="5"/>
  <c r="J157" i="5" s="1"/>
  <c r="F54" i="5"/>
  <c r="B137" i="5"/>
  <c r="B134" i="5" s="1"/>
  <c r="G134" i="5" s="1"/>
  <c r="B88" i="5"/>
  <c r="I88" i="5" s="1"/>
  <c r="H134" i="5"/>
  <c r="G207" i="5"/>
  <c r="H139" i="5"/>
  <c r="J114" i="5"/>
  <c r="H46" i="5"/>
  <c r="B185" i="5"/>
  <c r="B183" i="5" s="1"/>
  <c r="E183" i="5" s="1"/>
  <c r="F15" i="5"/>
  <c r="F26" i="5"/>
  <c r="B109" i="5"/>
  <c r="I109" i="5" s="1"/>
  <c r="K207" i="5"/>
  <c r="J63" i="5"/>
  <c r="I121" i="5"/>
  <c r="D114" i="5"/>
  <c r="J139" i="5"/>
  <c r="J46" i="5"/>
  <c r="D139" i="5"/>
  <c r="B202" i="5"/>
  <c r="B200" i="5" s="1"/>
  <c r="I200" i="5" s="1"/>
  <c r="J200" i="5"/>
  <c r="J153" i="5"/>
  <c r="B142" i="5"/>
  <c r="I142" i="5" s="1"/>
  <c r="J91" i="5"/>
  <c r="B67" i="5"/>
  <c r="J26" i="5"/>
  <c r="J15" i="5"/>
  <c r="H181" i="5"/>
  <c r="B93" i="5"/>
  <c r="I93" i="5" s="1"/>
  <c r="B66" i="5"/>
  <c r="I66" i="5" s="1"/>
  <c r="F181" i="5"/>
  <c r="F153" i="5"/>
  <c r="F139" i="5"/>
  <c r="F91" i="5"/>
  <c r="F63" i="5"/>
  <c r="B19" i="5"/>
  <c r="B17" i="3" s="1"/>
  <c r="D181" i="5"/>
  <c r="B162" i="5"/>
  <c r="B155" i="5"/>
  <c r="D153" i="5"/>
  <c r="B141" i="5"/>
  <c r="B94" i="5"/>
  <c r="D81" i="5"/>
  <c r="B65" i="5"/>
  <c r="D192" i="4"/>
  <c r="J159" i="4"/>
  <c r="F159" i="4"/>
  <c r="F114" i="4"/>
  <c r="F106" i="4"/>
  <c r="F91" i="4"/>
  <c r="J91" i="4"/>
  <c r="H91" i="4"/>
  <c r="F85" i="4"/>
  <c r="F74" i="4"/>
  <c r="B60" i="4"/>
  <c r="E60" i="4" s="1"/>
  <c r="J53" i="4"/>
  <c r="H53" i="4"/>
  <c r="J45" i="4"/>
  <c r="F45" i="4"/>
  <c r="H38" i="4"/>
  <c r="J38" i="4"/>
  <c r="B207" i="4"/>
  <c r="K209" i="4"/>
  <c r="I209" i="4"/>
  <c r="E209" i="4"/>
  <c r="C119" i="4"/>
  <c r="C198" i="4"/>
  <c r="K132" i="4"/>
  <c r="K198" i="4"/>
  <c r="I43" i="4"/>
  <c r="G121" i="4"/>
  <c r="I119" i="4"/>
  <c r="F25" i="4"/>
  <c r="B108" i="4"/>
  <c r="G108" i="4" s="1"/>
  <c r="E203" i="4"/>
  <c r="C203" i="4" s="1"/>
  <c r="E121" i="4"/>
  <c r="B196" i="4"/>
  <c r="K43" i="4"/>
  <c r="B47" i="4"/>
  <c r="K47" i="4" s="1"/>
  <c r="H45" i="4"/>
  <c r="G123" i="4"/>
  <c r="C123" i="4" s="1"/>
  <c r="C34" i="4"/>
  <c r="G43" i="4"/>
  <c r="C43" i="4" s="1"/>
  <c r="E132" i="4"/>
  <c r="G198" i="4"/>
  <c r="K203" i="4"/>
  <c r="G203" i="4"/>
  <c r="G209" i="4"/>
  <c r="B48" i="4"/>
  <c r="K48" i="4" s="1"/>
  <c r="B147" i="4"/>
  <c r="K147" i="4" s="1"/>
  <c r="J62" i="4"/>
  <c r="I132" i="4"/>
  <c r="K185" i="4"/>
  <c r="C185" i="4" s="1"/>
  <c r="J139" i="4"/>
  <c r="F151" i="4"/>
  <c r="B177" i="4"/>
  <c r="B175" i="4" s="1"/>
  <c r="J180" i="4"/>
  <c r="J175" i="4"/>
  <c r="J114" i="4"/>
  <c r="B94" i="4"/>
  <c r="E94" i="4" s="1"/>
  <c r="B66" i="4"/>
  <c r="E66" i="4" s="1"/>
  <c r="J25" i="4"/>
  <c r="H180" i="4"/>
  <c r="H151" i="4"/>
  <c r="B50" i="4"/>
  <c r="E50" i="4" s="1"/>
  <c r="B184" i="4"/>
  <c r="E184" i="4" s="1"/>
  <c r="F180" i="4"/>
  <c r="B142" i="4"/>
  <c r="G142" i="4" s="1"/>
  <c r="F139" i="4"/>
  <c r="B109" i="4"/>
  <c r="K109" i="4" s="1"/>
  <c r="B89" i="4"/>
  <c r="E89" i="4" s="1"/>
  <c r="B65" i="4"/>
  <c r="G65" i="4" s="1"/>
  <c r="B67" i="4"/>
  <c r="I67" i="4" s="1"/>
  <c r="B51" i="4"/>
  <c r="B40" i="4"/>
  <c r="E40" i="4" s="1"/>
  <c r="B41" i="4"/>
  <c r="E41" i="4" s="1"/>
  <c r="F14" i="4"/>
  <c r="B20" i="4"/>
  <c r="I20" i="4" s="1"/>
  <c r="B97" i="4"/>
  <c r="K97" i="4" s="1"/>
  <c r="B116" i="4"/>
  <c r="K116" i="4" s="1"/>
  <c r="B69" i="4"/>
  <c r="I69" i="4" s="1"/>
  <c r="B118" i="4"/>
  <c r="G118" i="4" s="1"/>
  <c r="B59" i="4"/>
  <c r="E59" i="4" s="1"/>
  <c r="B164" i="4"/>
  <c r="I164" i="4" s="1"/>
  <c r="B70" i="4"/>
  <c r="G70" i="4" s="1"/>
  <c r="D200" i="4"/>
  <c r="B202" i="4"/>
  <c r="E202" i="4" s="1"/>
  <c r="B189" i="4"/>
  <c r="B166" i="4"/>
  <c r="E166" i="4" s="1"/>
  <c r="B56" i="4"/>
  <c r="I56" i="4" s="1"/>
  <c r="B146" i="4"/>
  <c r="E146" i="4" s="1"/>
  <c r="D114" i="4"/>
  <c r="B117" i="4"/>
  <c r="G117" i="4" s="1"/>
  <c r="B87" i="4"/>
  <c r="E87" i="4" s="1"/>
  <c r="B98" i="4"/>
  <c r="I98" i="4" s="1"/>
  <c r="B145" i="4"/>
  <c r="K145" i="4" s="1"/>
  <c r="B137" i="4"/>
  <c r="I137" i="4" s="1"/>
  <c r="D38" i="4"/>
  <c r="B148" i="4"/>
  <c r="D134" i="4"/>
  <c r="B57" i="4"/>
  <c r="I57" i="4" s="1"/>
  <c r="B58" i="4"/>
  <c r="E58" i="4" s="1"/>
  <c r="B100" i="4"/>
  <c r="E100" i="4" s="1"/>
  <c r="D125" i="4"/>
  <c r="D53" i="4"/>
  <c r="B129" i="4"/>
  <c r="B165" i="4"/>
  <c r="D159" i="4"/>
  <c r="D45" i="4"/>
  <c r="B78" i="4"/>
  <c r="E78" i="4" s="1"/>
  <c r="D106" i="4"/>
  <c r="D139" i="4"/>
  <c r="B141" i="4"/>
  <c r="E141" i="4" s="1"/>
  <c r="B93" i="4"/>
  <c r="E93" i="4" s="1"/>
  <c r="B88" i="4"/>
  <c r="E88" i="4" s="1"/>
  <c r="D85" i="4"/>
  <c r="D81" i="4"/>
  <c r="D74" i="4"/>
  <c r="B104" i="4" l="1"/>
  <c r="E104" i="4" s="1"/>
  <c r="E23" i="8"/>
  <c r="E21" i="8"/>
  <c r="E28" i="9"/>
  <c r="E28" i="16"/>
  <c r="E32" i="16" s="1"/>
  <c r="E19" i="8"/>
  <c r="G196" i="5"/>
  <c r="E124" i="19"/>
  <c r="E369" i="19"/>
  <c r="E257" i="19"/>
  <c r="E162" i="19"/>
  <c r="E872" i="19"/>
  <c r="E331" i="19"/>
  <c r="I175" i="4"/>
  <c r="B155" i="3"/>
  <c r="B155" i="4"/>
  <c r="B83" i="4"/>
  <c r="G83" i="4" s="1"/>
  <c r="B83" i="5"/>
  <c r="I83" i="5" s="1"/>
  <c r="U136" i="12"/>
  <c r="BG67" i="12"/>
  <c r="J14" i="4"/>
  <c r="AE136" i="12"/>
  <c r="H157" i="4"/>
  <c r="AV34" i="12"/>
  <c r="B104" i="5"/>
  <c r="B102" i="5" s="1"/>
  <c r="E102" i="5" s="1"/>
  <c r="BK83" i="12"/>
  <c r="BE83" i="12"/>
  <c r="BG83" i="12" s="1"/>
  <c r="R34" i="12"/>
  <c r="BK34" i="12" s="1"/>
  <c r="H14" i="4"/>
  <c r="I99" i="5"/>
  <c r="B98" i="3"/>
  <c r="B90" i="3" s="1"/>
  <c r="F22" i="6"/>
  <c r="C27" i="6"/>
  <c r="F27" i="6" s="1"/>
  <c r="E946" i="19"/>
  <c r="B32" i="5"/>
  <c r="B30" i="3" s="1"/>
  <c r="E50" i="19"/>
  <c r="E212" i="19" s="1"/>
  <c r="E14" i="13"/>
  <c r="F157" i="4"/>
  <c r="B99" i="4"/>
  <c r="I99" i="4" s="1"/>
  <c r="B72" i="5"/>
  <c r="B71" i="3" s="1"/>
  <c r="D91" i="5"/>
  <c r="D37" i="5" s="1"/>
  <c r="B72" i="4"/>
  <c r="E72" i="4" s="1"/>
  <c r="B33" i="4"/>
  <c r="E33" i="4" s="1"/>
  <c r="B30" i="5"/>
  <c r="B28" i="3" s="1"/>
  <c r="B181" i="3"/>
  <c r="E37" i="13"/>
  <c r="B23" i="4"/>
  <c r="E23" i="4" s="1"/>
  <c r="BG60" i="12"/>
  <c r="BK61" i="12"/>
  <c r="R88" i="12"/>
  <c r="G45" i="13"/>
  <c r="B27" i="4"/>
  <c r="I27" i="4" s="1"/>
  <c r="E217" i="19"/>
  <c r="H26" i="5"/>
  <c r="C178" i="4"/>
  <c r="B27" i="5"/>
  <c r="B25" i="3" s="1"/>
  <c r="B175" i="23"/>
  <c r="B177" i="23"/>
  <c r="D34" i="2"/>
  <c r="C37" i="13"/>
  <c r="B33" i="5"/>
  <c r="B31" i="3" s="1"/>
  <c r="E163" i="4"/>
  <c r="D26" i="5"/>
  <c r="G36" i="13"/>
  <c r="C14" i="13"/>
  <c r="B34" i="5"/>
  <c r="B32" i="3" s="1"/>
  <c r="B29" i="4"/>
  <c r="I29" i="4" s="1"/>
  <c r="B25" i="5"/>
  <c r="B23" i="3" s="1"/>
  <c r="BF34" i="12"/>
  <c r="H25" i="4"/>
  <c r="B28" i="5"/>
  <c r="B26" i="3" s="1"/>
  <c r="AS136" i="12"/>
  <c r="BF136" i="12" s="1"/>
  <c r="BG14" i="12"/>
  <c r="G199" i="13"/>
  <c r="B17" i="4"/>
  <c r="K17" i="4" s="1"/>
  <c r="G28" i="13"/>
  <c r="G14" i="13" s="1"/>
  <c r="B24" i="4"/>
  <c r="I24" i="4" s="1"/>
  <c r="G163" i="4"/>
  <c r="B24" i="5"/>
  <c r="B22" i="3" s="1"/>
  <c r="H15" i="5"/>
  <c r="B188" i="5"/>
  <c r="G188" i="5" s="1"/>
  <c r="B18" i="5"/>
  <c r="B16" i="3" s="1"/>
  <c r="BG11" i="12"/>
  <c r="D25" i="4"/>
  <c r="BG31" i="12"/>
  <c r="G144" i="4"/>
  <c r="G21" i="4"/>
  <c r="I163" i="4"/>
  <c r="G110" i="4"/>
  <c r="E110" i="4"/>
  <c r="D15" i="5"/>
  <c r="B17" i="5"/>
  <c r="B15" i="3" s="1"/>
  <c r="D14" i="4"/>
  <c r="I21" i="4"/>
  <c r="K68" i="4"/>
  <c r="E144" i="4"/>
  <c r="H112" i="4"/>
  <c r="D180" i="4"/>
  <c r="K108" i="4"/>
  <c r="E49" i="4"/>
  <c r="I49" i="4"/>
  <c r="I22" i="4"/>
  <c r="I32" i="4"/>
  <c r="K49" i="4"/>
  <c r="G94" i="4"/>
  <c r="K194" i="4"/>
  <c r="K110" i="4"/>
  <c r="K18" i="4"/>
  <c r="G68" i="4"/>
  <c r="I144" i="4"/>
  <c r="BG63" i="12"/>
  <c r="B76" i="3"/>
  <c r="I28" i="4"/>
  <c r="E65" i="4"/>
  <c r="E108" i="4"/>
  <c r="E21" i="4"/>
  <c r="H76" i="4"/>
  <c r="BE62" i="12"/>
  <c r="H76" i="5"/>
  <c r="AV66" i="12"/>
  <c r="I19" i="4"/>
  <c r="E68" i="4"/>
  <c r="B85" i="5"/>
  <c r="K85" i="5" s="1"/>
  <c r="H71" i="5"/>
  <c r="H71" i="4"/>
  <c r="BE59" i="12"/>
  <c r="AV61" i="12"/>
  <c r="BE61" i="12" s="1"/>
  <c r="BG61" i="12" s="1"/>
  <c r="B192" i="5"/>
  <c r="I192" i="5" s="1"/>
  <c r="K196" i="5"/>
  <c r="I196" i="5"/>
  <c r="K170" i="5"/>
  <c r="E170" i="5"/>
  <c r="G170" i="5"/>
  <c r="G205" i="15"/>
  <c r="D13" i="13"/>
  <c r="G130" i="13"/>
  <c r="E77" i="4"/>
  <c r="G77" i="4"/>
  <c r="K20" i="4"/>
  <c r="D112" i="5"/>
  <c r="H112" i="5"/>
  <c r="I77" i="4"/>
  <c r="I79" i="4"/>
  <c r="I95" i="4"/>
  <c r="K96" i="4"/>
  <c r="I96" i="4"/>
  <c r="E95" i="4"/>
  <c r="E79" i="4"/>
  <c r="E96" i="4"/>
  <c r="G95" i="4"/>
  <c r="E143" i="4"/>
  <c r="K67" i="4"/>
  <c r="G79" i="4"/>
  <c r="K16" i="4"/>
  <c r="E32" i="4"/>
  <c r="I108" i="4"/>
  <c r="K32" i="4"/>
  <c r="B192" i="4"/>
  <c r="I192" i="4" s="1"/>
  <c r="E47" i="4"/>
  <c r="G162" i="4"/>
  <c r="I162" i="4"/>
  <c r="E22" i="4"/>
  <c r="G194" i="4"/>
  <c r="G176" i="5"/>
  <c r="B114" i="5"/>
  <c r="G114" i="5" s="1"/>
  <c r="G47" i="4"/>
  <c r="I31" i="4"/>
  <c r="G22" i="4"/>
  <c r="I194" i="4"/>
  <c r="G143" i="4"/>
  <c r="G60" i="4"/>
  <c r="I60" i="4"/>
  <c r="K31" i="4"/>
  <c r="G55" i="4"/>
  <c r="E155" i="5"/>
  <c r="B46" i="5"/>
  <c r="E46" i="5" s="1"/>
  <c r="G31" i="4"/>
  <c r="K60" i="4"/>
  <c r="K143" i="4"/>
  <c r="E55" i="4"/>
  <c r="I47" i="4"/>
  <c r="B159" i="5"/>
  <c r="K159" i="5" s="1"/>
  <c r="I134" i="5"/>
  <c r="I65" i="4"/>
  <c r="I55" i="4"/>
  <c r="E162" i="4"/>
  <c r="E176" i="5"/>
  <c r="I137" i="5"/>
  <c r="B39" i="5"/>
  <c r="F13" i="13"/>
  <c r="F8" i="13" s="1"/>
  <c r="G176" i="13"/>
  <c r="G43" i="15"/>
  <c r="H43" i="15" s="1"/>
  <c r="F38" i="15"/>
  <c r="G160" i="15"/>
  <c r="G85" i="15"/>
  <c r="E38" i="15"/>
  <c r="D38" i="15"/>
  <c r="B112" i="3"/>
  <c r="D211" i="3"/>
  <c r="G157" i="3"/>
  <c r="G112" i="3"/>
  <c r="G36" i="3"/>
  <c r="G12" i="3"/>
  <c r="E200" i="5"/>
  <c r="K200" i="5"/>
  <c r="I183" i="5"/>
  <c r="G183" i="5"/>
  <c r="K183" i="5"/>
  <c r="J112" i="5"/>
  <c r="B125" i="5"/>
  <c r="F14" i="5"/>
  <c r="B91" i="5"/>
  <c r="I202" i="5"/>
  <c r="B54" i="5"/>
  <c r="I54" i="5" s="1"/>
  <c r="B106" i="5"/>
  <c r="G200" i="5"/>
  <c r="E134" i="5"/>
  <c r="K134" i="5"/>
  <c r="J181" i="5"/>
  <c r="J151" i="5"/>
  <c r="J37" i="5"/>
  <c r="J14" i="5"/>
  <c r="F151" i="5"/>
  <c r="F112" i="5"/>
  <c r="F37" i="5"/>
  <c r="D151" i="5"/>
  <c r="B153" i="5"/>
  <c r="K155" i="5"/>
  <c r="G155" i="5"/>
  <c r="I155" i="5"/>
  <c r="I141" i="5"/>
  <c r="B139" i="5"/>
  <c r="I65" i="5"/>
  <c r="G184" i="4"/>
  <c r="E175" i="4"/>
  <c r="E116" i="4"/>
  <c r="J36" i="4"/>
  <c r="F13" i="4"/>
  <c r="K28" i="4"/>
  <c r="E28" i="4"/>
  <c r="E118" i="4"/>
  <c r="G147" i="4"/>
  <c r="I177" i="4"/>
  <c r="I48" i="4"/>
  <c r="C209" i="4"/>
  <c r="E109" i="4"/>
  <c r="I147" i="4"/>
  <c r="G177" i="4"/>
  <c r="E48" i="4"/>
  <c r="E177" i="4"/>
  <c r="G48" i="4"/>
  <c r="I50" i="4"/>
  <c r="B45" i="4"/>
  <c r="K45" i="4" s="1"/>
  <c r="E196" i="4"/>
  <c r="I196" i="4"/>
  <c r="G196" i="4"/>
  <c r="G175" i="4"/>
  <c r="E147" i="4"/>
  <c r="I207" i="4"/>
  <c r="G207" i="4"/>
  <c r="K207" i="4"/>
  <c r="E207" i="4"/>
  <c r="B205" i="4"/>
  <c r="K177" i="4"/>
  <c r="C132" i="4"/>
  <c r="K89" i="4"/>
  <c r="K175" i="4"/>
  <c r="J157" i="4"/>
  <c r="I118" i="4"/>
  <c r="J112" i="4"/>
  <c r="G109" i="4"/>
  <c r="I94" i="4"/>
  <c r="K94" i="4"/>
  <c r="K65" i="4"/>
  <c r="G66" i="4"/>
  <c r="I66" i="4"/>
  <c r="K66" i="4"/>
  <c r="E51" i="4"/>
  <c r="I40" i="4"/>
  <c r="I41" i="4"/>
  <c r="K41" i="4"/>
  <c r="B38" i="4"/>
  <c r="K38" i="4" s="1"/>
  <c r="K40" i="4"/>
  <c r="G41" i="4"/>
  <c r="J13" i="4"/>
  <c r="E18" i="4"/>
  <c r="G18" i="4"/>
  <c r="E16" i="4"/>
  <c r="K184" i="4"/>
  <c r="B106" i="4"/>
  <c r="E106" i="4" s="1"/>
  <c r="G89" i="4"/>
  <c r="I89" i="4"/>
  <c r="G67" i="4"/>
  <c r="E67" i="4"/>
  <c r="G51" i="4"/>
  <c r="I51" i="4"/>
  <c r="K51" i="4"/>
  <c r="G50" i="4"/>
  <c r="K50" i="4"/>
  <c r="G40" i="4"/>
  <c r="I30" i="4"/>
  <c r="E20" i="4"/>
  <c r="G20" i="4"/>
  <c r="E19" i="4"/>
  <c r="K19" i="4"/>
  <c r="G16" i="4"/>
  <c r="I184" i="4"/>
  <c r="B182" i="4"/>
  <c r="G182" i="4" s="1"/>
  <c r="E142" i="4"/>
  <c r="I142" i="4"/>
  <c r="K142" i="4"/>
  <c r="F112" i="4"/>
  <c r="I109" i="4"/>
  <c r="G97" i="4"/>
  <c r="E97" i="4"/>
  <c r="I97" i="4"/>
  <c r="F36" i="4"/>
  <c r="E30" i="4"/>
  <c r="K30" i="4"/>
  <c r="K164" i="4"/>
  <c r="E69" i="4"/>
  <c r="I116" i="4"/>
  <c r="G69" i="4"/>
  <c r="K69" i="4"/>
  <c r="G116" i="4"/>
  <c r="K118" i="4"/>
  <c r="I59" i="4"/>
  <c r="K59" i="4"/>
  <c r="G59" i="4"/>
  <c r="E70" i="4"/>
  <c r="I70" i="4"/>
  <c r="K70" i="4"/>
  <c r="E164" i="4"/>
  <c r="G164" i="4"/>
  <c r="I202" i="4"/>
  <c r="G202" i="4"/>
  <c r="K202" i="4"/>
  <c r="B200" i="4"/>
  <c r="K189" i="4"/>
  <c r="E189" i="4"/>
  <c r="B187" i="4"/>
  <c r="G189" i="4"/>
  <c r="I189" i="4"/>
  <c r="K166" i="4"/>
  <c r="I166" i="4"/>
  <c r="G166" i="4"/>
  <c r="K137" i="4"/>
  <c r="K57" i="4"/>
  <c r="K87" i="4"/>
  <c r="G87" i="4"/>
  <c r="G56" i="4"/>
  <c r="G57" i="4"/>
  <c r="G98" i="4"/>
  <c r="B114" i="4"/>
  <c r="G114" i="4" s="1"/>
  <c r="K117" i="4"/>
  <c r="K56" i="4"/>
  <c r="E117" i="4"/>
  <c r="E56" i="4"/>
  <c r="E57" i="4"/>
  <c r="G137" i="4"/>
  <c r="B53" i="4"/>
  <c r="E53" i="4" s="1"/>
  <c r="K100" i="4"/>
  <c r="I117" i="4"/>
  <c r="I146" i="4"/>
  <c r="G146" i="4"/>
  <c r="K146" i="4"/>
  <c r="I145" i="4"/>
  <c r="G58" i="4"/>
  <c r="E145" i="4"/>
  <c r="E137" i="4"/>
  <c r="E98" i="4"/>
  <c r="I87" i="4"/>
  <c r="G145" i="4"/>
  <c r="I100" i="4"/>
  <c r="I58" i="4"/>
  <c r="G100" i="4"/>
  <c r="K98" i="4"/>
  <c r="K58" i="4"/>
  <c r="B134" i="4"/>
  <c r="K134" i="4" s="1"/>
  <c r="K148" i="4"/>
  <c r="G148" i="4"/>
  <c r="I148" i="4"/>
  <c r="E148" i="4"/>
  <c r="G129" i="4"/>
  <c r="K129" i="4"/>
  <c r="B125" i="4"/>
  <c r="I129" i="4"/>
  <c r="E129" i="4"/>
  <c r="K165" i="4"/>
  <c r="I165" i="4"/>
  <c r="G165" i="4"/>
  <c r="B159" i="4"/>
  <c r="D157" i="4"/>
  <c r="E165" i="4"/>
  <c r="K78" i="4"/>
  <c r="I78" i="4"/>
  <c r="G78" i="4"/>
  <c r="D112" i="4"/>
  <c r="I141" i="4"/>
  <c r="G141" i="4"/>
  <c r="K141" i="4"/>
  <c r="B139" i="4"/>
  <c r="E139" i="4" s="1"/>
  <c r="G104" i="4"/>
  <c r="B102" i="4"/>
  <c r="I104" i="4"/>
  <c r="K93" i="4"/>
  <c r="G93" i="4"/>
  <c r="I93" i="4"/>
  <c r="B85" i="4"/>
  <c r="E85" i="4" s="1"/>
  <c r="I88" i="4"/>
  <c r="G88" i="4"/>
  <c r="K88" i="4"/>
  <c r="D36" i="4"/>
  <c r="E26" i="4"/>
  <c r="K26" i="4"/>
  <c r="G26" i="4"/>
  <c r="I26" i="4"/>
  <c r="K104" i="4" l="1"/>
  <c r="E419" i="19"/>
  <c r="E1034" i="19"/>
  <c r="E1036" i="19" s="1"/>
  <c r="F1036" i="19" s="1"/>
  <c r="B81" i="4"/>
  <c r="K81" i="4" s="1"/>
  <c r="B153" i="4"/>
  <c r="I155" i="4"/>
  <c r="G155" i="4"/>
  <c r="B151" i="4"/>
  <c r="E155" i="4"/>
  <c r="K155" i="4"/>
  <c r="K83" i="4"/>
  <c r="E13" i="13"/>
  <c r="B81" i="5"/>
  <c r="K81" i="5" s="1"/>
  <c r="E83" i="4"/>
  <c r="I83" i="4"/>
  <c r="H13" i="4"/>
  <c r="K102" i="5"/>
  <c r="G102" i="5"/>
  <c r="I102" i="5"/>
  <c r="I104" i="5"/>
  <c r="BE34" i="12"/>
  <c r="BG34" i="12" s="1"/>
  <c r="H14" i="5"/>
  <c r="B26" i="5"/>
  <c r="B24" i="3" s="1"/>
  <c r="B150" i="24"/>
  <c r="E91" i="5"/>
  <c r="G99" i="4"/>
  <c r="E99" i="4"/>
  <c r="K99" i="4"/>
  <c r="B91" i="4"/>
  <c r="E91" i="4" s="1"/>
  <c r="G72" i="4"/>
  <c r="I72" i="4"/>
  <c r="K72" i="4"/>
  <c r="I23" i="4"/>
  <c r="K33" i="4"/>
  <c r="K23" i="4"/>
  <c r="G23" i="4"/>
  <c r="I33" i="4"/>
  <c r="G33" i="4"/>
  <c r="K27" i="4"/>
  <c r="BK88" i="12"/>
  <c r="R136" i="12"/>
  <c r="R140" i="12" s="1"/>
  <c r="R141" i="12" s="1"/>
  <c r="G27" i="4"/>
  <c r="G37" i="13"/>
  <c r="E27" i="4"/>
  <c r="B25" i="4"/>
  <c r="E25" i="4" s="1"/>
  <c r="K29" i="4"/>
  <c r="G29" i="4"/>
  <c r="C13" i="13"/>
  <c r="E29" i="4"/>
  <c r="D14" i="5"/>
  <c r="D212" i="5" s="1"/>
  <c r="E14" i="5" s="1"/>
  <c r="G13" i="13"/>
  <c r="E188" i="5"/>
  <c r="K188" i="5"/>
  <c r="B14" i="4"/>
  <c r="I14" i="4" s="1"/>
  <c r="I188" i="5"/>
  <c r="K24" i="4"/>
  <c r="I17" i="4"/>
  <c r="G17" i="4"/>
  <c r="E17" i="4"/>
  <c r="D13" i="4"/>
  <c r="D212" i="4" s="1"/>
  <c r="C163" i="4"/>
  <c r="G24" i="4"/>
  <c r="E24" i="4"/>
  <c r="B15" i="5"/>
  <c r="K15" i="5"/>
  <c r="C110" i="4"/>
  <c r="B13" i="3"/>
  <c r="C49" i="4"/>
  <c r="I45" i="4"/>
  <c r="C21" i="4"/>
  <c r="E192" i="5"/>
  <c r="C68" i="4"/>
  <c r="C144" i="4"/>
  <c r="G85" i="5"/>
  <c r="G192" i="5"/>
  <c r="E159" i="5"/>
  <c r="B181" i="5"/>
  <c r="K192" i="5"/>
  <c r="C77" i="4"/>
  <c r="B157" i="5"/>
  <c r="C108" i="4"/>
  <c r="B71" i="5"/>
  <c r="H63" i="5"/>
  <c r="H74" i="4"/>
  <c r="B76" i="4"/>
  <c r="I76" i="4" s="1"/>
  <c r="H62" i="4"/>
  <c r="B71" i="4"/>
  <c r="G89" i="13"/>
  <c r="G81" i="13" s="1"/>
  <c r="E81" i="13"/>
  <c r="E92" i="13"/>
  <c r="G94" i="13"/>
  <c r="G92" i="13" s="1"/>
  <c r="I159" i="5"/>
  <c r="E85" i="5"/>
  <c r="BG62" i="12"/>
  <c r="B75" i="3"/>
  <c r="B73" i="3" s="1"/>
  <c r="G159" i="5"/>
  <c r="I85" i="5"/>
  <c r="BE66" i="12"/>
  <c r="BG66" i="12" s="1"/>
  <c r="AV88" i="12"/>
  <c r="C22" i="4"/>
  <c r="BG59" i="12"/>
  <c r="B70" i="3"/>
  <c r="B62" i="3" s="1"/>
  <c r="B76" i="5"/>
  <c r="H74" i="5"/>
  <c r="G172" i="13"/>
  <c r="G170" i="13" s="1"/>
  <c r="G168" i="13" s="1"/>
  <c r="C170" i="13"/>
  <c r="C168" i="13" s="1"/>
  <c r="D8" i="13"/>
  <c r="C95" i="4"/>
  <c r="E45" i="4"/>
  <c r="G45" i="4"/>
  <c r="I91" i="5"/>
  <c r="C96" i="4"/>
  <c r="C19" i="4"/>
  <c r="C65" i="4"/>
  <c r="C194" i="4"/>
  <c r="C162" i="4"/>
  <c r="C31" i="4"/>
  <c r="C32" i="4"/>
  <c r="C79" i="4"/>
  <c r="K114" i="5"/>
  <c r="I114" i="5"/>
  <c r="C143" i="4"/>
  <c r="C175" i="4"/>
  <c r="C20" i="4"/>
  <c r="C28" i="4"/>
  <c r="E114" i="5"/>
  <c r="E38" i="4"/>
  <c r="C147" i="4"/>
  <c r="C184" i="4"/>
  <c r="G38" i="4"/>
  <c r="E192" i="4"/>
  <c r="I46" i="5"/>
  <c r="K192" i="4"/>
  <c r="C48" i="4"/>
  <c r="G46" i="5"/>
  <c r="C66" i="4"/>
  <c r="C47" i="4"/>
  <c r="C55" i="4"/>
  <c r="G192" i="4"/>
  <c r="C18" i="4"/>
  <c r="K46" i="5"/>
  <c r="C60" i="4"/>
  <c r="G39" i="5"/>
  <c r="K39" i="5"/>
  <c r="P7" i="30"/>
  <c r="B153" i="3"/>
  <c r="B151" i="3" s="1"/>
  <c r="C97" i="4"/>
  <c r="E39" i="5"/>
  <c r="C67" i="4"/>
  <c r="I39" i="5"/>
  <c r="G211" i="3"/>
  <c r="H94" i="3" s="1"/>
  <c r="E153" i="3"/>
  <c r="E40" i="3"/>
  <c r="E55" i="3"/>
  <c r="E27" i="3"/>
  <c r="E38" i="3"/>
  <c r="E165" i="3"/>
  <c r="E159" i="3"/>
  <c r="E43" i="3"/>
  <c r="E69" i="3"/>
  <c r="E87" i="3"/>
  <c r="E118" i="3"/>
  <c r="E162" i="3"/>
  <c r="E99" i="3"/>
  <c r="E173" i="3"/>
  <c r="E204" i="3"/>
  <c r="E142" i="3"/>
  <c r="E86" i="3"/>
  <c r="E80" i="3"/>
  <c r="E73" i="3"/>
  <c r="E146" i="3"/>
  <c r="E15" i="3"/>
  <c r="E60" i="3"/>
  <c r="E127" i="3"/>
  <c r="E144" i="3"/>
  <c r="E199" i="3"/>
  <c r="E30" i="3"/>
  <c r="E168" i="3"/>
  <c r="E108" i="3"/>
  <c r="E132" i="3"/>
  <c r="E98" i="3"/>
  <c r="E164" i="3"/>
  <c r="E186" i="3"/>
  <c r="E147" i="3"/>
  <c r="E201" i="3"/>
  <c r="E26" i="3"/>
  <c r="E95" i="3"/>
  <c r="E96" i="3"/>
  <c r="E92" i="3"/>
  <c r="E128" i="3"/>
  <c r="E104" i="3"/>
  <c r="E116" i="3"/>
  <c r="E161" i="3"/>
  <c r="E68" i="3"/>
  <c r="E197" i="3"/>
  <c r="E56" i="3"/>
  <c r="E119" i="3"/>
  <c r="E31" i="3"/>
  <c r="E59" i="3"/>
  <c r="E155" i="3"/>
  <c r="E16" i="3"/>
  <c r="E179" i="3"/>
  <c r="E20" i="3"/>
  <c r="E23" i="3"/>
  <c r="E67" i="3"/>
  <c r="E50" i="3"/>
  <c r="E71" i="3"/>
  <c r="E167" i="3"/>
  <c r="E82" i="3"/>
  <c r="E58" i="3"/>
  <c r="E187" i="3"/>
  <c r="E47" i="3"/>
  <c r="E103" i="3"/>
  <c r="E76" i="3"/>
  <c r="E49" i="3"/>
  <c r="E18" i="3"/>
  <c r="E78" i="3"/>
  <c r="E32" i="3"/>
  <c r="E136" i="3"/>
  <c r="E17" i="3"/>
  <c r="E106" i="3"/>
  <c r="E192" i="3"/>
  <c r="E66" i="3"/>
  <c r="E110" i="3"/>
  <c r="E208" i="3"/>
  <c r="E169" i="3"/>
  <c r="E130" i="3"/>
  <c r="E114" i="3"/>
  <c r="E148" i="3"/>
  <c r="E183" i="3"/>
  <c r="E93" i="3"/>
  <c r="E206" i="3"/>
  <c r="E137" i="3"/>
  <c r="E131" i="3"/>
  <c r="E203" i="3"/>
  <c r="E109" i="3"/>
  <c r="E163" i="3"/>
  <c r="E65" i="3"/>
  <c r="E33" i="3"/>
  <c r="E42" i="3"/>
  <c r="E28" i="3"/>
  <c r="E25" i="3"/>
  <c r="E62" i="3"/>
  <c r="E191" i="3"/>
  <c r="E178" i="3"/>
  <c r="E57" i="3"/>
  <c r="E149" i="3"/>
  <c r="E121" i="3"/>
  <c r="E19" i="3"/>
  <c r="E143" i="3"/>
  <c r="E198" i="3"/>
  <c r="E141" i="3"/>
  <c r="E21" i="3"/>
  <c r="E94" i="3"/>
  <c r="E75" i="3"/>
  <c r="E64" i="3"/>
  <c r="E125" i="3"/>
  <c r="E51" i="3"/>
  <c r="E129" i="3"/>
  <c r="E48" i="3"/>
  <c r="E41" i="3"/>
  <c r="E97" i="3"/>
  <c r="E123" i="3"/>
  <c r="E101" i="3"/>
  <c r="E117" i="3"/>
  <c r="E166" i="3"/>
  <c r="E77" i="3"/>
  <c r="E22" i="3"/>
  <c r="E145" i="3"/>
  <c r="E84" i="3"/>
  <c r="E189" i="3"/>
  <c r="E209" i="3"/>
  <c r="E88" i="3"/>
  <c r="E29" i="3"/>
  <c r="E196" i="3"/>
  <c r="E70" i="3"/>
  <c r="E185" i="3"/>
  <c r="E139" i="3"/>
  <c r="E24" i="3"/>
  <c r="E174" i="3"/>
  <c r="E176" i="3"/>
  <c r="E12" i="3"/>
  <c r="E134" i="3"/>
  <c r="E194" i="3"/>
  <c r="E151" i="3"/>
  <c r="E112" i="3"/>
  <c r="E53" i="3"/>
  <c r="E36" i="3"/>
  <c r="E171" i="3"/>
  <c r="E181" i="3"/>
  <c r="E90" i="3"/>
  <c r="E45" i="3"/>
  <c r="E157" i="3"/>
  <c r="K125" i="5"/>
  <c r="I125" i="5"/>
  <c r="E125" i="5"/>
  <c r="G125" i="5"/>
  <c r="K91" i="5"/>
  <c r="G91" i="5"/>
  <c r="E106" i="5"/>
  <c r="I106" i="5"/>
  <c r="G106" i="5"/>
  <c r="K106" i="5"/>
  <c r="G54" i="5"/>
  <c r="K54" i="5"/>
  <c r="J212" i="5"/>
  <c r="F212" i="5"/>
  <c r="C155" i="5"/>
  <c r="E153" i="5"/>
  <c r="B151" i="5"/>
  <c r="I153" i="5"/>
  <c r="K153" i="5"/>
  <c r="G153" i="5"/>
  <c r="G139" i="5"/>
  <c r="I139" i="5"/>
  <c r="B112" i="5"/>
  <c r="C114" i="5" s="1"/>
  <c r="K139" i="5"/>
  <c r="E139" i="5"/>
  <c r="C177" i="4"/>
  <c r="G106" i="4"/>
  <c r="K205" i="4"/>
  <c r="I205" i="4"/>
  <c r="G205" i="4"/>
  <c r="E205" i="4"/>
  <c r="J212" i="4"/>
  <c r="C207" i="4"/>
  <c r="C196" i="4"/>
  <c r="C30" i="4"/>
  <c r="C41" i="4"/>
  <c r="C94" i="4"/>
  <c r="K182" i="4"/>
  <c r="E182" i="4"/>
  <c r="I182" i="4"/>
  <c r="C142" i="4"/>
  <c r="C118" i="4"/>
  <c r="K106" i="4"/>
  <c r="C109" i="4"/>
  <c r="I106" i="4"/>
  <c r="C89" i="4"/>
  <c r="C51" i="4"/>
  <c r="C50" i="4"/>
  <c r="I38" i="4"/>
  <c r="C40" i="4"/>
  <c r="C16" i="4"/>
  <c r="G134" i="4"/>
  <c r="C116" i="4"/>
  <c r="C69" i="4"/>
  <c r="F212" i="4"/>
  <c r="C70" i="4"/>
  <c r="C59" i="4"/>
  <c r="C164" i="4"/>
  <c r="B180" i="4"/>
  <c r="K180" i="4" s="1"/>
  <c r="C202" i="4"/>
  <c r="I200" i="4"/>
  <c r="K200" i="4"/>
  <c r="G200" i="4"/>
  <c r="E200" i="4"/>
  <c r="C166" i="4"/>
  <c r="C189" i="4"/>
  <c r="K187" i="4"/>
  <c r="G187" i="4"/>
  <c r="I187" i="4"/>
  <c r="E187" i="4"/>
  <c r="C98" i="4"/>
  <c r="C87" i="4"/>
  <c r="I114" i="4"/>
  <c r="G53" i="4"/>
  <c r="C56" i="4"/>
  <c r="I53" i="4"/>
  <c r="C57" i="4"/>
  <c r="C117" i="4"/>
  <c r="K53" i="4"/>
  <c r="K114" i="4"/>
  <c r="C58" i="4"/>
  <c r="C137" i="4"/>
  <c r="C146" i="4"/>
  <c r="E114" i="4"/>
  <c r="C148" i="4"/>
  <c r="E134" i="4"/>
  <c r="C145" i="4"/>
  <c r="C100" i="4"/>
  <c r="I134" i="4"/>
  <c r="K125" i="4"/>
  <c r="I125" i="4"/>
  <c r="G125" i="4"/>
  <c r="E125" i="4"/>
  <c r="C129" i="4"/>
  <c r="C165" i="4"/>
  <c r="E159" i="4"/>
  <c r="B157" i="4"/>
  <c r="I159" i="4"/>
  <c r="K159" i="4"/>
  <c r="G159" i="4"/>
  <c r="C78" i="4"/>
  <c r="C104" i="4"/>
  <c r="C141" i="4"/>
  <c r="G139" i="4"/>
  <c r="K139" i="4"/>
  <c r="I139" i="4"/>
  <c r="B112" i="4"/>
  <c r="I102" i="4"/>
  <c r="K102" i="4"/>
  <c r="G102" i="4"/>
  <c r="E102" i="4"/>
  <c r="C93" i="4"/>
  <c r="C88" i="4"/>
  <c r="K85" i="4"/>
  <c r="G85" i="4"/>
  <c r="I85" i="4"/>
  <c r="C26" i="4"/>
  <c r="I81" i="4" l="1"/>
  <c r="E81" i="4"/>
  <c r="G81" i="4"/>
  <c r="C155" i="4"/>
  <c r="I151" i="4"/>
  <c r="G151" i="4"/>
  <c r="K151" i="4"/>
  <c r="E151" i="4"/>
  <c r="E153" i="4"/>
  <c r="G153" i="4"/>
  <c r="K153" i="4"/>
  <c r="I153" i="4"/>
  <c r="C83" i="4"/>
  <c r="B12" i="3"/>
  <c r="E55" i="13"/>
  <c r="G81" i="5"/>
  <c r="I81" i="5"/>
  <c r="G91" i="4"/>
  <c r="G130" i="5"/>
  <c r="B14" i="5"/>
  <c r="C170" i="5" s="1"/>
  <c r="I91" i="4"/>
  <c r="C99" i="4"/>
  <c r="K91" i="4"/>
  <c r="C72" i="4"/>
  <c r="C23" i="4"/>
  <c r="C33" i="4"/>
  <c r="BK136" i="12"/>
  <c r="K25" i="4"/>
  <c r="C27" i="4"/>
  <c r="G25" i="4"/>
  <c r="I25" i="4"/>
  <c r="C29" i="4"/>
  <c r="C17" i="4"/>
  <c r="C8" i="13"/>
  <c r="B177" i="21" s="1"/>
  <c r="G14" i="4"/>
  <c r="E14" i="4"/>
  <c r="C24" i="4"/>
  <c r="B13" i="4"/>
  <c r="I13" i="4" s="1"/>
  <c r="K14" i="4"/>
  <c r="E15" i="5"/>
  <c r="I15" i="5"/>
  <c r="B36" i="3"/>
  <c r="H36" i="4"/>
  <c r="H212" i="4" s="1"/>
  <c r="G55" i="13"/>
  <c r="G8" i="13" s="1"/>
  <c r="C45" i="4"/>
  <c r="I71" i="4"/>
  <c r="K71" i="4"/>
  <c r="E71" i="4"/>
  <c r="G71" i="4"/>
  <c r="B62" i="4"/>
  <c r="I62" i="4" s="1"/>
  <c r="AV136" i="12"/>
  <c r="AV138" i="12" s="1"/>
  <c r="BE88" i="12"/>
  <c r="BG88" i="12" s="1"/>
  <c r="E76" i="4"/>
  <c r="G76" i="4"/>
  <c r="B74" i="4"/>
  <c r="K76" i="4"/>
  <c r="C38" i="4"/>
  <c r="I76" i="5"/>
  <c r="B74" i="5"/>
  <c r="H37" i="5"/>
  <c r="H212" i="5" s="1"/>
  <c r="I71" i="5"/>
  <c r="B63" i="5"/>
  <c r="C192" i="4"/>
  <c r="C106" i="4"/>
  <c r="C200" i="15"/>
  <c r="H202" i="15"/>
  <c r="G21" i="15"/>
  <c r="C15" i="15"/>
  <c r="C9" i="15" s="1"/>
  <c r="I94" i="3"/>
  <c r="E211" i="3"/>
  <c r="H36" i="3"/>
  <c r="I36" i="3" s="1"/>
  <c r="H134" i="3"/>
  <c r="I134" i="3" s="1"/>
  <c r="H149" i="3"/>
  <c r="I149" i="3" s="1"/>
  <c r="H117" i="3"/>
  <c r="I117" i="3" s="1"/>
  <c r="H139" i="3"/>
  <c r="I139" i="3" s="1"/>
  <c r="H178" i="3"/>
  <c r="I178" i="3" s="1"/>
  <c r="H147" i="3"/>
  <c r="I147" i="3" s="1"/>
  <c r="H53" i="3"/>
  <c r="I53" i="3" s="1"/>
  <c r="H33" i="3"/>
  <c r="I33" i="3" s="1"/>
  <c r="H51" i="3"/>
  <c r="I51" i="3" s="1"/>
  <c r="H58" i="3"/>
  <c r="I58" i="3" s="1"/>
  <c r="H45" i="3"/>
  <c r="I45" i="3" s="1"/>
  <c r="H192" i="3"/>
  <c r="I192" i="3" s="1"/>
  <c r="H95" i="3"/>
  <c r="I95" i="3" s="1"/>
  <c r="H141" i="3"/>
  <c r="I141" i="3" s="1"/>
  <c r="H23" i="3"/>
  <c r="I23" i="3" s="1"/>
  <c r="H30" i="3"/>
  <c r="I30" i="3" s="1"/>
  <c r="H123" i="3"/>
  <c r="I123" i="3" s="1"/>
  <c r="H12" i="3"/>
  <c r="I12" i="3" s="1"/>
  <c r="H155" i="3"/>
  <c r="I155" i="3" s="1"/>
  <c r="H71" i="3"/>
  <c r="I71" i="3" s="1"/>
  <c r="H25" i="3"/>
  <c r="I25" i="3" s="1"/>
  <c r="H41" i="3"/>
  <c r="I41" i="3" s="1"/>
  <c r="H128" i="3"/>
  <c r="I128" i="3" s="1"/>
  <c r="H168" i="3"/>
  <c r="I168" i="3" s="1"/>
  <c r="H186" i="3"/>
  <c r="I186" i="3" s="1"/>
  <c r="H116" i="3"/>
  <c r="I116" i="3" s="1"/>
  <c r="H173" i="3"/>
  <c r="I173" i="3" s="1"/>
  <c r="H28" i="3"/>
  <c r="I28" i="3" s="1"/>
  <c r="H183" i="3"/>
  <c r="I183" i="3" s="1"/>
  <c r="H136" i="3"/>
  <c r="I136" i="3" s="1"/>
  <c r="H70" i="3"/>
  <c r="I70" i="3" s="1"/>
  <c r="H43" i="3"/>
  <c r="I43" i="3" s="1"/>
  <c r="H27" i="3"/>
  <c r="I27" i="3" s="1"/>
  <c r="H101" i="3"/>
  <c r="I101" i="3" s="1"/>
  <c r="H76" i="3"/>
  <c r="I76" i="3" s="1"/>
  <c r="H165" i="3"/>
  <c r="I165" i="3" s="1"/>
  <c r="H62" i="3"/>
  <c r="I62" i="3" s="1"/>
  <c r="H77" i="3"/>
  <c r="I77" i="3" s="1"/>
  <c r="H50" i="3"/>
  <c r="I50" i="3" s="1"/>
  <c r="H22" i="3"/>
  <c r="I22" i="3" s="1"/>
  <c r="H99" i="3"/>
  <c r="I99" i="3" s="1"/>
  <c r="H88" i="3"/>
  <c r="I88" i="3" s="1"/>
  <c r="H108" i="3"/>
  <c r="I108" i="3" s="1"/>
  <c r="H198" i="3"/>
  <c r="I198" i="3" s="1"/>
  <c r="H137" i="3"/>
  <c r="I137" i="3" s="1"/>
  <c r="H145" i="3"/>
  <c r="I145" i="3" s="1"/>
  <c r="H87" i="3"/>
  <c r="I87" i="3" s="1"/>
  <c r="H109" i="3"/>
  <c r="I109" i="3" s="1"/>
  <c r="H31" i="3"/>
  <c r="I31" i="3" s="1"/>
  <c r="H121" i="3"/>
  <c r="I121" i="3" s="1"/>
  <c r="H153" i="3"/>
  <c r="I153" i="3" s="1"/>
  <c r="H92" i="3"/>
  <c r="I92" i="3" s="1"/>
  <c r="H185" i="3"/>
  <c r="I185" i="3" s="1"/>
  <c r="H84" i="3"/>
  <c r="I84" i="3" s="1"/>
  <c r="H171" i="3"/>
  <c r="I171" i="3" s="1"/>
  <c r="H24" i="3"/>
  <c r="I24" i="3" s="1"/>
  <c r="H106" i="3"/>
  <c r="I106" i="3" s="1"/>
  <c r="H67" i="3"/>
  <c r="I67" i="3" s="1"/>
  <c r="H118" i="3"/>
  <c r="I118" i="3" s="1"/>
  <c r="H129" i="3"/>
  <c r="I129" i="3" s="1"/>
  <c r="H191" i="3"/>
  <c r="I191" i="3" s="1"/>
  <c r="H82" i="3"/>
  <c r="I82" i="3" s="1"/>
  <c r="H97" i="3"/>
  <c r="I97" i="3" s="1"/>
  <c r="H15" i="3"/>
  <c r="I15" i="3" s="1"/>
  <c r="H112" i="3"/>
  <c r="I112" i="3" s="1"/>
  <c r="H48" i="3"/>
  <c r="I48" i="3" s="1"/>
  <c r="H16" i="3"/>
  <c r="I16" i="3" s="1"/>
  <c r="H143" i="3"/>
  <c r="I143" i="3" s="1"/>
  <c r="H146" i="3"/>
  <c r="I146" i="3" s="1"/>
  <c r="H125" i="3"/>
  <c r="I125" i="3" s="1"/>
  <c r="H114" i="3"/>
  <c r="I114" i="3" s="1"/>
  <c r="H93" i="3"/>
  <c r="I93" i="3" s="1"/>
  <c r="H142" i="3"/>
  <c r="I142" i="3" s="1"/>
  <c r="H19" i="3"/>
  <c r="I19" i="3" s="1"/>
  <c r="H20" i="3"/>
  <c r="I20" i="3" s="1"/>
  <c r="H21" i="3"/>
  <c r="I21" i="3" s="1"/>
  <c r="H189" i="3"/>
  <c r="I189" i="3" s="1"/>
  <c r="H132" i="3"/>
  <c r="I132" i="3" s="1"/>
  <c r="H64" i="3"/>
  <c r="I64" i="3" s="1"/>
  <c r="H42" i="3"/>
  <c r="I42" i="3" s="1"/>
  <c r="H199" i="3"/>
  <c r="I199" i="3" s="1"/>
  <c r="H104" i="3"/>
  <c r="I104" i="3" s="1"/>
  <c r="H78" i="3"/>
  <c r="I78" i="3" s="1"/>
  <c r="H66" i="3"/>
  <c r="I66" i="3" s="1"/>
  <c r="H18" i="3"/>
  <c r="I18" i="3" s="1"/>
  <c r="H65" i="3"/>
  <c r="I65" i="3" s="1"/>
  <c r="H176" i="3"/>
  <c r="I176" i="3" s="1"/>
  <c r="H73" i="3"/>
  <c r="I73" i="3" s="1"/>
  <c r="H209" i="3"/>
  <c r="I209" i="3" s="1"/>
  <c r="H98" i="3"/>
  <c r="I98" i="3" s="1"/>
  <c r="H159" i="3"/>
  <c r="I159" i="3" s="1"/>
  <c r="H59" i="3"/>
  <c r="I59" i="3" s="1"/>
  <c r="H55" i="3"/>
  <c r="I55" i="3" s="1"/>
  <c r="H29" i="3"/>
  <c r="I29" i="3" s="1"/>
  <c r="H130" i="3"/>
  <c r="I130" i="3" s="1"/>
  <c r="H86" i="3"/>
  <c r="I86" i="3" s="1"/>
  <c r="H164" i="3"/>
  <c r="I164" i="3" s="1"/>
  <c r="H208" i="3"/>
  <c r="I208" i="3" s="1"/>
  <c r="H197" i="3"/>
  <c r="I197" i="3" s="1"/>
  <c r="H174" i="3"/>
  <c r="I174" i="3" s="1"/>
  <c r="H167" i="3"/>
  <c r="I167" i="3" s="1"/>
  <c r="H32" i="3"/>
  <c r="I32" i="3" s="1"/>
  <c r="H194" i="3"/>
  <c r="I194" i="3" s="1"/>
  <c r="H49" i="3"/>
  <c r="I49" i="3" s="1"/>
  <c r="H131" i="3"/>
  <c r="I131" i="3" s="1"/>
  <c r="H17" i="3"/>
  <c r="I17" i="3" s="1"/>
  <c r="H38" i="3"/>
  <c r="I38" i="3" s="1"/>
  <c r="H163" i="3"/>
  <c r="I163" i="3" s="1"/>
  <c r="H201" i="3"/>
  <c r="I201" i="3" s="1"/>
  <c r="H26" i="3"/>
  <c r="I26" i="3" s="1"/>
  <c r="H103" i="3"/>
  <c r="I103" i="3" s="1"/>
  <c r="H203" i="3"/>
  <c r="I203" i="3" s="1"/>
  <c r="H47" i="3"/>
  <c r="I47" i="3" s="1"/>
  <c r="H75" i="3"/>
  <c r="I75" i="3" s="1"/>
  <c r="H60" i="3"/>
  <c r="I60" i="3" s="1"/>
  <c r="H206" i="3"/>
  <c r="I206" i="3" s="1"/>
  <c r="H144" i="3"/>
  <c r="I144" i="3" s="1"/>
  <c r="H166" i="3"/>
  <c r="I166" i="3" s="1"/>
  <c r="H56" i="3"/>
  <c r="I56" i="3" s="1"/>
  <c r="H179" i="3"/>
  <c r="I179" i="3" s="1"/>
  <c r="H119" i="3"/>
  <c r="I119" i="3" s="1"/>
  <c r="H40" i="3"/>
  <c r="I40" i="3" s="1"/>
  <c r="H127" i="3"/>
  <c r="I127" i="3" s="1"/>
  <c r="H90" i="3"/>
  <c r="I90" i="3" s="1"/>
  <c r="H157" i="3"/>
  <c r="I157" i="3" s="1"/>
  <c r="H69" i="3"/>
  <c r="I69" i="3" s="1"/>
  <c r="H187" i="3"/>
  <c r="I187" i="3" s="1"/>
  <c r="H181" i="3"/>
  <c r="I181" i="3" s="1"/>
  <c r="H68" i="3"/>
  <c r="I68" i="3" s="1"/>
  <c r="H151" i="3"/>
  <c r="I151" i="3" s="1"/>
  <c r="H196" i="3"/>
  <c r="I196" i="3" s="1"/>
  <c r="H57" i="3"/>
  <c r="I57" i="3" s="1"/>
  <c r="H204" i="3"/>
  <c r="I204" i="3" s="1"/>
  <c r="H162" i="3"/>
  <c r="I162" i="3" s="1"/>
  <c r="H80" i="3"/>
  <c r="I80" i="3" s="1"/>
  <c r="H96" i="3"/>
  <c r="I96" i="3" s="1"/>
  <c r="H110" i="3"/>
  <c r="I110" i="3" s="1"/>
  <c r="H148" i="3"/>
  <c r="I148" i="3" s="1"/>
  <c r="K132" i="5"/>
  <c r="K60" i="5"/>
  <c r="K168" i="5"/>
  <c r="K83" i="5"/>
  <c r="K142" i="5"/>
  <c r="K108" i="5"/>
  <c r="K59" i="5"/>
  <c r="K22" i="5"/>
  <c r="K117" i="5"/>
  <c r="K100" i="5"/>
  <c r="K96" i="5"/>
  <c r="K50" i="5"/>
  <c r="K167" i="5"/>
  <c r="K118" i="5"/>
  <c r="K30" i="5"/>
  <c r="K174" i="5"/>
  <c r="K127" i="5"/>
  <c r="K112" i="5"/>
  <c r="K164" i="5"/>
  <c r="K33" i="5"/>
  <c r="K61" i="5"/>
  <c r="K93" i="5"/>
  <c r="K178" i="5"/>
  <c r="K166" i="5"/>
  <c r="K172" i="5"/>
  <c r="K210" i="5"/>
  <c r="K18" i="5"/>
  <c r="K136" i="5"/>
  <c r="K119" i="5"/>
  <c r="K186" i="5"/>
  <c r="K129" i="5"/>
  <c r="K87" i="5"/>
  <c r="K194" i="5"/>
  <c r="K56" i="5"/>
  <c r="K27" i="5"/>
  <c r="K88" i="5"/>
  <c r="K26" i="5"/>
  <c r="K157" i="5"/>
  <c r="K79" i="5"/>
  <c r="K34" i="5"/>
  <c r="K67" i="5"/>
  <c r="K49" i="5"/>
  <c r="K95" i="5"/>
  <c r="K37" i="5"/>
  <c r="K65" i="5"/>
  <c r="K14" i="5"/>
  <c r="K20" i="5"/>
  <c r="K109" i="5"/>
  <c r="K94" i="5"/>
  <c r="K98" i="5"/>
  <c r="K48" i="5"/>
  <c r="K70" i="5"/>
  <c r="K41" i="5"/>
  <c r="K116" i="5"/>
  <c r="K165" i="5"/>
  <c r="K57" i="5"/>
  <c r="K21" i="5"/>
  <c r="K99" i="5"/>
  <c r="K185" i="5"/>
  <c r="K209" i="5"/>
  <c r="K31" i="5"/>
  <c r="K97" i="5"/>
  <c r="K203" i="5"/>
  <c r="K144" i="5"/>
  <c r="K110" i="5"/>
  <c r="K25" i="5"/>
  <c r="K51" i="5"/>
  <c r="K190" i="5"/>
  <c r="K141" i="5"/>
  <c r="K205" i="5"/>
  <c r="K131" i="5"/>
  <c r="K148" i="5"/>
  <c r="K179" i="5"/>
  <c r="K24" i="5"/>
  <c r="K198" i="5"/>
  <c r="K78" i="5"/>
  <c r="K68" i="5"/>
  <c r="K44" i="5"/>
  <c r="K123" i="5"/>
  <c r="K89" i="5"/>
  <c r="K104" i="5"/>
  <c r="K35" i="5"/>
  <c r="K145" i="5"/>
  <c r="K66" i="5"/>
  <c r="K71" i="5"/>
  <c r="K32" i="5"/>
  <c r="K143" i="5"/>
  <c r="K23" i="5"/>
  <c r="K76" i="5"/>
  <c r="K173" i="5"/>
  <c r="K128" i="5"/>
  <c r="K147" i="5"/>
  <c r="K130" i="5"/>
  <c r="K202" i="5"/>
  <c r="K181" i="5"/>
  <c r="K77" i="5"/>
  <c r="K52" i="5"/>
  <c r="K42" i="5"/>
  <c r="K163" i="5"/>
  <c r="K29" i="5"/>
  <c r="K137" i="5"/>
  <c r="K161" i="5"/>
  <c r="K146" i="5"/>
  <c r="K58" i="5"/>
  <c r="K72" i="5"/>
  <c r="K162" i="5"/>
  <c r="K19" i="5"/>
  <c r="K28" i="5"/>
  <c r="K43" i="5"/>
  <c r="K17" i="5"/>
  <c r="K69" i="5"/>
  <c r="G31" i="5"/>
  <c r="G44" i="5"/>
  <c r="G172" i="5"/>
  <c r="G118" i="5"/>
  <c r="G174" i="5"/>
  <c r="G164" i="5"/>
  <c r="G34" i="5"/>
  <c r="G49" i="5"/>
  <c r="G88" i="5"/>
  <c r="G161" i="5"/>
  <c r="G157" i="5"/>
  <c r="G95" i="5"/>
  <c r="G79" i="5"/>
  <c r="G65" i="5"/>
  <c r="G144" i="5"/>
  <c r="G76" i="5"/>
  <c r="G43" i="5"/>
  <c r="G178" i="5"/>
  <c r="G56" i="5"/>
  <c r="G181" i="5"/>
  <c r="G35" i="5"/>
  <c r="G51" i="5"/>
  <c r="G72" i="5"/>
  <c r="G59" i="5"/>
  <c r="G66" i="5"/>
  <c r="G145" i="5"/>
  <c r="G143" i="5"/>
  <c r="G198" i="5"/>
  <c r="G136" i="5"/>
  <c r="G99" i="5"/>
  <c r="G14" i="5"/>
  <c r="G100" i="5"/>
  <c r="G137" i="5"/>
  <c r="G60" i="5"/>
  <c r="G27" i="5"/>
  <c r="G50" i="5"/>
  <c r="G83" i="5"/>
  <c r="G19" i="5"/>
  <c r="G68" i="5"/>
  <c r="G21" i="5"/>
  <c r="G28" i="5"/>
  <c r="G30" i="5"/>
  <c r="G48" i="5"/>
  <c r="G117" i="5"/>
  <c r="G110" i="5"/>
  <c r="G61" i="5"/>
  <c r="G87" i="5"/>
  <c r="G119" i="5"/>
  <c r="G123" i="5"/>
  <c r="G167" i="5"/>
  <c r="G148" i="5"/>
  <c r="G71" i="5"/>
  <c r="G77" i="5"/>
  <c r="G165" i="5"/>
  <c r="G67" i="5"/>
  <c r="G96" i="5"/>
  <c r="G112" i="5"/>
  <c r="G128" i="5"/>
  <c r="G18" i="5"/>
  <c r="G141" i="5"/>
  <c r="G33" i="5"/>
  <c r="G42" i="5"/>
  <c r="G190" i="5"/>
  <c r="G104" i="5"/>
  <c r="G116" i="5"/>
  <c r="G37" i="5"/>
  <c r="G127" i="5"/>
  <c r="G20" i="5"/>
  <c r="G166" i="5"/>
  <c r="G202" i="5"/>
  <c r="G131" i="5"/>
  <c r="G97" i="5"/>
  <c r="G89" i="5"/>
  <c r="G185" i="5"/>
  <c r="G52" i="5"/>
  <c r="G142" i="5"/>
  <c r="G58" i="5"/>
  <c r="G94" i="5"/>
  <c r="G98" i="5"/>
  <c r="G26" i="5"/>
  <c r="G168" i="5"/>
  <c r="G205" i="5"/>
  <c r="G108" i="5"/>
  <c r="G179" i="5"/>
  <c r="G210" i="5"/>
  <c r="G57" i="5"/>
  <c r="G132" i="5"/>
  <c r="G17" i="5"/>
  <c r="G194" i="5"/>
  <c r="G78" i="5"/>
  <c r="G70" i="5"/>
  <c r="G22" i="5"/>
  <c r="G29" i="5"/>
  <c r="G146" i="5"/>
  <c r="G109" i="5"/>
  <c r="G173" i="5"/>
  <c r="G147" i="5"/>
  <c r="G209" i="5"/>
  <c r="G203" i="5"/>
  <c r="G162" i="5"/>
  <c r="G69" i="5"/>
  <c r="G186" i="5"/>
  <c r="G41" i="5"/>
  <c r="G24" i="5"/>
  <c r="G93" i="5"/>
  <c r="G25" i="5"/>
  <c r="G32" i="5"/>
  <c r="G163" i="5"/>
  <c r="G129" i="5"/>
  <c r="G23" i="5"/>
  <c r="K151" i="5"/>
  <c r="I151" i="5"/>
  <c r="G151" i="5"/>
  <c r="E151" i="5"/>
  <c r="E98" i="5"/>
  <c r="E71" i="5"/>
  <c r="E26" i="5"/>
  <c r="E35" i="5"/>
  <c r="E167" i="5"/>
  <c r="E164" i="5"/>
  <c r="E66" i="5"/>
  <c r="E65" i="5"/>
  <c r="E34" i="5"/>
  <c r="E163" i="5"/>
  <c r="E117" i="5"/>
  <c r="E29" i="5"/>
  <c r="E181" i="5"/>
  <c r="E148" i="5"/>
  <c r="E88" i="5"/>
  <c r="E20" i="5"/>
  <c r="E69" i="5"/>
  <c r="E178" i="5"/>
  <c r="E77" i="5"/>
  <c r="E94" i="5"/>
  <c r="E31" i="5"/>
  <c r="E179" i="5"/>
  <c r="E104" i="5"/>
  <c r="E87" i="5"/>
  <c r="E83" i="5"/>
  <c r="E41" i="5"/>
  <c r="E52" i="5"/>
  <c r="E143" i="5"/>
  <c r="E32" i="5"/>
  <c r="E173" i="5"/>
  <c r="E123" i="5"/>
  <c r="E209" i="5"/>
  <c r="E44" i="5"/>
  <c r="E79" i="5"/>
  <c r="E116" i="5"/>
  <c r="E43" i="5"/>
  <c r="E18" i="5"/>
  <c r="E166" i="5"/>
  <c r="E161" i="5"/>
  <c r="E194" i="5"/>
  <c r="E24" i="5"/>
  <c r="E144" i="5"/>
  <c r="E33" i="5"/>
  <c r="E165" i="5"/>
  <c r="E112" i="5"/>
  <c r="E67" i="5"/>
  <c r="E129" i="5"/>
  <c r="E22" i="5"/>
  <c r="E72" i="5"/>
  <c r="E128" i="5"/>
  <c r="E37" i="5"/>
  <c r="E110" i="5"/>
  <c r="E42" i="5"/>
  <c r="E203" i="5"/>
  <c r="E21" i="5"/>
  <c r="E142" i="5"/>
  <c r="E137" i="5"/>
  <c r="E172" i="5"/>
  <c r="E50" i="5"/>
  <c r="E25" i="5"/>
  <c r="E56" i="5"/>
  <c r="E30" i="5"/>
  <c r="E168" i="5"/>
  <c r="E198" i="5"/>
  <c r="E131" i="5"/>
  <c r="E205" i="5"/>
  <c r="E96" i="5"/>
  <c r="E61" i="5"/>
  <c r="E119" i="5"/>
  <c r="E210" i="5"/>
  <c r="E109" i="5"/>
  <c r="E185" i="5"/>
  <c r="E51" i="5"/>
  <c r="E190" i="5"/>
  <c r="E146" i="5"/>
  <c r="E89" i="5"/>
  <c r="E174" i="5"/>
  <c r="E49" i="5"/>
  <c r="E17" i="5"/>
  <c r="E141" i="5"/>
  <c r="E186" i="5"/>
  <c r="E28" i="5"/>
  <c r="E48" i="5"/>
  <c r="E23" i="5"/>
  <c r="E132" i="5"/>
  <c r="E93" i="5"/>
  <c r="E130" i="5"/>
  <c r="E19" i="5"/>
  <c r="E58" i="5"/>
  <c r="E59" i="5"/>
  <c r="E100" i="5"/>
  <c r="E68" i="5"/>
  <c r="E95" i="5"/>
  <c r="E70" i="5"/>
  <c r="E76" i="5"/>
  <c r="E157" i="5"/>
  <c r="E108" i="5"/>
  <c r="E57" i="5"/>
  <c r="E78" i="5"/>
  <c r="E27" i="5"/>
  <c r="E202" i="5"/>
  <c r="E145" i="5"/>
  <c r="E127" i="5"/>
  <c r="E147" i="5"/>
  <c r="E97" i="5"/>
  <c r="E118" i="5"/>
  <c r="E60" i="5"/>
  <c r="E136" i="5"/>
  <c r="E99" i="5"/>
  <c r="E162" i="5"/>
  <c r="C182" i="4"/>
  <c r="C205" i="4"/>
  <c r="G180" i="4"/>
  <c r="I180" i="4"/>
  <c r="E180" i="4"/>
  <c r="C200" i="4"/>
  <c r="C187" i="4"/>
  <c r="C53" i="4"/>
  <c r="C114" i="4"/>
  <c r="C134" i="4"/>
  <c r="C125" i="4"/>
  <c r="I157" i="4"/>
  <c r="G157" i="4"/>
  <c r="K157" i="4"/>
  <c r="C159" i="4"/>
  <c r="E157" i="4"/>
  <c r="C102" i="4"/>
  <c r="C139" i="4"/>
  <c r="K112" i="4"/>
  <c r="I112" i="4"/>
  <c r="G112" i="4"/>
  <c r="E112" i="4"/>
  <c r="C85" i="4"/>
  <c r="E8" i="13" l="1"/>
  <c r="E17" i="11"/>
  <c r="C81" i="4"/>
  <c r="C151" i="4"/>
  <c r="C153" i="4"/>
  <c r="B211" i="3"/>
  <c r="C58" i="3" s="1"/>
  <c r="F58" i="3" s="1"/>
  <c r="C91" i="4"/>
  <c r="I23" i="5"/>
  <c r="I167" i="5"/>
  <c r="C134" i="5"/>
  <c r="C121" i="5"/>
  <c r="I166" i="5"/>
  <c r="C207" i="5"/>
  <c r="C176" i="5"/>
  <c r="C159" i="5"/>
  <c r="I163" i="5"/>
  <c r="C153" i="5"/>
  <c r="I162" i="5"/>
  <c r="I165" i="5"/>
  <c r="C200" i="5"/>
  <c r="I209" i="5"/>
  <c r="C196" i="5"/>
  <c r="C183" i="5"/>
  <c r="C192" i="5"/>
  <c r="I168" i="5"/>
  <c r="C139" i="5"/>
  <c r="C125" i="5"/>
  <c r="I164" i="5"/>
  <c r="C188" i="5"/>
  <c r="I161" i="5"/>
  <c r="I185" i="5"/>
  <c r="I24" i="5"/>
  <c r="I21" i="5"/>
  <c r="I14" i="5"/>
  <c r="I34" i="5"/>
  <c r="I29" i="5"/>
  <c r="C25" i="4"/>
  <c r="E13" i="4"/>
  <c r="G13" i="4"/>
  <c r="K13" i="4"/>
  <c r="C121" i="4"/>
  <c r="C14" i="4"/>
  <c r="G15" i="15"/>
  <c r="G9" i="15" s="1"/>
  <c r="I157" i="5"/>
  <c r="I28" i="5"/>
  <c r="I18" i="5"/>
  <c r="I37" i="5"/>
  <c r="I35" i="5"/>
  <c r="I33" i="5"/>
  <c r="I205" i="5"/>
  <c r="I25" i="5"/>
  <c r="I17" i="5"/>
  <c r="I112" i="5"/>
  <c r="I27" i="5"/>
  <c r="I32" i="5"/>
  <c r="I30" i="5"/>
  <c r="I22" i="5"/>
  <c r="I181" i="5"/>
  <c r="I19" i="5"/>
  <c r="I31" i="5"/>
  <c r="I26" i="5"/>
  <c r="I207" i="5"/>
  <c r="I20" i="5"/>
  <c r="C76" i="4"/>
  <c r="K74" i="5"/>
  <c r="I74" i="5"/>
  <c r="G74" i="5"/>
  <c r="BE136" i="12"/>
  <c r="E62" i="4"/>
  <c r="G62" i="4"/>
  <c r="B36" i="4"/>
  <c r="K62" i="4"/>
  <c r="K63" i="5"/>
  <c r="I63" i="5"/>
  <c r="G63" i="5"/>
  <c r="B37" i="5"/>
  <c r="C71" i="4"/>
  <c r="K74" i="4"/>
  <c r="E74" i="4"/>
  <c r="G74" i="4"/>
  <c r="I74" i="4"/>
  <c r="G200" i="15"/>
  <c r="G198" i="15" s="1"/>
  <c r="G38" i="15" s="1"/>
  <c r="C198" i="15"/>
  <c r="C38" i="15" s="1"/>
  <c r="J9" i="15"/>
  <c r="H211" i="3"/>
  <c r="I211" i="3" s="1"/>
  <c r="K212" i="5"/>
  <c r="G212" i="5"/>
  <c r="E212" i="5"/>
  <c r="C180" i="4"/>
  <c r="C157" i="4"/>
  <c r="C112" i="4"/>
  <c r="C51" i="3" l="1"/>
  <c r="F51" i="3" s="1"/>
  <c r="E28" i="11"/>
  <c r="E33" i="11" s="1"/>
  <c r="E17" i="8"/>
  <c r="E28" i="8" s="1"/>
  <c r="C151" i="3"/>
  <c r="F151" i="3" s="1"/>
  <c r="C19" i="3"/>
  <c r="F19" i="3" s="1"/>
  <c r="C43" i="3"/>
  <c r="F43" i="3" s="1"/>
  <c r="C171" i="3"/>
  <c r="F171" i="3" s="1"/>
  <c r="C32" i="3"/>
  <c r="F32" i="3" s="1"/>
  <c r="C132" i="3"/>
  <c r="F132" i="3" s="1"/>
  <c r="C149" i="3"/>
  <c r="F149" i="3" s="1"/>
  <c r="C176" i="3"/>
  <c r="F176" i="3" s="1"/>
  <c r="C192" i="3"/>
  <c r="F192" i="3" s="1"/>
  <c r="C12" i="3"/>
  <c r="F12" i="3" s="1"/>
  <c r="C112" i="3"/>
  <c r="F112" i="3" s="1"/>
  <c r="C183" i="3"/>
  <c r="F183" i="3" s="1"/>
  <c r="C82" i="3"/>
  <c r="F82" i="3" s="1"/>
  <c r="C198" i="3"/>
  <c r="F198" i="3" s="1"/>
  <c r="C148" i="3"/>
  <c r="F148" i="3" s="1"/>
  <c r="C204" i="3"/>
  <c r="F204" i="3" s="1"/>
  <c r="C167" i="3"/>
  <c r="F167" i="3" s="1"/>
  <c r="C87" i="3"/>
  <c r="F87" i="3" s="1"/>
  <c r="C137" i="3"/>
  <c r="F137" i="3" s="1"/>
  <c r="C116" i="3"/>
  <c r="F116" i="3" s="1"/>
  <c r="C95" i="3"/>
  <c r="F95" i="3" s="1"/>
  <c r="C99" i="3"/>
  <c r="F99" i="3" s="1"/>
  <c r="C106" i="3"/>
  <c r="F106" i="3" s="1"/>
  <c r="C21" i="3"/>
  <c r="F21" i="3" s="1"/>
  <c r="C77" i="3"/>
  <c r="F77" i="3" s="1"/>
  <c r="C41" i="3"/>
  <c r="F41" i="3" s="1"/>
  <c r="C131" i="3"/>
  <c r="F131" i="3" s="1"/>
  <c r="C67" i="3"/>
  <c r="F67" i="3" s="1"/>
  <c r="C101" i="3"/>
  <c r="F101" i="3" s="1"/>
  <c r="C38" i="3"/>
  <c r="F38" i="3" s="1"/>
  <c r="C139" i="3"/>
  <c r="F139" i="3" s="1"/>
  <c r="C114" i="3"/>
  <c r="F114" i="3" s="1"/>
  <c r="C164" i="3"/>
  <c r="F164" i="3" s="1"/>
  <c r="C119" i="3"/>
  <c r="F119" i="3" s="1"/>
  <c r="C165" i="3"/>
  <c r="F165" i="3" s="1"/>
  <c r="C48" i="3"/>
  <c r="F48" i="3" s="1"/>
  <c r="C30" i="3"/>
  <c r="F30" i="3" s="1"/>
  <c r="C108" i="3"/>
  <c r="F108" i="3" s="1"/>
  <c r="C26" i="3"/>
  <c r="F26" i="3" s="1"/>
  <c r="C153" i="3"/>
  <c r="F153" i="3" s="1"/>
  <c r="C187" i="3"/>
  <c r="F187" i="3" s="1"/>
  <c r="C49" i="3"/>
  <c r="F49" i="3" s="1"/>
  <c r="C203" i="3"/>
  <c r="F203" i="3" s="1"/>
  <c r="C144" i="3"/>
  <c r="F144" i="3" s="1"/>
  <c r="C53" i="3"/>
  <c r="F53" i="3" s="1"/>
  <c r="C50" i="3"/>
  <c r="F50" i="3" s="1"/>
  <c r="C64" i="3"/>
  <c r="F64" i="3" s="1"/>
  <c r="C173" i="3"/>
  <c r="F173" i="3" s="1"/>
  <c r="C208" i="3"/>
  <c r="F208" i="3" s="1"/>
  <c r="C168" i="3"/>
  <c r="F168" i="3" s="1"/>
  <c r="C13" i="3"/>
  <c r="C143" i="3"/>
  <c r="F143" i="3" s="1"/>
  <c r="C104" i="3"/>
  <c r="F104" i="3" s="1"/>
  <c r="C25" i="3"/>
  <c r="F25" i="3" s="1"/>
  <c r="C62" i="3"/>
  <c r="F62" i="3" s="1"/>
  <c r="C57" i="3"/>
  <c r="F57" i="3" s="1"/>
  <c r="C59" i="3"/>
  <c r="F59" i="3" s="1"/>
  <c r="C110" i="3"/>
  <c r="F110" i="3" s="1"/>
  <c r="C18" i="3"/>
  <c r="F18" i="3" s="1"/>
  <c r="C98" i="3"/>
  <c r="F98" i="3" s="1"/>
  <c r="C185" i="3"/>
  <c r="F185" i="3" s="1"/>
  <c r="C118" i="3"/>
  <c r="F118" i="3" s="1"/>
  <c r="C127" i="3"/>
  <c r="F127" i="3" s="1"/>
  <c r="C86" i="3"/>
  <c r="F86" i="3" s="1"/>
  <c r="C141" i="3"/>
  <c r="F141" i="3" s="1"/>
  <c r="C136" i="3"/>
  <c r="F136" i="3" s="1"/>
  <c r="C191" i="3"/>
  <c r="F191" i="3" s="1"/>
  <c r="C36" i="3"/>
  <c r="F36" i="3" s="1"/>
  <c r="C56" i="3"/>
  <c r="F56" i="3" s="1"/>
  <c r="C161" i="3"/>
  <c r="F161" i="3" s="1"/>
  <c r="C117" i="3"/>
  <c r="F117" i="3" s="1"/>
  <c r="C71" i="3"/>
  <c r="F71" i="3" s="1"/>
  <c r="C145" i="3"/>
  <c r="F145" i="3" s="1"/>
  <c r="C60" i="3"/>
  <c r="F60" i="3" s="1"/>
  <c r="C65" i="3"/>
  <c r="F65" i="3" s="1"/>
  <c r="C146" i="3"/>
  <c r="F146" i="3" s="1"/>
  <c r="C179" i="3"/>
  <c r="F179" i="3" s="1"/>
  <c r="C55" i="3"/>
  <c r="F55" i="3" s="1"/>
  <c r="C17" i="3"/>
  <c r="F17" i="3" s="1"/>
  <c r="C97" i="3"/>
  <c r="F97" i="3" s="1"/>
  <c r="C42" i="3"/>
  <c r="F42" i="3" s="1"/>
  <c r="C78" i="3"/>
  <c r="F78" i="3" s="1"/>
  <c r="C157" i="3"/>
  <c r="F157" i="3" s="1"/>
  <c r="C31" i="3"/>
  <c r="F31" i="3" s="1"/>
  <c r="C194" i="3"/>
  <c r="F194" i="3" s="1"/>
  <c r="C206" i="3"/>
  <c r="F206" i="3" s="1"/>
  <c r="C147" i="3"/>
  <c r="F147" i="3" s="1"/>
  <c r="C201" i="3"/>
  <c r="F201" i="3" s="1"/>
  <c r="C178" i="3"/>
  <c r="F178" i="3" s="1"/>
  <c r="C189" i="3"/>
  <c r="F189" i="3" s="1"/>
  <c r="C73" i="3"/>
  <c r="F73" i="3" s="1"/>
  <c r="C169" i="3"/>
  <c r="F169" i="3" s="1"/>
  <c r="C92" i="3"/>
  <c r="F92" i="3" s="1"/>
  <c r="C186" i="3"/>
  <c r="F186" i="3" s="1"/>
  <c r="C27" i="3"/>
  <c r="F27" i="3" s="1"/>
  <c r="C75" i="3"/>
  <c r="F75" i="3" s="1"/>
  <c r="C197" i="3"/>
  <c r="F197" i="3" s="1"/>
  <c r="C70" i="3"/>
  <c r="F70" i="3" s="1"/>
  <c r="C80" i="3"/>
  <c r="F80" i="3" s="1"/>
  <c r="C20" i="3"/>
  <c r="F20" i="3" s="1"/>
  <c r="C125" i="3"/>
  <c r="F125" i="3" s="1"/>
  <c r="C40" i="3"/>
  <c r="F40" i="3" s="1"/>
  <c r="C16" i="3"/>
  <c r="F16" i="3" s="1"/>
  <c r="C196" i="3"/>
  <c r="F196" i="3" s="1"/>
  <c r="C121" i="3"/>
  <c r="F121" i="3" s="1"/>
  <c r="C199" i="3"/>
  <c r="F199" i="3" s="1"/>
  <c r="C90" i="3"/>
  <c r="F90" i="3" s="1"/>
  <c r="C29" i="3"/>
  <c r="F29" i="3" s="1"/>
  <c r="C209" i="3"/>
  <c r="F209" i="3" s="1"/>
  <c r="C76" i="3"/>
  <c r="F76" i="3" s="1"/>
  <c r="C163" i="3"/>
  <c r="F163" i="3" s="1"/>
  <c r="C129" i="3"/>
  <c r="F129" i="3" s="1"/>
  <c r="C68" i="3"/>
  <c r="F68" i="3" s="1"/>
  <c r="C33" i="3"/>
  <c r="F33" i="3" s="1"/>
  <c r="C128" i="3"/>
  <c r="F128" i="3" s="1"/>
  <c r="C174" i="3"/>
  <c r="F174" i="3" s="1"/>
  <c r="C28" i="3"/>
  <c r="F28" i="3" s="1"/>
  <c r="C88" i="3"/>
  <c r="F88" i="3" s="1"/>
  <c r="C45" i="3"/>
  <c r="F45" i="3" s="1"/>
  <c r="C66" i="3"/>
  <c r="F66" i="3" s="1"/>
  <c r="C155" i="3"/>
  <c r="F155" i="3" s="1"/>
  <c r="C15" i="3"/>
  <c r="F15" i="3" s="1"/>
  <c r="C22" i="3"/>
  <c r="F22" i="3" s="1"/>
  <c r="C134" i="3"/>
  <c r="F134" i="3" s="1"/>
  <c r="C109" i="3"/>
  <c r="F109" i="3" s="1"/>
  <c r="C96" i="3"/>
  <c r="F96" i="3" s="1"/>
  <c r="C24" i="3"/>
  <c r="F24" i="3" s="1"/>
  <c r="C47" i="3"/>
  <c r="F47" i="3" s="1"/>
  <c r="C123" i="3"/>
  <c r="F123" i="3" s="1"/>
  <c r="C130" i="3"/>
  <c r="F130" i="3" s="1"/>
  <c r="C162" i="3"/>
  <c r="F162" i="3" s="1"/>
  <c r="C84" i="3"/>
  <c r="F84" i="3" s="1"/>
  <c r="C93" i="3"/>
  <c r="F93" i="3" s="1"/>
  <c r="C94" i="3"/>
  <c r="F94" i="3" s="1"/>
  <c r="C166" i="3"/>
  <c r="F166" i="3" s="1"/>
  <c r="C142" i="3"/>
  <c r="F142" i="3" s="1"/>
  <c r="C23" i="3"/>
  <c r="F23" i="3" s="1"/>
  <c r="C159" i="3"/>
  <c r="F159" i="3" s="1"/>
  <c r="C69" i="3"/>
  <c r="F69" i="3" s="1"/>
  <c r="C181" i="3"/>
  <c r="F181" i="3" s="1"/>
  <c r="C103" i="3"/>
  <c r="F103" i="3" s="1"/>
  <c r="N9" i="15"/>
  <c r="C13" i="4"/>
  <c r="I212" i="5"/>
  <c r="BE140" i="12"/>
  <c r="BE143" i="12" s="1"/>
  <c r="I36" i="4"/>
  <c r="B212" i="4"/>
  <c r="G36" i="4"/>
  <c r="K36" i="4"/>
  <c r="E36" i="4"/>
  <c r="C74" i="5"/>
  <c r="C54" i="5"/>
  <c r="E81" i="5"/>
  <c r="C91" i="5"/>
  <c r="C106" i="5"/>
  <c r="C102" i="5"/>
  <c r="C39" i="5"/>
  <c r="C63" i="5"/>
  <c r="E74" i="5"/>
  <c r="C46" i="5"/>
  <c r="B212" i="5"/>
  <c r="C85" i="5"/>
  <c r="C81" i="5"/>
  <c r="E63" i="5"/>
  <c r="C62" i="4"/>
  <c r="BG136" i="12"/>
  <c r="C74" i="4"/>
  <c r="C211" i="3" l="1"/>
  <c r="F211" i="3" s="1"/>
  <c r="BG140" i="12"/>
  <c r="C36" i="4"/>
  <c r="C37" i="5"/>
  <c r="C51" i="5"/>
  <c r="C24" i="5"/>
  <c r="C50" i="5"/>
  <c r="C148" i="5"/>
  <c r="C185" i="5"/>
  <c r="C117" i="5"/>
  <c r="C65" i="5"/>
  <c r="C52" i="5"/>
  <c r="C98" i="5"/>
  <c r="C83" i="5"/>
  <c r="C48" i="5"/>
  <c r="C118" i="5"/>
  <c r="C162" i="5"/>
  <c r="C163" i="5"/>
  <c r="C34" i="5"/>
  <c r="C19" i="5"/>
  <c r="C168" i="5"/>
  <c r="C129" i="5"/>
  <c r="C130" i="5"/>
  <c r="C42" i="5"/>
  <c r="C97" i="5"/>
  <c r="C198" i="5"/>
  <c r="C78" i="5"/>
  <c r="C173" i="5"/>
  <c r="C35" i="5"/>
  <c r="C72" i="5"/>
  <c r="C17" i="5"/>
  <c r="C44" i="5"/>
  <c r="C178" i="5"/>
  <c r="C143" i="5"/>
  <c r="C127" i="5"/>
  <c r="C23" i="5"/>
  <c r="C76" i="5"/>
  <c r="C28" i="5"/>
  <c r="C166" i="5"/>
  <c r="C93" i="5"/>
  <c r="C94" i="5"/>
  <c r="C21" i="5"/>
  <c r="C69" i="5"/>
  <c r="C147" i="5"/>
  <c r="C88" i="5"/>
  <c r="C119" i="5"/>
  <c r="C70" i="5"/>
  <c r="C59" i="5"/>
  <c r="C67" i="5"/>
  <c r="C77" i="5"/>
  <c r="C68" i="5"/>
  <c r="C137" i="5"/>
  <c r="C31" i="5"/>
  <c r="C41" i="5"/>
  <c r="C20" i="5"/>
  <c r="C179" i="5"/>
  <c r="C186" i="5"/>
  <c r="C142" i="5"/>
  <c r="C165" i="5"/>
  <c r="C190" i="5"/>
  <c r="C205" i="5"/>
  <c r="C112" i="5"/>
  <c r="C161" i="5"/>
  <c r="C181" i="5"/>
  <c r="C57" i="5"/>
  <c r="C157" i="5"/>
  <c r="C26" i="5"/>
  <c r="C32" i="5"/>
  <c r="C22" i="5"/>
  <c r="C27" i="5"/>
  <c r="C100" i="5"/>
  <c r="C167" i="5"/>
  <c r="C71" i="5"/>
  <c r="C87" i="5"/>
  <c r="C56" i="5"/>
  <c r="C96" i="5"/>
  <c r="C151" i="5"/>
  <c r="C89" i="5"/>
  <c r="C132" i="5"/>
  <c r="C110" i="5"/>
  <c r="C202" i="5"/>
  <c r="C210" i="5"/>
  <c r="C209" i="5"/>
  <c r="C136" i="5"/>
  <c r="C141" i="5"/>
  <c r="C49" i="5"/>
  <c r="C116" i="5"/>
  <c r="C58" i="5"/>
  <c r="C30" i="5"/>
  <c r="C33" i="5"/>
  <c r="C146" i="5"/>
  <c r="C164" i="5"/>
  <c r="C60" i="5"/>
  <c r="C29" i="5"/>
  <c r="C99" i="5"/>
  <c r="C123" i="5"/>
  <c r="C109" i="5"/>
  <c r="C43" i="5"/>
  <c r="C18" i="5"/>
  <c r="C108" i="5"/>
  <c r="C194" i="5"/>
  <c r="C172" i="5"/>
  <c r="C14" i="5"/>
  <c r="C145" i="5"/>
  <c r="C61" i="5"/>
  <c r="C203" i="5"/>
  <c r="C25" i="5"/>
  <c r="C95" i="5"/>
  <c r="C79" i="5"/>
  <c r="C144" i="5"/>
  <c r="C131" i="5"/>
  <c r="C66" i="5"/>
  <c r="C174" i="5"/>
  <c r="C128" i="5"/>
  <c r="C104" i="5"/>
  <c r="G212" i="4"/>
  <c r="I212" i="4"/>
  <c r="E212" i="4"/>
  <c r="K212" i="4"/>
  <c r="C212" i="5" l="1"/>
  <c r="C15" i="5"/>
  <c r="C212" i="4"/>
</calcChain>
</file>

<file path=xl/sharedStrings.xml><?xml version="1.0" encoding="utf-8"?>
<sst xmlns="http://schemas.openxmlformats.org/spreadsheetml/2006/main" count="18498" uniqueCount="1753">
  <si>
    <t>INSTITUTO NACIONAL DE ESTADISTICA Y CENSOS</t>
  </si>
  <si>
    <t>INGRESOS</t>
  </si>
  <si>
    <t>Ingresos Corrientes</t>
  </si>
  <si>
    <t>Total de Ingresos</t>
  </si>
  <si>
    <t>SERIE HISTORICA DE INGRESOS EFECTIVOS</t>
  </si>
  <si>
    <t>%</t>
  </si>
  <si>
    <t>Presupuesto</t>
  </si>
  <si>
    <t>(a)</t>
  </si>
  <si>
    <t>(a-b)</t>
  </si>
  <si>
    <t>(b)</t>
  </si>
  <si>
    <t xml:space="preserve">% </t>
  </si>
  <si>
    <t>Variación</t>
  </si>
  <si>
    <t>(b-c)</t>
  </si>
  <si>
    <t>CUADRO COMPARATIVO DE INGRESOS</t>
  </si>
  <si>
    <t>Decimotercer mes</t>
  </si>
  <si>
    <t>EGRESOS</t>
  </si>
  <si>
    <t>para cada programa (análisis horizontal)</t>
  </si>
  <si>
    <t>Dietas</t>
  </si>
  <si>
    <t>Salario Escolar</t>
  </si>
  <si>
    <t>Instituto Nacional de Aprendizaje</t>
  </si>
  <si>
    <t>TRANSFERENCIAS CORRIENTES</t>
  </si>
  <si>
    <t>TOTAL GENERAL</t>
  </si>
  <si>
    <t>MATERIALES Y SUMINISTROS</t>
  </si>
  <si>
    <t>SERVICIOS PERSONALES</t>
  </si>
  <si>
    <t>Ingresos de Capital</t>
  </si>
  <si>
    <t>Ingresos Reales</t>
  </si>
  <si>
    <t>( c )</t>
  </si>
  <si>
    <t>Programa  01</t>
  </si>
  <si>
    <t>Programa 02</t>
  </si>
  <si>
    <t>Programa 03</t>
  </si>
  <si>
    <t>Salarios por Servicios Especiales</t>
  </si>
  <si>
    <t>TOTAL</t>
  </si>
  <si>
    <t>Distribución del Presupuesto por Objeto del Gasto</t>
  </si>
  <si>
    <t>Programa 01</t>
  </si>
  <si>
    <t>Partidas/Subpartidas</t>
  </si>
  <si>
    <t>Tiempo Extraordinario</t>
  </si>
  <si>
    <t>Prestaciones Legales</t>
  </si>
  <si>
    <t>Salarios por Cargos Fijos</t>
  </si>
  <si>
    <t>Egresos Reales</t>
  </si>
  <si>
    <t>Evolución del Gasto</t>
  </si>
  <si>
    <t>(en colones)</t>
  </si>
  <si>
    <t>INSTITUTO NACIONAL DE ESTADISTICAS Y CENSOS</t>
  </si>
  <si>
    <t>Resumen de los Egresos</t>
  </si>
  <si>
    <t>PARTIDA</t>
  </si>
  <si>
    <t xml:space="preserve">MONTO </t>
  </si>
  <si>
    <t xml:space="preserve">(artículo 3 del reglamento sobre el Refrendo de </t>
  </si>
  <si>
    <t>las Contrataciones de la Administración Pública)</t>
  </si>
  <si>
    <t>DESCRIPCION</t>
  </si>
  <si>
    <t>Ingresos</t>
  </si>
  <si>
    <t>Transferencias de Capital</t>
  </si>
  <si>
    <t>MONTO</t>
  </si>
  <si>
    <t>Detalle</t>
  </si>
  <si>
    <t>Ingresos por concepto de intereses sobre saldos en cuenta corriente e inversiones transitorias, así como la venta de servicios.</t>
  </si>
  <si>
    <t>REMUNERACIONES</t>
  </si>
  <si>
    <t>SERVICIOS</t>
  </si>
  <si>
    <t xml:space="preserve">Instituto Mixto de Ayuda Social </t>
  </si>
  <si>
    <t>CARGAS SOCIALES</t>
  </si>
  <si>
    <t>BIENES DURADEROS</t>
  </si>
  <si>
    <t>CUENTAS ESPECIALES</t>
  </si>
  <si>
    <t>Transferencias a Organos Desconcentrados</t>
  </si>
  <si>
    <t>Sumas Libres sin Asignación Presupuestaria</t>
  </si>
  <si>
    <t xml:space="preserve">SERVICIOS </t>
  </si>
  <si>
    <t>Superávit Libre</t>
  </si>
  <si>
    <t>Superávit Específico</t>
  </si>
  <si>
    <t>Sumas con destino específico sin asign. Pres.</t>
  </si>
  <si>
    <t>Aporte del Instituto del Café (ICAFE) para la elaboración del Censo Cafetalero.</t>
  </si>
  <si>
    <t>PROGRAMA 01</t>
  </si>
  <si>
    <t>PROGRAMA 02</t>
  </si>
  <si>
    <t>PROGRAMA 03</t>
  </si>
  <si>
    <t>SUBP.</t>
  </si>
  <si>
    <t>0</t>
  </si>
  <si>
    <t>REMUNERACIONES BASICAS</t>
  </si>
  <si>
    <t>0.01.01</t>
  </si>
  <si>
    <t>0.01.03</t>
  </si>
  <si>
    <t>0.02</t>
  </si>
  <si>
    <t>REMUNERACIONES EVENTUALES</t>
  </si>
  <si>
    <t>0.02.01</t>
  </si>
  <si>
    <t>0.02.05</t>
  </si>
  <si>
    <t>0.03</t>
  </si>
  <si>
    <t>INCENTIVOS SALARIALES</t>
  </si>
  <si>
    <t>0.03.01</t>
  </si>
  <si>
    <t>Aumentos Anuales</t>
  </si>
  <si>
    <t>0.03.02</t>
  </si>
  <si>
    <t>Dedicación Exclusiva / Prohibición</t>
  </si>
  <si>
    <t>0.03.03</t>
  </si>
  <si>
    <t>Salario Adicional</t>
  </si>
  <si>
    <t>0.03.04</t>
  </si>
  <si>
    <t>0.03.99</t>
  </si>
  <si>
    <t>Otros Incentivos Salariales</t>
  </si>
  <si>
    <t>0.04</t>
  </si>
  <si>
    <t>0.04.01</t>
  </si>
  <si>
    <t>Contribución Patronal C.C.S.S.</t>
  </si>
  <si>
    <t>0.04.02</t>
  </si>
  <si>
    <t>0.04.03</t>
  </si>
  <si>
    <t>0.04.04</t>
  </si>
  <si>
    <t>Contribución a FODESAF</t>
  </si>
  <si>
    <t>0.04.05</t>
  </si>
  <si>
    <t>Contribución Patronal Banco Popular</t>
  </si>
  <si>
    <t>0.05</t>
  </si>
  <si>
    <t>CONT. PATR. A FONDOS DE PENS. Y CAPITALIZACION</t>
  </si>
  <si>
    <t>0.05.02</t>
  </si>
  <si>
    <t>0.05.03</t>
  </si>
  <si>
    <t>Aporte Patronal al Fondo de Capitalización Laboral (FCL)</t>
  </si>
  <si>
    <t>1</t>
  </si>
  <si>
    <t>1.01</t>
  </si>
  <si>
    <t>ALQUILERES</t>
  </si>
  <si>
    <t>1.01.01</t>
  </si>
  <si>
    <t>Alquiler de Edificios y Terrenos</t>
  </si>
  <si>
    <t>1.01.02</t>
  </si>
  <si>
    <t>Alquiler de Maquinaria, Equipo y Mobiliario</t>
  </si>
  <si>
    <t>1.01.03</t>
  </si>
  <si>
    <t>Alquiler de Equipo de Cómputo</t>
  </si>
  <si>
    <t>1.01.99</t>
  </si>
  <si>
    <t>Otros Alquileres</t>
  </si>
  <si>
    <t>1.02</t>
  </si>
  <si>
    <t>SERVICIOS BASICOS</t>
  </si>
  <si>
    <t>1.02.01</t>
  </si>
  <si>
    <t>Servicio de Agua y Alcantarillado</t>
  </si>
  <si>
    <t>1.02.02</t>
  </si>
  <si>
    <t>Servicio de Energía Eléctrica</t>
  </si>
  <si>
    <t>1.02.03</t>
  </si>
  <si>
    <t>Servicio de Correo</t>
  </si>
  <si>
    <t>Telecomunicaciones</t>
  </si>
  <si>
    <t>1.02.99</t>
  </si>
  <si>
    <t>Otros Servicios Básicos</t>
  </si>
  <si>
    <t>1.03</t>
  </si>
  <si>
    <t>SERVICIOS COMERCIALES Y FINANCIEROS</t>
  </si>
  <si>
    <t>1.03.01</t>
  </si>
  <si>
    <t>Servicio de Información</t>
  </si>
  <si>
    <t>1.03.02</t>
  </si>
  <si>
    <t>Servicio de Publicidad y Propaganda</t>
  </si>
  <si>
    <t>1.03.03</t>
  </si>
  <si>
    <t>Servicio de Impresión, Encuadernación y Otros</t>
  </si>
  <si>
    <t>1.03.04</t>
  </si>
  <si>
    <t>Servicio de Transporte de Bienes</t>
  </si>
  <si>
    <t>1.03.05</t>
  </si>
  <si>
    <t>Servicios Aduaneros</t>
  </si>
  <si>
    <t>1.03.06</t>
  </si>
  <si>
    <t>Comisiones y otros Gastos por Servicios Financieros</t>
  </si>
  <si>
    <t>1.04</t>
  </si>
  <si>
    <t>SERVICIOS DE GESTION Y APOYO</t>
  </si>
  <si>
    <t>1.04.04</t>
  </si>
  <si>
    <t>Servicios en Ciencias Económicas y Sociales</t>
  </si>
  <si>
    <t>1.04.05</t>
  </si>
  <si>
    <t>Servicios de Desarrollo de Sistemas Informáticos</t>
  </si>
  <si>
    <t>1.04.06</t>
  </si>
  <si>
    <t>Servicios Generales</t>
  </si>
  <si>
    <t>1.04.99</t>
  </si>
  <si>
    <t>Otros Servicios de Gestión y Apoyo</t>
  </si>
  <si>
    <t>1.05</t>
  </si>
  <si>
    <t>GASTOS DE VIAJE Y DE TRANSPORTE</t>
  </si>
  <si>
    <t>1.05.01</t>
  </si>
  <si>
    <t>Transporte dentro del País</t>
  </si>
  <si>
    <t>1.05.02</t>
  </si>
  <si>
    <t>Gastos de Viaje dentro del País</t>
  </si>
  <si>
    <t>1.05.03</t>
  </si>
  <si>
    <t>Transporte al Exterior</t>
  </si>
  <si>
    <t>1.05.04</t>
  </si>
  <si>
    <t>Gastos de Viaje al Exterior</t>
  </si>
  <si>
    <t>1.06</t>
  </si>
  <si>
    <t>1.06.01</t>
  </si>
  <si>
    <t xml:space="preserve">Seguros </t>
  </si>
  <si>
    <t>1.07</t>
  </si>
  <si>
    <t>CAPACITACION Y PROTOCOLO</t>
  </si>
  <si>
    <t>1.07.01</t>
  </si>
  <si>
    <t>Actividades de Capacitación</t>
  </si>
  <si>
    <t>1.07.02</t>
  </si>
  <si>
    <t>Actividades Protocolarias y Sociales</t>
  </si>
  <si>
    <t>1.07.03</t>
  </si>
  <si>
    <t>Gastos de Representación Institucional</t>
  </si>
  <si>
    <t>1.08</t>
  </si>
  <si>
    <t>MANTENIMIENTO Y REPARACION</t>
  </si>
  <si>
    <t>1.08.01</t>
  </si>
  <si>
    <t>Mant. y Rep. de Edificios y Locales</t>
  </si>
  <si>
    <t>1.08.03</t>
  </si>
  <si>
    <t>Mant. y Rep. de Instalaciones y otras Obras</t>
  </si>
  <si>
    <t>1.08.05</t>
  </si>
  <si>
    <t>Mant. y Rep. de Equipo de Transporte</t>
  </si>
  <si>
    <t>1.08.06</t>
  </si>
  <si>
    <t>Mant. y Rep. de Equipo de Comunicación</t>
  </si>
  <si>
    <t>1.08.07</t>
  </si>
  <si>
    <t>Mant. y Rep. de Mobiliario y  Equipo</t>
  </si>
  <si>
    <t>1.08.08</t>
  </si>
  <si>
    <t>1.08.99</t>
  </si>
  <si>
    <t>Mant. y Rep. de Otros Equipos</t>
  </si>
  <si>
    <t>1.99</t>
  </si>
  <si>
    <t>SERVICIOS DIVERSOS</t>
  </si>
  <si>
    <t>1.99.05</t>
  </si>
  <si>
    <t>Deducibles</t>
  </si>
  <si>
    <t>1.99.99</t>
  </si>
  <si>
    <t>Otros Servicios No Especificados</t>
  </si>
  <si>
    <t>2.01</t>
  </si>
  <si>
    <t>PRODUCTOS QUIMICOS Y CONEXOS</t>
  </si>
  <si>
    <t>2.01.01</t>
  </si>
  <si>
    <t>Combustibles y Lubricantes</t>
  </si>
  <si>
    <t>2.01.02</t>
  </si>
  <si>
    <t>Productos Farmacéuticos y Medicinales</t>
  </si>
  <si>
    <t>2.01.04</t>
  </si>
  <si>
    <t>Tintas, Pinturas y Diluyentes</t>
  </si>
  <si>
    <t>2.01.99</t>
  </si>
  <si>
    <t>Otros Productos Químicos</t>
  </si>
  <si>
    <t>2.03</t>
  </si>
  <si>
    <t>2.03.01</t>
  </si>
  <si>
    <t>Materiales y Productos Metálicos</t>
  </si>
  <si>
    <t>2.03.03</t>
  </si>
  <si>
    <t>Madera y sus derivados</t>
  </si>
  <si>
    <t>2.03.04</t>
  </si>
  <si>
    <t>Materiales y Productos Eléctricos, Telefónicos y de Cómputo</t>
  </si>
  <si>
    <t>2.03.05</t>
  </si>
  <si>
    <t>Materiales y Productos de Vidrio</t>
  </si>
  <si>
    <t>2.03.06</t>
  </si>
  <si>
    <t>Materiales y Productos de Plástico</t>
  </si>
  <si>
    <t>2.03.99</t>
  </si>
  <si>
    <t>Otros Materiales de Uso en la Construcción</t>
  </si>
  <si>
    <t>2.04</t>
  </si>
  <si>
    <t>HERRAMIENTAS, REPUESTOS Y ACCESORIOS</t>
  </si>
  <si>
    <t>2.04.01</t>
  </si>
  <si>
    <t>Herramientas e Instrumentos</t>
  </si>
  <si>
    <t>2.04.02</t>
  </si>
  <si>
    <t>Repuestos y Accesorios</t>
  </si>
  <si>
    <t>2.99</t>
  </si>
  <si>
    <t>2.99.01</t>
  </si>
  <si>
    <t>Utiles y Materiales de Oficina y Cómputo</t>
  </si>
  <si>
    <t>2.99.02</t>
  </si>
  <si>
    <t>2.99.03</t>
  </si>
  <si>
    <t>Productos de Papel, Cartón e Impresos</t>
  </si>
  <si>
    <t>2.99.04</t>
  </si>
  <si>
    <t>Textiles y Vestuarios</t>
  </si>
  <si>
    <t>2.99.05</t>
  </si>
  <si>
    <t>Utiles y Materiales de Limpieza</t>
  </si>
  <si>
    <t>2.99.06</t>
  </si>
  <si>
    <t>Utiles y Materiales de Resguardo y Seguridad</t>
  </si>
  <si>
    <t>2.99.99</t>
  </si>
  <si>
    <t>Otros Utiles, Materiales y Suministros</t>
  </si>
  <si>
    <t>5.01</t>
  </si>
  <si>
    <t>MAQUINARIA, EQUIPO Y MOBILIARIO</t>
  </si>
  <si>
    <t>5.01.02</t>
  </si>
  <si>
    <t>Equipo de Transporte</t>
  </si>
  <si>
    <t>5.01.03</t>
  </si>
  <si>
    <t>Equipo de Comunicación</t>
  </si>
  <si>
    <t>5.01.04</t>
  </si>
  <si>
    <t>Equipo y Mobiliario de Oficina</t>
  </si>
  <si>
    <t>5.01.05</t>
  </si>
  <si>
    <t>Equipo y Programas de Cómputo</t>
  </si>
  <si>
    <t>5.01.06</t>
  </si>
  <si>
    <t>Equipo Sanitario, de Laboratorio e Investigación</t>
  </si>
  <si>
    <t>5.01.07</t>
  </si>
  <si>
    <t>Equipo y Mobiliario Educacional, Deportivo y  Recreativo</t>
  </si>
  <si>
    <t>5.01.99</t>
  </si>
  <si>
    <t>Maquinaria y Equipo Diverso</t>
  </si>
  <si>
    <t>5.02</t>
  </si>
  <si>
    <t>CONSTRUCCIONES, ADICIONES Y MEJORAS</t>
  </si>
  <si>
    <t>5.02.01</t>
  </si>
  <si>
    <t>Edificios</t>
  </si>
  <si>
    <t>5.02.07</t>
  </si>
  <si>
    <t>Instalaciones</t>
  </si>
  <si>
    <t>5.02.99</t>
  </si>
  <si>
    <t>Otras Construcciones, Adiciones y Mejoras</t>
  </si>
  <si>
    <t>5.99</t>
  </si>
  <si>
    <t>5.99.99</t>
  </si>
  <si>
    <t>Otros Bienes Duraderos</t>
  </si>
  <si>
    <t xml:space="preserve">TRANSFERENCIAS CORRIENTES </t>
  </si>
  <si>
    <t>6.01</t>
  </si>
  <si>
    <t>6.01.02</t>
  </si>
  <si>
    <t>6.03</t>
  </si>
  <si>
    <t>PRESTACIONES LEGALES</t>
  </si>
  <si>
    <t>6.07</t>
  </si>
  <si>
    <t>6.07.01</t>
  </si>
  <si>
    <t>9.02</t>
  </si>
  <si>
    <t>SUMAS SIN ASIGNACION PRESUPUESTARIA</t>
  </si>
  <si>
    <t>9.02.01</t>
  </si>
  <si>
    <t>9.02.02</t>
  </si>
  <si>
    <t>Financiamiento</t>
  </si>
  <si>
    <t>CONTRIB. PATR. AL DESARROLLO Y SEG. SOCIAL</t>
  </si>
  <si>
    <t>Aporte Patronal al Regimen de Pensiones Complementarias (RPC)</t>
  </si>
  <si>
    <t>SEGUROS, REASEGUROS Y OTRAS OBLIGACIONES</t>
  </si>
  <si>
    <t>Mant. y Rep. de Mobiliario y  Equipo y Sistemas de Información</t>
  </si>
  <si>
    <t>MATERIALES PARA CONSTRUCCION Y MANTENIMIENTO</t>
  </si>
  <si>
    <t>UTILES, MATERIALES Y SUMINISTROS DIVERSOS</t>
  </si>
  <si>
    <t>Utiles y Materiales Médico, Hospitalario y de Investigación</t>
  </si>
  <si>
    <t>TRANSFERENCIAS CORRIENTES AL SECTOR PUBLICO</t>
  </si>
  <si>
    <t>TRANSFERENCIAS CORRIENTES AL SECTOR EXTERNO</t>
  </si>
  <si>
    <t>Transferencias Corrientes a Organismos Internacionales</t>
  </si>
  <si>
    <t>Sumas con Destino Específico sin Asignación Presupuestaria</t>
  </si>
  <si>
    <t>CLASIFICACION DE GASTOS POR PROGRAMAS</t>
  </si>
  <si>
    <t>UNIDAD DE FINANZAS</t>
  </si>
  <si>
    <t>CLASIFICACION DE INGRESOS</t>
  </si>
  <si>
    <t>INGRESOS TOTALES</t>
  </si>
  <si>
    <t>1.0.0.0.00.00.0.0.000</t>
  </si>
  <si>
    <t>INGRESOS CORRIENTES</t>
  </si>
  <si>
    <t>1.3.0.0.00.00.0.0.000</t>
  </si>
  <si>
    <t xml:space="preserve">   INGRESOS NO TRIBUTARIOS</t>
  </si>
  <si>
    <t>1.3.1.0.00.00.0.0.000</t>
  </si>
  <si>
    <t xml:space="preserve">      Venta de bienes y servicios</t>
  </si>
  <si>
    <t xml:space="preserve"> 1.3.1.2.09.09.0.0.000</t>
  </si>
  <si>
    <t xml:space="preserve">          Venta de otros servicios</t>
  </si>
  <si>
    <t>1.4.0.0.00.00.0.0.000</t>
  </si>
  <si>
    <t>1.4.1.0.00.00.0.0.000</t>
  </si>
  <si>
    <t>3.0.0.0.00.00.0.0.000</t>
  </si>
  <si>
    <t>FINANCIAMIENTO</t>
  </si>
  <si>
    <t>3.3.0.0.00.00.0.0.000</t>
  </si>
  <si>
    <t xml:space="preserve">      Recursos de vigencias anteriores</t>
  </si>
  <si>
    <t xml:space="preserve"> 3.3.1.0.00.00.0.0.000</t>
  </si>
  <si>
    <t>AREA DE ADMINISTRACION Y FINANZAS</t>
  </si>
  <si>
    <t xml:space="preserve">ESTADO DE ORIGEN Y APLICACIÓN DE RECURSOS </t>
  </si>
  <si>
    <t>en colones</t>
  </si>
  <si>
    <t>ORIGEN DE LOS RECURSOS</t>
  </si>
  <si>
    <t>TRANSFERENCIAS CORRIENTES DEL SECTOR PUBLICO</t>
  </si>
  <si>
    <t xml:space="preserve">   TRANSFERENCIAS CTES DEL GOBIERNO CENTRAL</t>
  </si>
  <si>
    <t xml:space="preserve">   TRANSF. CTES INST. DESCENTRALIZADAS NO EMPRES. ICAFE</t>
  </si>
  <si>
    <t xml:space="preserve">   TRANSF. CTES INST. PUBLICAS FINANCIERAS B.C.C.R.</t>
  </si>
  <si>
    <t>APLICACIÓN DE LOS RECURSOS</t>
  </si>
  <si>
    <t xml:space="preserve">       BANCO MUNDIAL</t>
  </si>
  <si>
    <t>Aporte Patronal al Reg. de Pensiones Complementarias (RPC)</t>
  </si>
  <si>
    <t>TRANSFERENCIAS CORRIENTES DE ORGANISMOS INTERNAC.</t>
  </si>
  <si>
    <t>TRANSFERENCIAS CORRIENTES DE ORGANOS DESCONCENT.</t>
  </si>
  <si>
    <t>1.4.1.1.00.00.0.0.000</t>
  </si>
  <si>
    <t>1.4.3.0.00.00.0.0.000</t>
  </si>
  <si>
    <t>1.4.3.1.00.00.0.0.000</t>
  </si>
  <si>
    <t>Transferencias Corrientes del Sector Externo</t>
  </si>
  <si>
    <t>Transferencias Corrientes de Organismos Internacionales</t>
  </si>
  <si>
    <t>Recursos de Vigencias Anteriores</t>
  </si>
  <si>
    <t>Recursos de Vig. Ant.</t>
  </si>
  <si>
    <t>Transferencias corrientes de Organismos Internacionales</t>
  </si>
  <si>
    <t xml:space="preserve">       INSTITUTO NACIONAL DE LA MUJER (INAMU)</t>
  </si>
  <si>
    <t>0.01</t>
  </si>
  <si>
    <t>1.02.04</t>
  </si>
  <si>
    <t>SERV.COMERCIALES Y FINANCIEROS</t>
  </si>
  <si>
    <t>SEGUROS, REASEG. Y OTRAS OBLIGAC.</t>
  </si>
  <si>
    <t>MATERIALES P/CONST. Y MANT.</t>
  </si>
  <si>
    <t>HERRAM., REPUESTOS Y ACCESORIOS</t>
  </si>
  <si>
    <t>Equipo y Mob. Educacional, Deport. y Recreat.</t>
  </si>
  <si>
    <t>Servicios de Desarrollo de Sist. Informát.</t>
  </si>
  <si>
    <t>Sumas con Destino Espec. sin Asig. Presup.</t>
  </si>
  <si>
    <t>SUMAS SIN ASIG. PRESUPUESTARIA</t>
  </si>
  <si>
    <t>TRANSF. CORRIENTES AL SECTOR EXT.</t>
  </si>
  <si>
    <t>TRANSF.CORRIENTES AL SECTOR PUB.</t>
  </si>
  <si>
    <t>UTILES, MAT. Y SUMINIST. DIVERSOS</t>
  </si>
  <si>
    <t>CONSTRUC., ADICIONES Y MEJORAS</t>
  </si>
  <si>
    <t>Transferencias Corrientes del Gobierno Central</t>
  </si>
  <si>
    <t>TRANSFERENCIAS CORRIENTES DEL SECTOR EXTERNO</t>
  </si>
  <si>
    <t>1.4.1.6.00.00.0.0.000</t>
  </si>
  <si>
    <t>¢</t>
  </si>
  <si>
    <t>1.04.03</t>
  </si>
  <si>
    <t>Servicios en Ingeniería</t>
  </si>
  <si>
    <t>6.03.01</t>
  </si>
  <si>
    <t>Transferencias corrientes  de Instituciones Públicas Financieras - BCCR.</t>
  </si>
  <si>
    <t>Transferencias Ctes de Instituciones Públicas Financieras</t>
  </si>
  <si>
    <t xml:space="preserve">Transferencias corrientes de Instituciones Públicas Desconcentradas </t>
  </si>
  <si>
    <t>2.02</t>
  </si>
  <si>
    <t>ALIMENTOS Y PRODUCTOS AGROPECUARIOS</t>
  </si>
  <si>
    <t>2.02.03</t>
  </si>
  <si>
    <t>Alimentos y Bebidas</t>
  </si>
  <si>
    <t>6.01.01</t>
  </si>
  <si>
    <t>Transferencias Corrientes al Gobierno Central</t>
  </si>
  <si>
    <t>PROGRAMA 04</t>
  </si>
  <si>
    <t xml:space="preserve">    INGRESOS NO TRIBUTARIOS</t>
  </si>
  <si>
    <t>RECURSOS DE VIGENCIAS ANTERIORES</t>
  </si>
  <si>
    <t>ALIMENTO Y PRODUCTOS AGRICOLAS</t>
  </si>
  <si>
    <t>6.07.02</t>
  </si>
  <si>
    <t>Ingresos No Tributarios</t>
  </si>
  <si>
    <t>Programa 04</t>
  </si>
  <si>
    <t>Alimentos y bebidas</t>
  </si>
  <si>
    <t>CLASIFICACION</t>
  </si>
  <si>
    <t xml:space="preserve">JUSTIFICACION </t>
  </si>
  <si>
    <t xml:space="preserve">TOTAL INGRESOS </t>
  </si>
  <si>
    <t>2.99.07</t>
  </si>
  <si>
    <t xml:space="preserve">      SUPERAVIT LIBRE 2010</t>
  </si>
  <si>
    <t>Otras Transferencias Corrientes al Sector Externo</t>
  </si>
  <si>
    <t xml:space="preserve">          Superávit libre</t>
  </si>
  <si>
    <t xml:space="preserve"> 3.3.2.0.00.00.0.0.000</t>
  </si>
  <si>
    <t xml:space="preserve">          Superávit específico</t>
  </si>
  <si>
    <t>Utiles y Materiales de Cocina y Comedor</t>
  </si>
  <si>
    <t xml:space="preserve">      SUPERAVIT ESPECIFICO 2011</t>
  </si>
  <si>
    <t>Suplencias</t>
  </si>
  <si>
    <t>Otras Remuneraciones</t>
  </si>
  <si>
    <t xml:space="preserve">Superávit Libre </t>
  </si>
  <si>
    <t>Alquiler de Edificios, Locales y Terrenos</t>
  </si>
  <si>
    <t>6.06</t>
  </si>
  <si>
    <t>INDEMNIZACIONES</t>
  </si>
  <si>
    <t>6.06.01</t>
  </si>
  <si>
    <t>Indemnizaciones</t>
  </si>
  <si>
    <t xml:space="preserve"> </t>
  </si>
  <si>
    <t>6.0601</t>
  </si>
  <si>
    <t>IMDEMNIZACIONES</t>
  </si>
  <si>
    <t>Imdemnizaciones</t>
  </si>
  <si>
    <t>Ingresos por concepto de intereses sobre saldos en cuenta corriente e inversiones transitorias, así como la venta de bienes y servicios.</t>
  </si>
  <si>
    <t>Transferencias corrientes de Organismos Internacionales -</t>
  </si>
  <si>
    <t xml:space="preserve">Corresponde a los recursos aprobados por el Gobierno de la República para Proyecto Censo Nacional Agropecuario 2012 - 2014 según ley N°9071 del 17 de setiembre del 2012 </t>
  </si>
  <si>
    <t>(en  colones)</t>
  </si>
  <si>
    <t>SUBTOTAL REMUNERACIONES E INCENTIVOS</t>
  </si>
  <si>
    <t>0.01.05</t>
  </si>
  <si>
    <t>SUBTOTAL CARGAS SOCIALES</t>
  </si>
  <si>
    <t>0.99</t>
  </si>
  <si>
    <t>REMUNERACIONES DIVERSAS</t>
  </si>
  <si>
    <t>0.99.99</t>
  </si>
  <si>
    <t>Otras remuneraciones</t>
  </si>
  <si>
    <t>1.03.07</t>
  </si>
  <si>
    <t>Servicio de transferencia electrónica de información</t>
  </si>
  <si>
    <t>1.04.02</t>
  </si>
  <si>
    <t>Servicios jurídicos</t>
  </si>
  <si>
    <t>Servicios de ingeniería</t>
  </si>
  <si>
    <t>1.08.04</t>
  </si>
  <si>
    <t>Mant. y Rep. de maquinaria y equipo de producción</t>
  </si>
  <si>
    <t>1.09</t>
  </si>
  <si>
    <t>IMPUESTOS</t>
  </si>
  <si>
    <t>1.09.99</t>
  </si>
  <si>
    <t>Otros impuestos</t>
  </si>
  <si>
    <t>1.99.02</t>
  </si>
  <si>
    <t>Intereses moratorios y multas</t>
  </si>
  <si>
    <t>Útiles y materiales de cocina y comedor</t>
  </si>
  <si>
    <t>5.99.03</t>
  </si>
  <si>
    <t>Bienes intangibles</t>
  </si>
  <si>
    <t>Transferencias corrientes al Gobierno Central</t>
  </si>
  <si>
    <t>OTRAS TRANSFERENCIAS CORRIENTES AL SECTOR PRIVADO</t>
  </si>
  <si>
    <t>PRESUPUESTO ORDINARIO 2014</t>
  </si>
  <si>
    <t>ENIGH</t>
  </si>
  <si>
    <t>ECE</t>
  </si>
  <si>
    <t>CENAGRO</t>
  </si>
  <si>
    <t>Mant. y Rep. de maquinaria y equipo de Producción</t>
  </si>
  <si>
    <t>Intereses Moratorios y Multas</t>
  </si>
  <si>
    <t>FUENTE DE FINANCIAMIENTO</t>
  </si>
  <si>
    <t>SUBPARTIDAS A FINANCIAR</t>
  </si>
  <si>
    <t>TOTAL ORIGEN</t>
  </si>
  <si>
    <t>TOTAL APLICACIONES</t>
  </si>
  <si>
    <t>TOTAL GENERAL RECURSOS</t>
  </si>
  <si>
    <t>TOTAL GENERAL APLICACIONES</t>
  </si>
  <si>
    <t>SUPERAVIT LIBRE 2013</t>
  </si>
  <si>
    <t>SUPERAVIT ESPECIFICO 2013</t>
  </si>
  <si>
    <t>Ventas de Otros bienes y Servicios</t>
  </si>
  <si>
    <t>5.01.01</t>
  </si>
  <si>
    <t>Maquinaria y Equipo para la Producción</t>
  </si>
  <si>
    <t>PRESUPUESTO ORDINARIO 2015</t>
  </si>
  <si>
    <t>ENAHO</t>
  </si>
  <si>
    <t xml:space="preserve">      SUPERAVIT LIBRE</t>
  </si>
  <si>
    <t xml:space="preserve">      SUPERAVIT ESPECIFICO</t>
  </si>
  <si>
    <t>Información</t>
  </si>
  <si>
    <t>Publicidad y Propaganda</t>
  </si>
  <si>
    <t>Impresión, Encuadernación y Otros</t>
  </si>
  <si>
    <t>Transporte de Bienes</t>
  </si>
  <si>
    <t>Viáticos en el Exterior</t>
  </si>
  <si>
    <t>Sueldos por Cargos Fijos</t>
  </si>
  <si>
    <t>Servicios Especiales</t>
  </si>
  <si>
    <t>Retribución por años servidos</t>
  </si>
  <si>
    <t>Restricción al ejercicio liberal de la profesión</t>
  </si>
  <si>
    <t>Salario escolar</t>
  </si>
  <si>
    <t>Contribución Patronal al Seguro de Salud de la C.C.S.S.</t>
  </si>
  <si>
    <t>Contribución Patronal al Instituto Mixto de Ayuda Social</t>
  </si>
  <si>
    <t>Contribución Patronal al Instituto Nacional de Aprendizaje</t>
  </si>
  <si>
    <t>Contribución Patronal al B.P.D.C.</t>
  </si>
  <si>
    <t>Contribución Patronal al Seguro de Pensiones de la C.C.S.S.</t>
  </si>
  <si>
    <t>Aporte Patronal al Régimen Obligatorio de Pensiones Compl.</t>
  </si>
  <si>
    <t>Comisiones y Gastos por Servicios Financieros y Comerciales</t>
  </si>
  <si>
    <t>Viáticos dentro del País</t>
  </si>
  <si>
    <t>Viáticos al Exterior</t>
  </si>
  <si>
    <t>Mant. y Rep. de Maquinaria y Equipo de Producción</t>
  </si>
  <si>
    <t>Mant. y Rep. de Mobiliario y  Equipo de Oficina</t>
  </si>
  <si>
    <t>Otros Productos Químicos y Conexos</t>
  </si>
  <si>
    <t>Madera y sus Derivados</t>
  </si>
  <si>
    <t>Otros Materiales de Uso en la Construcción y Mantenimiento</t>
  </si>
  <si>
    <t>Otros Utiles, Materiales y Suministros Diversos</t>
  </si>
  <si>
    <t>Maquinaria y Equipo y Mobiliario Diverso</t>
  </si>
  <si>
    <t>Transferencias Corrientes a Organos Desconcentrados</t>
  </si>
  <si>
    <t>SUPERAVIT LIBRE 2014</t>
  </si>
  <si>
    <t>Servicio de Telecomunicaciones</t>
  </si>
  <si>
    <t>Otros incentivos Salariales</t>
  </si>
  <si>
    <t xml:space="preserve">   MINISTERIO DE CULTURA</t>
  </si>
  <si>
    <t>INDICE</t>
  </si>
  <si>
    <t>Justificación de Ingresos</t>
  </si>
  <si>
    <t>Comparativo de Ingresos</t>
  </si>
  <si>
    <t>Distribución de Presupuesto por Objeto del Gasto</t>
  </si>
  <si>
    <t xml:space="preserve">Egresos </t>
  </si>
  <si>
    <t>Estado de Origen y Aplicación de Recursos</t>
  </si>
  <si>
    <t>Clasificación de Gastos</t>
  </si>
  <si>
    <t xml:space="preserve">Justificación de Gastos </t>
  </si>
  <si>
    <t>Justificación de Partidas y/o Subpartidas</t>
  </si>
  <si>
    <t>Partida /
Subpartida</t>
  </si>
  <si>
    <t>Monto
(en colones)</t>
  </si>
  <si>
    <t>Justificación</t>
  </si>
  <si>
    <t xml:space="preserve">Relación objetivos específicos o metas
</t>
  </si>
  <si>
    <t>Se relaciona con todos los objetivos y metas del programa</t>
  </si>
  <si>
    <t>Reconocimiento adicional al salario base que se paga cada vez que el funcionario cumple años de laborar en la institución pública, de acuerdo con la categoría de salarios en que esté ubicado su puesto.</t>
  </si>
  <si>
    <t>Compensación económica al servidor al que por legislación vigente se le ha impuesto la restricción al ejercicio de la profesión que ostenta en su cargo.</t>
  </si>
  <si>
    <t>Pago de salario adicional para los funcionarios, en cumplimiento de lo establecido en la ley de aguinaldos para Instituciones Autónomas.</t>
  </si>
  <si>
    <t>Pago de salario escolar para los funcionarios, en cumplimiento a lo establecido en la ley de salario escolar.</t>
  </si>
  <si>
    <t>Comprende el pago de otros incentivos como carrera profesional, de los profesionales de diferentes especialidades según corresponda. Asimismo, pago de incentivos que se reconocen a los profesionales y técnicos en Ciencias Médicas e incentivo para los estadísticos.</t>
  </si>
  <si>
    <t>Cuota patronal a la Caja Costarricense de Seguro Social por concepto de salud.</t>
  </si>
  <si>
    <t>Aporte patronal que se debe cancelar al I.M.A.S, según la Ley N°4760, artículo 3°.</t>
  </si>
  <si>
    <t>Aporte patronal que se debe cancelar al I.N.A., según la Ley N°6868, artículo 15.</t>
  </si>
  <si>
    <t>Aporte patronal al Fondo de Desarrollo Social y Asignaciones Familiares, según la  Ley N°5662, artículo 15.</t>
  </si>
  <si>
    <t>Aporte patronal que se debe cancelar al Banco Popular, según la Ley N°4351, artículo 5°.</t>
  </si>
  <si>
    <t>Aporte patronal al Régimen Obligatorio de Pensiones Complementarias, según lo establecido en la Ley de Protección al Trabajador Ley N°7983.</t>
  </si>
  <si>
    <t>TOTAL PARTIDA</t>
  </si>
  <si>
    <t>Compra de artículos de plástico y otros necesarios para el mantenimiento del edificio y en atención al artículo 36 de la Ley Nacional de Emergencias.</t>
  </si>
  <si>
    <t>Para la compra de repuestos y accesorios varios para los vehículos institucionales como llantas y neumáticos, así otros repuestos y accesorios como baterías, faroles direccionales, fajas de motor, además de repuestos para los aires acondicionados en caso de que se requieran en alguna reparación.</t>
  </si>
  <si>
    <t>Parte de los recursos necesarios para la adquisición de materiales de oficina y cómputo, tales como engrapadoras, bolígrafos, disquetes, discos compactos y otros artículos de respaldo magnético, cintas para máquinas, lápices, borradores, clips, perforadoras, cintas adhesivas, reglas, láminas transparentes, entre otros.</t>
  </si>
  <si>
    <t>Medicamentos y otros implementos que la C.C.S.S. no distribuye y son necesarios para la atención médica de los funcionarios, tales como gasa, alcohol, jeringas, papel para camilla, tiras reactivas entre otros.</t>
  </si>
  <si>
    <t>Recursos necesarios para la adquisición de papel de todo tipo, necesario para la operación normal de la Institución.</t>
  </si>
  <si>
    <t>Parte de los recursos necesarios para la compra de bolsas plásticas para basura, escobas, ceras, desinfectantes, jabón y cualquier otro producto para la limpieza de las instalaciones.</t>
  </si>
  <si>
    <t>Pago de Cuotas a Organismos Internacionales, según corresponde al Instituto establecido en la Ley 3418 artículo 1° proyectado en base a los gastos administrativos del año 2010 según lo establece el artículo 2° de la mencionada ley.</t>
  </si>
  <si>
    <t xml:space="preserve">TOTAL PROGRAMA </t>
  </si>
  <si>
    <t>TOTAL PROGRAMA 01</t>
  </si>
  <si>
    <t>TOTAL PROGRAMA 02</t>
  </si>
  <si>
    <t>Programa Nº 03: Producción Estadística</t>
  </si>
  <si>
    <t>Corresponde a la estimación por concepto de la compra de productos para velar por la salud y protección del personal de campo, tales como la adquisición de alcohol en gel, repelente y bloqueador solar.</t>
  </si>
  <si>
    <t>Útiles y materiales de oficina requeridos para las labores ordinarias del Programa</t>
  </si>
  <si>
    <t>TOTAL PROGRAMA 03</t>
  </si>
  <si>
    <t>TOTAL PROGRAMA 04</t>
  </si>
  <si>
    <t>Contempla la compra de cartuchos para las impresoras de los diferentes subproceso del Programa.</t>
  </si>
  <si>
    <t xml:space="preserve">Para atender lo establecido en el artículo 46 de la Ley Nacional de Emergencias, donde el Instituto debe trasladar el 3% del superávit del año anterior. </t>
  </si>
  <si>
    <t>0.05.01</t>
  </si>
  <si>
    <t>Recursos necesarios para la sustitución de teléfonos ya que algunos se encuentran dañados por el uso diario y la antigüedad de los mismos</t>
  </si>
  <si>
    <t>Programa Nº 01: Administración Superior y Servicios de Apoyo</t>
  </si>
  <si>
    <t>Administración Superior y Servicios de Apoyo</t>
  </si>
  <si>
    <t>Por concepto de suplencias del personal de campo, en casos de incapacidades por maternidad y/o enfermedad que ameriten estar fuera por un lapso prolongado de tiempo</t>
  </si>
  <si>
    <t>Adquisición de materiales y productos eléctricos para los diferentes proyectos, ya que se dañan por el uso constante</t>
  </si>
  <si>
    <t>Difusión y Promoción de la Producción  Estadística</t>
  </si>
  <si>
    <t>Programa Nº 04: Difusión y Promoción de la Producción Estadística</t>
  </si>
  <si>
    <t>UNICEF</t>
  </si>
  <si>
    <t>5</t>
  </si>
  <si>
    <t>Producción Estadística</t>
  </si>
  <si>
    <t>Rectoría Técnica de las Estadísticas Nacionales</t>
  </si>
  <si>
    <t>Programa Nº 02: Rectoría Técnica de las Estadísticas Nacionales</t>
  </si>
  <si>
    <t xml:space="preserve">Para la cancelación de un incentivo a estudiantes que realicen práctica estudiantil,  esto debido al apoyo que se necesita en la elaboración de los procesos institucionales </t>
  </si>
  <si>
    <t>Para la adquisición de computadoras e impresoras según el plan de sustitución de equipo de computo realizado por la Unidad Técnica de Sistemas de Información, además  activos para el proyecto de rediseño de la infraestructura  tecnológica del INEC.</t>
  </si>
  <si>
    <t>Recursos para el pago de cuota por suscripción anual del  Instituto en el INTER-AMERICAN STATISTICAL INSTITUTE - IASI</t>
  </si>
  <si>
    <t>Para la adquisición de Coffe Maker utilizado en las reuniones y actividades del Área que se realicen con representantes de otras instituciones tanto nacionales como internacionales y del CONACE.</t>
  </si>
  <si>
    <t>Esta solicitud se hace con el fin de tener horas extras aprobadas para funcionarios del Área del SEN y de Diseño Gráfico, quienes normalmente nos apoyan en trabajos especiales urgentes y en algunas ocasiones imprevistos.</t>
  </si>
  <si>
    <t>Comprende los recursos para la compra de agua, café, galletas y bocadillos necesarios para la atención de funcionarios de otras instituciones en actividades oficiales, así como la atención de las reuniones.</t>
  </si>
  <si>
    <t>Para la compra y sustitución de sillas ya que se encuentran dañadas por el uso constante . Estas sillas deben ser ergonómica 100% (cervical y lumbar), avalada por la comisión de salud ocupacional de INEC.</t>
  </si>
  <si>
    <t>Para la actualizar de varias licencias que requiere la institución para su labor ordinaria</t>
  </si>
  <si>
    <t>Adquisición de camisetas para el personal del ASIDE que va participar en la Feria del Libro así tener más presencia, consideramos es un medio donde se logra  divulgar nuestros servicios y productos de una manera más oportuna a la ciudadanía que frecuenta a ese evento. así como la compra de banderas</t>
  </si>
  <si>
    <t>Corresponde al pago de prestaciones legales de los funcionarios de este programa que se acogerán a la jubilación laboral por años de servicio</t>
  </si>
  <si>
    <t>Banco Mundial</t>
  </si>
  <si>
    <t>BCCR</t>
  </si>
  <si>
    <t xml:space="preserve">   TRANSFERENCIAS CTES DE INST. DESENTRALIZADAS</t>
  </si>
  <si>
    <t>TRANSFERENCIAS CORRIENTES DE INSTITUCIONES DESCENTRALIZADAS</t>
  </si>
  <si>
    <t xml:space="preserve">      CONSEJO NACIONAL DE LA PERSONA CON DISCAPACIDAD (CONAPDIS)</t>
  </si>
  <si>
    <t>BANCO MUNDIAL</t>
  </si>
  <si>
    <t>Pago de Cuotas a Organismos Internacionales, según corresponde al Instituto establecido en la Ley 3418 artículo 1° proyectado en base a los gastos administrativos del año 2017 según lo establece el artículo 2° de la mencionada ley.</t>
  </si>
  <si>
    <t xml:space="preserve">Para la cancelación de un incentivo a estudiantes que realicen práctica estudiantil,  esto debido al apoyo que se necesita en la elaboración de los procesos institucionales Y recursos que son aportados por el BCCR para el proceso de reestructura </t>
  </si>
  <si>
    <t>.</t>
  </si>
  <si>
    <t>Viáticos Dentro del País</t>
  </si>
  <si>
    <t>Aporte Patronal al Fondo de Capitalización Laboral</t>
  </si>
  <si>
    <t>Servicios de Tecnologías de Información</t>
  </si>
  <si>
    <t>Transporte Dentro del País</t>
  </si>
  <si>
    <t>1.4.1.3.00.00.0.0.000</t>
  </si>
  <si>
    <t xml:space="preserve">   TRANSF. CTES INST.   DESCENTRALIZADASNO EMPRESARIALES</t>
  </si>
  <si>
    <t>Corresponde a la estimación por concepto de la compra de productos para velar por la salud y protección del personal.</t>
  </si>
  <si>
    <t>Para el mantenimiento preventivo y habitual de oficinas, bodegas, áreas verdes, reparaciones menores en techos, paredes, pisos, servicios sanitarios, piletas, así como la reparación de los sistemas eléctricos y telefónicos.</t>
  </si>
  <si>
    <t>Materiales requeridos para la impresión de gafetes por parte de la Unidad de Recursos Humanos</t>
  </si>
  <si>
    <t>Para las diferentes reuniones, talleres y capacitaciones que se llevan a cabo a lo largo del año con representantes de otras instituciones tanto nacionales como internacionales.</t>
  </si>
  <si>
    <t>Insumos para el buen funcionamiento del consultorio para la atención de los pacientes</t>
  </si>
  <si>
    <t>Compra de herramientas para el  mantenimiento preventivo y reapariciones menores del edificio y mobiliario</t>
  </si>
  <si>
    <t>Se requiere para la compra de distintos productos de limpieza, y cumplir con el contrato por demanda  con cuantía estimada</t>
  </si>
  <si>
    <t>Recursos para el pago de extremos laborales de funcionarios que se acogen así pensión por años de servicio.</t>
  </si>
  <si>
    <t>Se requiere la compra de indumentaria y artículos básicos de prevención</t>
  </si>
  <si>
    <t>Compra de combustible para el operativo de campo de los diferentes proyectos estadísticos, actualización cartográfica y la Supervisión General de la encuesta, además se incluye insumos para el mantenimiento de los vehículos asignados a la encuesta.</t>
  </si>
  <si>
    <t>Adquisición de materiales y productos eléctricos para los diferentes proyectos, ya que se dañan por el uso constante, así como mouse ergonómicos, regletas, ampliación de memorias, teclados entre otros</t>
  </si>
  <si>
    <t>Recursos para la compra de Vehículos de los Proyectos Encuesta Nacional de Ingreso y Gastos (ENIGH), que se realizara durante todo el 2018, y el inicio de las diferentes etapas del Censo Nacional de Vivienda 2020, dichos vehículos son requeridos ya que según estudio realizado y por la cantidad de tiempo requeridos es mas conveniente para la Institución en el ahorro de recursos la compra que el alquiler de los mismos, pasada estas encuestas estos vehículos entraran dentro del plan de sustitución de la flotilla que tiene mas de 5 años de antigüedad.</t>
  </si>
  <si>
    <t>Compra de repelente, bloqueadores solares para uso de los funcionarios del programa.</t>
  </si>
  <si>
    <t>El kit se requiere debido al desgaste normal causado por su uso constante y según lo analizado durante el primer año de uso. El flash se requiere para que las sesiones fotografías que se realizan en interiores queden con la calidad y luz requerida.</t>
  </si>
  <si>
    <t>Para compra de vasos, platos entre otros artículos que se requieren para la atención de diferentes reuniones  del programa.</t>
  </si>
  <si>
    <t xml:space="preserve">Para la compra y sustitución de sillas ya que se encuentran dañadas por el uso constante,  estas sillas deben ser ergonómica 100% (cervical y lumbar), avalada por la comisión de salud ocupacional de INEC y mobiliario de oficina </t>
  </si>
  <si>
    <t>Otros materiales para el mantenimiento preventivo y habitual de oficinas</t>
  </si>
  <si>
    <t>Para la compra y sustitución de sillas ya que se encuentran dañadas por el uso constante,  estas sillas deben ser ergonómica 100% (cervical y lumbar), avalada por la comisión de salud ocupacional de INEC, para la compra de mobiliario de oficina para nuevos funcionarios o sustitución de los que se dañan.</t>
  </si>
  <si>
    <t>Se requiere para el mantenimiento habitual del edificio, pegamento de contacto</t>
  </si>
  <si>
    <t>0.02.02</t>
  </si>
  <si>
    <t>Recargo de funciones</t>
  </si>
  <si>
    <t>1.04.01</t>
  </si>
  <si>
    <t>Servicios médicos y de laboratorio</t>
  </si>
  <si>
    <t>0.02.03</t>
  </si>
  <si>
    <t>AREA DE ADMINISTRACIÓN Y FINANZAS</t>
  </si>
  <si>
    <t>CLASIFICADOR ECONÓMICO DEL GASTO DEL SECTOR PÚBLICO</t>
  </si>
  <si>
    <t>REGLA FISCAL</t>
  </si>
  <si>
    <t>PRESUPUESTO 2020</t>
  </si>
  <si>
    <t>DIFERENCIA</t>
  </si>
  <si>
    <t>Código por</t>
  </si>
  <si>
    <t>CLASIFICADOR POR OBJETO DEL GASTO DEL SECTOR PÚBLICO</t>
  </si>
  <si>
    <t>CE</t>
  </si>
  <si>
    <t>OBG</t>
  </si>
  <si>
    <t>GASTOS CORRIENTES</t>
  </si>
  <si>
    <t>1.1</t>
  </si>
  <si>
    <t>GASTOS DE CONSUMO</t>
  </si>
  <si>
    <t>1.1.1</t>
  </si>
  <si>
    <t>1.1.1.1</t>
  </si>
  <si>
    <t xml:space="preserve">Sueldos y salarios </t>
  </si>
  <si>
    <t>0.0 1</t>
  </si>
  <si>
    <t>REMUNERACIONES BÁSICAS</t>
  </si>
  <si>
    <t xml:space="preserve">Sueldos para cargos fijos </t>
  </si>
  <si>
    <t>0.01.02</t>
  </si>
  <si>
    <t>Jornales</t>
  </si>
  <si>
    <t>Servicios especiales</t>
  </si>
  <si>
    <t>0.01.04</t>
  </si>
  <si>
    <t>Sueldos a base de comisión</t>
  </si>
  <si>
    <t xml:space="preserve">Suplencias </t>
  </si>
  <si>
    <t>Tiempo extraordinario</t>
  </si>
  <si>
    <t>Disponibilidad laboral</t>
  </si>
  <si>
    <t>0.02.04</t>
  </si>
  <si>
    <t>Compensación de vacaciones</t>
  </si>
  <si>
    <t>Otros incentivos salariales</t>
  </si>
  <si>
    <t>0.99.01</t>
  </si>
  <si>
    <t>Gastos de representación personal</t>
  </si>
  <si>
    <t>1.1.1.2</t>
  </si>
  <si>
    <t>Contribuciones sociales</t>
  </si>
  <si>
    <t>CONTRIBUCIONES PATRONALES AL DESARROLLO Y LA SEGURIDAD SOCIAL</t>
  </si>
  <si>
    <t>Contribución Patronal al Seguro de Salud de la Caja Costarricense de Seguro Social</t>
  </si>
  <si>
    <t xml:space="preserve">Contribución Patronal al Instituto Mixto de Ayuda Social </t>
  </si>
  <si>
    <t xml:space="preserve">Contribución Patronal al Instituto Nacional de Aprendizaje  </t>
  </si>
  <si>
    <t>Contribución Patronal al Fondo de Desarrollo Social  y Asignaciones Familiares</t>
  </si>
  <si>
    <t>Contribución Patronal al Banco Popular y de Desarrollo  Comunal</t>
  </si>
  <si>
    <t xml:space="preserve">Contribución Patronal al Seguro de Pensiones de la Caja Costarricense de Seguro Social  </t>
  </si>
  <si>
    <t xml:space="preserve">Aporte Patronal al Régimen Obligatorio de Pensiones  Complementarias </t>
  </si>
  <si>
    <t xml:space="preserve">Aporte Patronal al Fondo de Capitalización Laboral </t>
  </si>
  <si>
    <t>0.05.04</t>
  </si>
  <si>
    <t>Contribución Patronal a otros fondos administrados por entes públicos</t>
  </si>
  <si>
    <t>0.05.05</t>
  </si>
  <si>
    <t>Contribución Patronal a otros fondos administrados por entes privados</t>
  </si>
  <si>
    <t>1.1.2</t>
  </si>
  <si>
    <t>ADQUISICIÓN DE BIENES Y SERVICIOS</t>
  </si>
  <si>
    <t xml:space="preserve">ALQUILERES </t>
  </si>
  <si>
    <t>Alquiler de edificios, locales y terrenos</t>
  </si>
  <si>
    <t>Alquiler de maquinaria, equipo y mobiliario</t>
  </si>
  <si>
    <t>Alquiler de equipo de cómputo</t>
  </si>
  <si>
    <t>1.01.04</t>
  </si>
  <si>
    <t>Alquiler  de equipo y derechos para telecomunicaciones</t>
  </si>
  <si>
    <t>Otros alquileres</t>
  </si>
  <si>
    <t>SERVICIOS BÁSICOS</t>
  </si>
  <si>
    <t xml:space="preserve">Servicio de agua y alcantarillado </t>
  </si>
  <si>
    <t>Servicio de energía eléctrica</t>
  </si>
  <si>
    <t>Servicio de correo</t>
  </si>
  <si>
    <t>Servicio de telecomunicaciones</t>
  </si>
  <si>
    <t xml:space="preserve">Otros servicios básicos </t>
  </si>
  <si>
    <t xml:space="preserve">Información </t>
  </si>
  <si>
    <t>Publicidad y propaganda</t>
  </si>
  <si>
    <t>Impresión, encuadernación y otros</t>
  </si>
  <si>
    <t>Transporte de bienes</t>
  </si>
  <si>
    <t>Servicios aduaneros</t>
  </si>
  <si>
    <t>Comisiones y gastos por servicios financieros y comerciales</t>
  </si>
  <si>
    <t>Servicios de tecnologías de información</t>
  </si>
  <si>
    <t>SERVICIOS DE GESTIÓN Y APOYO</t>
  </si>
  <si>
    <t>Servicios en ciencias de la salud</t>
  </si>
  <si>
    <t xml:space="preserve">Servicios jurídicos </t>
  </si>
  <si>
    <t>Servicios de ingeniería y arquitectura</t>
  </si>
  <si>
    <t>Servicios en ciencias económicas y sociales</t>
  </si>
  <si>
    <t>Servicios informáticos</t>
  </si>
  <si>
    <t xml:space="preserve">Servicios generales </t>
  </si>
  <si>
    <t>Otros servicios de gestión y apoyo</t>
  </si>
  <si>
    <t>Transporte dentro del país</t>
  </si>
  <si>
    <t>Viáticos dentro del país</t>
  </si>
  <si>
    <t>Transporte en el exterior</t>
  </si>
  <si>
    <t>Viáticos en el exterior</t>
  </si>
  <si>
    <t>1.06.02</t>
  </si>
  <si>
    <t xml:space="preserve">Reaseguros </t>
  </si>
  <si>
    <t>1.06.03</t>
  </si>
  <si>
    <t>Obligaciones por contratos de seguros</t>
  </si>
  <si>
    <t>CAPACITACIÓN Y PROTOCOLO</t>
  </si>
  <si>
    <t>Actividades de capacitación</t>
  </si>
  <si>
    <t xml:space="preserve">Actividades protocolarias y sociales </t>
  </si>
  <si>
    <t>Gastos de representación institucional</t>
  </si>
  <si>
    <t>MANTENIMIENTO Y REPARACIÓN</t>
  </si>
  <si>
    <t>Mantenimiento de edificios, locales y terrenos</t>
  </si>
  <si>
    <t>1.08.02</t>
  </si>
  <si>
    <t>Mantenimiento de vías de comunicación</t>
  </si>
  <si>
    <t>Mantenimiento de instalaciones y otras obras</t>
  </si>
  <si>
    <t>Mantenimiento y reparación de maquinaria y equipo de producción</t>
  </si>
  <si>
    <t>Mantenimiento y reparación de equipo de transporte</t>
  </si>
  <si>
    <t>Mantenimiento y reparación de equipo de comunicación</t>
  </si>
  <si>
    <t>Mantenimiento y reparación de equipo y mobiliario de oficina</t>
  </si>
  <si>
    <t>Mantenimiento y reparación de equipo de cómputo y  sistemas de informacion</t>
  </si>
  <si>
    <t>Mantenimiento y reparación de otros equipos</t>
  </si>
  <si>
    <t>1.99.01</t>
  </si>
  <si>
    <t>Servicios de regulación</t>
  </si>
  <si>
    <t>1.99.03</t>
  </si>
  <si>
    <t>Gastos de oficinas en el exterior</t>
  </si>
  <si>
    <t>1.99.04</t>
  </si>
  <si>
    <t>Gastos de misiones especiales en el exterior</t>
  </si>
  <si>
    <t>Otros servicios no especificados</t>
  </si>
  <si>
    <t>PRODUCTOS QUÍMICOS Y CONEXOS</t>
  </si>
  <si>
    <t>Combustibles y lubricantes</t>
  </si>
  <si>
    <t>Productos farmacéuticos y medicinales</t>
  </si>
  <si>
    <t>2.01.03</t>
  </si>
  <si>
    <t>Productos veterinarios</t>
  </si>
  <si>
    <t xml:space="preserve">Tintas, pinturas y diluyentes </t>
  </si>
  <si>
    <t>Otros productos químicos y conexos</t>
  </si>
  <si>
    <t>2.02.01</t>
  </si>
  <si>
    <t>Productos pecuarios y otras especies</t>
  </si>
  <si>
    <t>2.02.02</t>
  </si>
  <si>
    <t>Productos agroforestales</t>
  </si>
  <si>
    <t>2.02.04</t>
  </si>
  <si>
    <t>Alimentos para animales</t>
  </si>
  <si>
    <t>MATERIALES Y PRODUCTOS DE USO EN LA CONSTRUCCIÓN Y MANTENIMIENTO</t>
  </si>
  <si>
    <t>Materiales y productos metálicos</t>
  </si>
  <si>
    <t>2.03.02</t>
  </si>
  <si>
    <t>Materiales y productos minerales y asfálticos</t>
  </si>
  <si>
    <t>Materiales y productos eléctricos, telefónicos y de cómputo</t>
  </si>
  <si>
    <t>Materiales y productos de vidrio</t>
  </si>
  <si>
    <t>Materiales y productos de plástico</t>
  </si>
  <si>
    <t>Otros materiales y productos de uso en la construcción y mantenimiento.</t>
  </si>
  <si>
    <t>Herramientas e instrumentos</t>
  </si>
  <si>
    <t>Repuestos y accesorios</t>
  </si>
  <si>
    <t>2.05</t>
  </si>
  <si>
    <t>BIENES PARA LA PRODUCCIÓN Y COMERCIALIZACIÓN</t>
  </si>
  <si>
    <t>2.05.01</t>
  </si>
  <si>
    <t>Materia prima</t>
  </si>
  <si>
    <t>2.05.02</t>
  </si>
  <si>
    <t>Productos terminados</t>
  </si>
  <si>
    <t>2.05.03</t>
  </si>
  <si>
    <t>Energía eléctrica</t>
  </si>
  <si>
    <t>2.05.99</t>
  </si>
  <si>
    <t>Otros bienes para la producción y comercialización</t>
  </si>
  <si>
    <t>ÚTILES, MATERIALES Y SUMINISTROS DIVERSOS</t>
  </si>
  <si>
    <t>Útiles y materiales de oficina y cómputo</t>
  </si>
  <si>
    <t>Útiles y materiales médico, hospitalario y de investigación</t>
  </si>
  <si>
    <t>Productos de papel, cartón e impresos</t>
  </si>
  <si>
    <t>Textiles y vestuario</t>
  </si>
  <si>
    <t>Útiles y materiales de limpieza</t>
  </si>
  <si>
    <t>Útiles y materiales de resguardo y seguridad</t>
  </si>
  <si>
    <t>Otros útiles, materiales y suministros diversos</t>
  </si>
  <si>
    <t xml:space="preserve">INTERESES Y COMISIONES </t>
  </si>
  <si>
    <t>3.04</t>
  </si>
  <si>
    <t>COMISIONES Y OTROS GASTOS</t>
  </si>
  <si>
    <t>3.04.01</t>
  </si>
  <si>
    <t>Comisiones y otros gastos sobre títulos valores internos</t>
  </si>
  <si>
    <t>3.04.02</t>
  </si>
  <si>
    <t>Comisiones  y otros gastos sobre títulos valores del sector externo</t>
  </si>
  <si>
    <t>3.04.03</t>
  </si>
  <si>
    <t>Comisiones y otros gastos sobre préstamos internos</t>
  </si>
  <si>
    <t>3.04.04</t>
  </si>
  <si>
    <t>Comisiones y otros gastos sobre préstamos del sector externo</t>
  </si>
  <si>
    <t>9.01</t>
  </si>
  <si>
    <t>CUENTAS ESPECIALES DIVERSAS</t>
  </si>
  <si>
    <t>9.01.01</t>
  </si>
  <si>
    <t>Gastos confidenciales</t>
  </si>
  <si>
    <t>1.2</t>
  </si>
  <si>
    <t>INTERESES</t>
  </si>
  <si>
    <t>INTERESES Y COMISIONES</t>
  </si>
  <si>
    <t>1.2.1</t>
  </si>
  <si>
    <t>Internos</t>
  </si>
  <si>
    <t>3.01</t>
  </si>
  <si>
    <t>INTERESES SOBRE TÍTULOS VALORES</t>
  </si>
  <si>
    <t>3.01.01</t>
  </si>
  <si>
    <t>Intereses sobre títulos valores internos de corto plazo</t>
  </si>
  <si>
    <t>3.01.02</t>
  </si>
  <si>
    <t>Intereses sobre títulos valores internos de largo plazo</t>
  </si>
  <si>
    <t>3.02</t>
  </si>
  <si>
    <t>INTERESES SOBRE PRÉSTAMOS</t>
  </si>
  <si>
    <t>3.02.01</t>
  </si>
  <si>
    <t xml:space="preserve">Intereses sobre préstamos del Gobierno Central </t>
  </si>
  <si>
    <t>3.02.02</t>
  </si>
  <si>
    <t>Intereses sobre préstamos de Órganos Desconcentrados</t>
  </si>
  <si>
    <t>3.02.03</t>
  </si>
  <si>
    <t>Intereses sobre préstamos de Instituciones Descentralizadas  no Empresariales</t>
  </si>
  <si>
    <t>3.02.04</t>
  </si>
  <si>
    <t>Intereses sobre préstamos de Gobiernos Locales</t>
  </si>
  <si>
    <t>3.02.05</t>
  </si>
  <si>
    <t>Intereses sobre préstamos de Empresas Públicas no Financieras</t>
  </si>
  <si>
    <t>3.02.06</t>
  </si>
  <si>
    <t xml:space="preserve">Intereses sobre préstamos de  Instituciones Públicas Financieras   </t>
  </si>
  <si>
    <t>3.02.07</t>
  </si>
  <si>
    <t>Intereses sobre préstamos del Sector Privado</t>
  </si>
  <si>
    <t>3.03</t>
  </si>
  <si>
    <t>INTERESES SOBRE OTRAS OBLIGACIONES</t>
  </si>
  <si>
    <t>3.03.01</t>
  </si>
  <si>
    <t>Intereses sobre depósitos bancarios a la vista</t>
  </si>
  <si>
    <t>3.03.99</t>
  </si>
  <si>
    <t>Intereses sobre otras obligaciones</t>
  </si>
  <si>
    <t>3.04.05</t>
  </si>
  <si>
    <t>Diferencias por tipo de cambio</t>
  </si>
  <si>
    <t xml:space="preserve">1.2.2 </t>
  </si>
  <si>
    <t>Externos</t>
  </si>
  <si>
    <t>1.2.2</t>
  </si>
  <si>
    <t>3.01.03</t>
  </si>
  <si>
    <t>Intereses sobre títulos valores del sector externo de corto plazo</t>
  </si>
  <si>
    <t>3.01.04</t>
  </si>
  <si>
    <t>Intereses sobre títulos valores del sector externo de largo plazo</t>
  </si>
  <si>
    <t>3.02.08</t>
  </si>
  <si>
    <t>Intereses sobre préstamos del Sector Externo</t>
  </si>
  <si>
    <t>1.3</t>
  </si>
  <si>
    <t>1.3.1</t>
  </si>
  <si>
    <t xml:space="preserve">Transferencias corrientes al Sector Público </t>
  </si>
  <si>
    <t>TRANSFERENCIAS CORRIENTES AL SECTOR PÚBLICO</t>
  </si>
  <si>
    <t>Transferencias corrientes a Órganos Desconcentrados</t>
  </si>
  <si>
    <t>6.01.03</t>
  </si>
  <si>
    <t>Transferencias corrientes a Instituciones Descentralizadas no  Empresariales</t>
  </si>
  <si>
    <t>6.01.04</t>
  </si>
  <si>
    <t>Transferencias corrientes a Gobiernos Locales.</t>
  </si>
  <si>
    <t>6.01.05</t>
  </si>
  <si>
    <t>Transferencias corrientes a Empresas Públicas no Financieras</t>
  </si>
  <si>
    <t>6.01.06</t>
  </si>
  <si>
    <t xml:space="preserve">Transferencias corrientes a Instituciones  Públicas Financieras </t>
  </si>
  <si>
    <t>6.01.07</t>
  </si>
  <si>
    <t>Dividendos</t>
  </si>
  <si>
    <t>6.01.08</t>
  </si>
  <si>
    <t>Fondos en fideicomiso para gasto corriente</t>
  </si>
  <si>
    <t>6.01.09</t>
  </si>
  <si>
    <t>Impuestos por transferir</t>
  </si>
  <si>
    <t>1.09.01</t>
  </si>
  <si>
    <t>Impuestos sobre ingresos y utilidades</t>
  </si>
  <si>
    <t>1.09.02</t>
  </si>
  <si>
    <t xml:space="preserve">Impuestos sobre la propiedad de  bienes inmuebles          </t>
  </si>
  <si>
    <t>1.09.03</t>
  </si>
  <si>
    <t>Impuestos de patentes</t>
  </si>
  <si>
    <t>1.3.2</t>
  </si>
  <si>
    <t>Transferencias corrientes al Sector Privado</t>
  </si>
  <si>
    <t>6.02</t>
  </si>
  <si>
    <t>TRANSFERENCIAS CORRIENTES A PERSONAS</t>
  </si>
  <si>
    <t>6.02.01</t>
  </si>
  <si>
    <t>Becas a funcionarios</t>
  </si>
  <si>
    <t>6.02.02</t>
  </si>
  <si>
    <t>Becas a terceras personas</t>
  </si>
  <si>
    <t>6.02.03</t>
  </si>
  <si>
    <t xml:space="preserve">Ayudas a funcionarios </t>
  </si>
  <si>
    <t>6.02.99</t>
  </si>
  <si>
    <t>Otras transferencias a personas</t>
  </si>
  <si>
    <t xml:space="preserve">PRESTACIONES </t>
  </si>
  <si>
    <t>Prestaciones legales</t>
  </si>
  <si>
    <t>6.03.02</t>
  </si>
  <si>
    <t xml:space="preserve">Pensiones y jubilaciones contributivas </t>
  </si>
  <si>
    <t>6.03.03</t>
  </si>
  <si>
    <t xml:space="preserve">Pensiones no contributivas </t>
  </si>
  <si>
    <t>6.03.04</t>
  </si>
  <si>
    <t>Decimotercer mes de jubilaciones y pensiones</t>
  </si>
  <si>
    <t>6.03.99</t>
  </si>
  <si>
    <t xml:space="preserve">Otras prestaciones </t>
  </si>
  <si>
    <t>6.04</t>
  </si>
  <si>
    <t>TRANSFERENCIAS CORRIENTES A ENTIDADES PRIVADAS SIN FINES DE LUCRO</t>
  </si>
  <si>
    <t>6.04.01</t>
  </si>
  <si>
    <t>Transferencias corrientes a asociaciones</t>
  </si>
  <si>
    <t>6.04.02</t>
  </si>
  <si>
    <t xml:space="preserve">Transferencias corrientes a fundaciones          </t>
  </si>
  <si>
    <t>6.04.03</t>
  </si>
  <si>
    <t>Transferencias corrientes a cooperativas</t>
  </si>
  <si>
    <t>6.04.04</t>
  </si>
  <si>
    <t>Transferencias corrientes a otras entidades privadas sin fines de lucro</t>
  </si>
  <si>
    <t>6.05</t>
  </si>
  <si>
    <t>TRANSFERENCIAS CORRIENTES A EMPRESAS PRIVADAS</t>
  </si>
  <si>
    <t>6.05.01</t>
  </si>
  <si>
    <t>Transferencias corrientes a empresas privadas</t>
  </si>
  <si>
    <t>OTRAS TRANSFERENCIAS CORRIENTES AL  SECTOR PRIVADO</t>
  </si>
  <si>
    <t>6.06.02</t>
  </si>
  <si>
    <t>Reintegros o devoluciones</t>
  </si>
  <si>
    <t>1.3.3</t>
  </si>
  <si>
    <t xml:space="preserve"> Transferencias corrientes al Sector Externo</t>
  </si>
  <si>
    <t>Transferencias corrientes a organismos internacionales</t>
  </si>
  <si>
    <t xml:space="preserve">Otras transferencias corrientes al sector externo </t>
  </si>
  <si>
    <t>2</t>
  </si>
  <si>
    <t>GASTOS DE CAPITAL</t>
  </si>
  <si>
    <t>2.1</t>
  </si>
  <si>
    <t>FORMACIÓN DE CAPITAL</t>
  </si>
  <si>
    <t>2.1.1</t>
  </si>
  <si>
    <t>Edificaciones</t>
  </si>
  <si>
    <t>2.1.2</t>
  </si>
  <si>
    <t>Vías de comunicación</t>
  </si>
  <si>
    <t>5.02.02</t>
  </si>
  <si>
    <t>Vías de comunicación terrestre</t>
  </si>
  <si>
    <t>5.02.03</t>
  </si>
  <si>
    <t>Vías férreas</t>
  </si>
  <si>
    <t>5.02.04</t>
  </si>
  <si>
    <t>Obras marítimas y fluviales</t>
  </si>
  <si>
    <t>5.02.05</t>
  </si>
  <si>
    <t>Aeropuertos</t>
  </si>
  <si>
    <t>2.1.3</t>
  </si>
  <si>
    <t>Obras urbanísticas</t>
  </si>
  <si>
    <t>5.02.06</t>
  </si>
  <si>
    <t>2.1.4</t>
  </si>
  <si>
    <t>2.1.5</t>
  </si>
  <si>
    <t>Otras obras</t>
  </si>
  <si>
    <t>Otras construcciones adiciones y mejoras</t>
  </si>
  <si>
    <t>2.2</t>
  </si>
  <si>
    <t>ADQUISICIÓN DE ACTIVOS</t>
  </si>
  <si>
    <t>2.2.1</t>
  </si>
  <si>
    <t xml:space="preserve">Maquinaria y equipo </t>
  </si>
  <si>
    <t>Maquinaria y equipo para la producción</t>
  </si>
  <si>
    <t>Equipo de transporte</t>
  </si>
  <si>
    <t>Equipo de comunicación</t>
  </si>
  <si>
    <t>Equipo y mobiliario de oficina</t>
  </si>
  <si>
    <t>Equipo de  cómputo</t>
  </si>
  <si>
    <t>Equipo sanitario, de laboratorio e investigación</t>
  </si>
  <si>
    <t>Equipo y mobiliario educacional, deportivo y recreativo</t>
  </si>
  <si>
    <t>Maquinaria, equipo y mobiliario  diverso</t>
  </si>
  <si>
    <t>BIENES DURADEROS DIVERSOS</t>
  </si>
  <si>
    <t>5.99.01</t>
  </si>
  <si>
    <t>Semovientes</t>
  </si>
  <si>
    <t>5.03</t>
  </si>
  <si>
    <t>BIENES PREEXISTENTES</t>
  </si>
  <si>
    <t>2.2.2</t>
  </si>
  <si>
    <t>Terrenos</t>
  </si>
  <si>
    <t>5.03.01</t>
  </si>
  <si>
    <t>2.2.3</t>
  </si>
  <si>
    <t>5.03.02</t>
  </si>
  <si>
    <t>Edificios preexistentes</t>
  </si>
  <si>
    <t>5.03.99</t>
  </si>
  <si>
    <t>Otras obras preexistentes</t>
  </si>
  <si>
    <t>2.2.4</t>
  </si>
  <si>
    <t>Intangibles</t>
  </si>
  <si>
    <t>2.2.5</t>
  </si>
  <si>
    <t>Activos de valor</t>
  </si>
  <si>
    <t>5.99.02</t>
  </si>
  <si>
    <t>Piezas y obras de colección</t>
  </si>
  <si>
    <t>Otros bienes duraderos</t>
  </si>
  <si>
    <t>2.3</t>
  </si>
  <si>
    <t>TRANSFERENCIAS DE CAPITAL</t>
  </si>
  <si>
    <t>2.3.1</t>
  </si>
  <si>
    <t>Transferencias de capital  al Sector Público</t>
  </si>
  <si>
    <t>7.01</t>
  </si>
  <si>
    <t>TRANSFERENCIAS DE CAPITAL  AL SECTOR PÚBLICO</t>
  </si>
  <si>
    <t>7.01.01</t>
  </si>
  <si>
    <t>Transferencias  de capital al Gobierno Central</t>
  </si>
  <si>
    <t>7.01.02</t>
  </si>
  <si>
    <t>Transferencias de capital  a Órganos Desconcentrados</t>
  </si>
  <si>
    <t>7.01.03</t>
  </si>
  <si>
    <t>Transferencias de capital a Instituciones Descentralizadas no Empresariales</t>
  </si>
  <si>
    <t>7.01.04</t>
  </si>
  <si>
    <t>Transferencias de capital a Gobiernos Locales</t>
  </si>
  <si>
    <t>7.01.05</t>
  </si>
  <si>
    <t>Transferencias de capital a Empresas Públicas no Financieras</t>
  </si>
  <si>
    <t>7.01.06</t>
  </si>
  <si>
    <t>Transferencias de capital a Instituciones Públicas Financieras</t>
  </si>
  <si>
    <t>7.01.07</t>
  </si>
  <si>
    <t xml:space="preserve">Fondos en fideicomiso para gasto de capital </t>
  </si>
  <si>
    <t>2.3.2</t>
  </si>
  <si>
    <t>Transferencias de capital al Sector Privado</t>
  </si>
  <si>
    <t>7.02</t>
  </si>
  <si>
    <t>TRANSFERENCIAS DE CAPITAL  A PERSONAS</t>
  </si>
  <si>
    <t>7.02.01</t>
  </si>
  <si>
    <t>Transferencias de capital a personas</t>
  </si>
  <si>
    <t>7.03</t>
  </si>
  <si>
    <t>TRANSFERENCIAS DE CAPITAL  A ENTIDADES PRIVADAS SIN FINES DE LUCRO</t>
  </si>
  <si>
    <t>7.03.01</t>
  </si>
  <si>
    <t>Transferencias de capital a asociaciones</t>
  </si>
  <si>
    <t>7.03.02</t>
  </si>
  <si>
    <t xml:space="preserve">Transferencias de capital a fundaciones   </t>
  </si>
  <si>
    <t>7.03.03</t>
  </si>
  <si>
    <t>Transferencias de capital a cooperativas</t>
  </si>
  <si>
    <t>7.03.99</t>
  </si>
  <si>
    <t>Transferencias de capital a otras entidades privadas sin fines de lucro</t>
  </si>
  <si>
    <t>7.04</t>
  </si>
  <si>
    <t>TRANSFERENCIAS DE CAPITAL  A EMPRESAS PRIVADAS</t>
  </si>
  <si>
    <t>7.04.01</t>
  </si>
  <si>
    <t>Transferencias de capital a empresas privadas</t>
  </si>
  <si>
    <t>2.3.3</t>
  </si>
  <si>
    <t>Transferencias de capital al Sector Externo</t>
  </si>
  <si>
    <t>7.05</t>
  </si>
  <si>
    <t>TRANSFERENCIAS DE CAPITAL  AL SECTOR EXTERNO</t>
  </si>
  <si>
    <t>7.05.01</t>
  </si>
  <si>
    <t>Transferencias de capital  a Organismos Internacionales</t>
  </si>
  <si>
    <t>7.05.02</t>
  </si>
  <si>
    <t>Otras transferencias de capital al sector externo</t>
  </si>
  <si>
    <t>TRANSACCIONES FINANCIERAS</t>
  </si>
  <si>
    <t>ACTIVOS FINANCIEROS</t>
  </si>
  <si>
    <t>3.1</t>
  </si>
  <si>
    <t>CONCESIÓN DE PRÉSTAMOS</t>
  </si>
  <si>
    <t>4.01</t>
  </si>
  <si>
    <t>PRÉSTAMOS</t>
  </si>
  <si>
    <t>4.01.01</t>
  </si>
  <si>
    <t>Préstamos al Gobierno Central</t>
  </si>
  <si>
    <t>4.01.02</t>
  </si>
  <si>
    <t>Préstamos a Órganos Desconcentrados</t>
  </si>
  <si>
    <t>4.01.03</t>
  </si>
  <si>
    <t>Préstamos a Instituciones Descentralizadas no  Empresariales</t>
  </si>
  <si>
    <t>4.01.04</t>
  </si>
  <si>
    <t>Préstamos a Gobiernos Locales</t>
  </si>
  <si>
    <t>4.01.05</t>
  </si>
  <si>
    <t>Préstamos a Empresas Públicas no Financieras</t>
  </si>
  <si>
    <t>4.01.06</t>
  </si>
  <si>
    <t>Préstamos a Instituciones Públicas Financieras</t>
  </si>
  <si>
    <t>4.01.07</t>
  </si>
  <si>
    <t>Préstamos al Sector Privado</t>
  </si>
  <si>
    <t>4.01.08</t>
  </si>
  <si>
    <t>Préstamos al  Sector Externo</t>
  </si>
  <si>
    <t>3.2</t>
  </si>
  <si>
    <t>ADQUISICIÓN DE VALORES</t>
  </si>
  <si>
    <t>4.02</t>
  </si>
  <si>
    <t>4.02.01</t>
  </si>
  <si>
    <t>Adquisición de valores del Gobierno Central</t>
  </si>
  <si>
    <t>4.02.02</t>
  </si>
  <si>
    <t>Adquisición de valores de Órganos Desconcentrados</t>
  </si>
  <si>
    <t>4.02.03</t>
  </si>
  <si>
    <t>Adquisición de valores de Instituciones Descentralizadas no Empresariales</t>
  </si>
  <si>
    <t>4.02.04</t>
  </si>
  <si>
    <t>Adquisición de valores de Gobiernos Locales</t>
  </si>
  <si>
    <t>4.02.05</t>
  </si>
  <si>
    <t>Adquisición de valores de Empresas Públicas no Financieras</t>
  </si>
  <si>
    <t>4.02.06</t>
  </si>
  <si>
    <t xml:space="preserve">Adquisición de valores de Instituciones Públicas  Financieras </t>
  </si>
  <si>
    <t>4.02.07</t>
  </si>
  <si>
    <t>Adquisición de valores del Sector Privado</t>
  </si>
  <si>
    <t>4.02.08</t>
  </si>
  <si>
    <t>Adquisición de valores del Sector Externo</t>
  </si>
  <si>
    <t>3.3</t>
  </si>
  <si>
    <t>AMORTIZACIÓN</t>
  </si>
  <si>
    <t xml:space="preserve">AMORTIZACION </t>
  </si>
  <si>
    <t>3.3.1</t>
  </si>
  <si>
    <t>Amortización interna</t>
  </si>
  <si>
    <t>8.01</t>
  </si>
  <si>
    <t>AMORTIZACIÓN DE TÍTULOS VALORES</t>
  </si>
  <si>
    <t>8.01.01</t>
  </si>
  <si>
    <t>Amortización de títulos valores internos de corto plazo</t>
  </si>
  <si>
    <t>8.01.02</t>
  </si>
  <si>
    <t>Amortización de títulos valores internos de largo plazo</t>
  </si>
  <si>
    <t>8.02</t>
  </si>
  <si>
    <t>AMORTIZACIÓN DE PRÉSTAMOS</t>
  </si>
  <si>
    <t>8.02.01</t>
  </si>
  <si>
    <t>Amortización de préstamos del  Gobierno Central</t>
  </si>
  <si>
    <t>8.02.02</t>
  </si>
  <si>
    <t>Amortización de préstamos de Órganos Desconcentrados</t>
  </si>
  <si>
    <t>8.02.03</t>
  </si>
  <si>
    <t>Amortización de préstamos de Instituciones Descentralizadas no Empresariales</t>
  </si>
  <si>
    <t>8.02.04</t>
  </si>
  <si>
    <t>Amortización de préstamos de  Gobiernos Locales</t>
  </si>
  <si>
    <t>8.02.05</t>
  </si>
  <si>
    <t>Amortización de préstamos de Empresas Públicas no Financieras</t>
  </si>
  <si>
    <t>8.02.06</t>
  </si>
  <si>
    <t xml:space="preserve">Amortización de préstamos de Instituciones Públicas Financieras </t>
  </si>
  <si>
    <t>8.02.07</t>
  </si>
  <si>
    <t>Amortización de préstamos del Sector Privado</t>
  </si>
  <si>
    <t>8.03</t>
  </si>
  <si>
    <t>AMORTIZACIÓN DE OTRAS OBLIGACIONES</t>
  </si>
  <si>
    <t>8.03.01</t>
  </si>
  <si>
    <t>Amortización de otras obligaciones</t>
  </si>
  <si>
    <t>3.3.2</t>
  </si>
  <si>
    <t>Amortización externa</t>
  </si>
  <si>
    <t>8.01.03</t>
  </si>
  <si>
    <t>Amortización de títulos valores del sector externo de corto plazo</t>
  </si>
  <si>
    <t>8.01.04</t>
  </si>
  <si>
    <t>Amortización de títulos valores del sector externo de largo plazo</t>
  </si>
  <si>
    <t>8.02.08</t>
  </si>
  <si>
    <t>Amortización de préstamos de Sector Externo</t>
  </si>
  <si>
    <t>3.4</t>
  </si>
  <si>
    <t>OTROS ACTIVOS FINANCIEROS</t>
  </si>
  <si>
    <t>4.99</t>
  </si>
  <si>
    <t>4.99.01</t>
  </si>
  <si>
    <t>Aportes de Capital a Empresas</t>
  </si>
  <si>
    <t>4.99.99</t>
  </si>
  <si>
    <t>Otros activos financieros</t>
  </si>
  <si>
    <t>SUMAS SIN ASIGNACIÓN</t>
  </si>
  <si>
    <t>SUMAS SIN ASIGNACIÓN PRESUPUESTARIA</t>
  </si>
  <si>
    <t>Sumas libres sin asignación presupuestaria</t>
  </si>
  <si>
    <t>Sumas con destino específico sin asignación presupuestaria</t>
  </si>
  <si>
    <t>CLAS</t>
  </si>
  <si>
    <t xml:space="preserve">Diferencias salariales que se reconocen a los funcionarios en forma adicional a su salario habitual, que se derivan del reconocimiento por asumir en forma temporal los deberes y responsabilidades de un cargo de nivel superior por ausencia de su titular. </t>
  </si>
  <si>
    <t>Se contempla el alquiler de los vehículos requeridos para el operativo de campo de la institución.</t>
  </si>
  <si>
    <t xml:space="preserve">Suma requerida para el pago del servicio de envío y recepción de documentos y materiales hacia las distintas zonas de trabajo de campo, mediante contrato según demanda por 4 años con la empresa Correos de Costa Rica. </t>
  </si>
  <si>
    <t>Recursos necesarios para publicaciones institucionales en la Gaceta</t>
  </si>
  <si>
    <t>Corresponde al pago de comisiones y gastos financieros a entidades bancarias por concepto de transferencias bancarias, uso de la Plataforma de compras SICOP y otros.</t>
  </si>
  <si>
    <t>Recursos para atender representaciones internacionales por parte del Despacho Gerencia</t>
  </si>
  <si>
    <t>Se requiere para el mantenimiento habitual de las instalaciones y remodelaciones internas menores y cumplimiento de la Ley 7600</t>
  </si>
  <si>
    <t>Contempla parte de los recursos necesarios para los gastos por mantenimiento y reparación preventiva y habitual de los vehículos que son utilizados en las diferentes etapas de las Encuestas.</t>
  </si>
  <si>
    <t>Pago de los derechos de circulación de vehículos (Marchamo) de los vehículos institucionales</t>
  </si>
  <si>
    <t>Corresponde a una provisión mínima requerida para el pago eventual de deducibles en caso de accidentes de tránsito de alguno de los vehículos asegurados de la institución.</t>
  </si>
  <si>
    <t>Recursos necesarios para compara de insumos para las brigadas de emergencia, guantes, cinta adhesivas para la seguridad de los funcionarios</t>
  </si>
  <si>
    <t>Conforme a los artículos 167 y 168 del Código Procesal Contencioso Administrativo, es necesario presupuestar un monto estimado para la atención de indemnizaciones por la eventual cancelación de obligaciones judiciales con sentencia en firme.</t>
  </si>
  <si>
    <t>Se consideran recursos para el pago del servicio de agua potable, estimación se realiza de acuerdo al espacio asignado y estimación consumo según del personal del programa.</t>
  </si>
  <si>
    <t xml:space="preserve">Para cubrir el pago de peajes, parqueos y taxis ante posibles eventualidades en donde funcionarios (as) del Área del SEN, deben asistir a talleres, reuniones, capacitaciones y otras actividades propias de sus funciones, para las cuales en ocasiones no se cuenta con el servicio de transporte institucional disponible en el momento. </t>
  </si>
  <si>
    <t>Materiales requeridos para la impresión de gafetes</t>
  </si>
  <si>
    <t>Cancelación de tiempo extraordinario del personal que labora para el programa y proyectos que deba realizara trabajos extraordinarios fuera del tiempo laboral</t>
  </si>
  <si>
    <t>Alquiler de Servidores Virtuales para Censo Piloto. Alquiler de 10 servidores virtuales durante 3 meses para el Censo 2021</t>
  </si>
  <si>
    <t>Considera el pago de servicio de traslado nacional e internacional de toda clase de correspondencia postal, alquiler de apartados postales y adquisición de estampillas.</t>
  </si>
  <si>
    <t>Se consideran recursos para realizar una medicina preventiva en los puestos de trabajo de centro de llamadas, aparte de los aspectos de ergonomía, dentro de la medicina preventiva, es importante realizarles a los trabajadores la audiometría de rastreo, para poder evidenciar a futuro si el uso o carga de trabajo influye en la pérdida de la audición de los trabajadores. Recomendado por el doctor.</t>
  </si>
  <si>
    <t>Corresponde al pago de prestaciones legales de los funcionarios de los diferentes proyectos que se realizan en el INEC,  según lo establece la Ley cuando terminan la relación laboral en los proyectos o en el caso que se presentara alguna renuncia o despido con responsabilidad patronal.</t>
  </si>
  <si>
    <t>Participar en la Feria del Libro, se necesita alquilar un stand espacioso para poner pantalla táctil y poder divulgar el Censo Nacional2021. Es un espacio donde se aprovecha para promocionar los servicios y productos que produce el INEC.</t>
  </si>
  <si>
    <t>Para informar el quehacer institucional es necesario imprimir material divulgativo para llevar a la feria del libro así poder entregarle a los que nos visitan en el stand.</t>
  </si>
  <si>
    <t>Mantenimiento preventivo de guillotina eléctrica y afilado de cuchilla. Modelo Máxima 480V6 V8.2. Se requiere que el equipo este funcionando correctamente para el refilado de los diferentes trabajos que se reproducen para la promoción y divulgación de los productos institucionales tales como: boletines, folletos, libros, tarjetas de presentación entre otros.</t>
  </si>
  <si>
    <t>Mantenimiento de impresora RICOH SP C830DNA. Se requiere para que el equipo este funcionando correctamente durante la reproducción de los diferentes trabajos para la promoción y divulgación de los productos institucionales tales como: boletines, folletos, libros, tarjetas de presentación entre otros.</t>
  </si>
  <si>
    <t>Se contempla la compra repuestos para vehículos, así como repuestos que se requieren para el buen funcionamiento de los equipo institucionales</t>
  </si>
  <si>
    <t xml:space="preserve">Para continuar con el plan de sustitución y reemplazar la silla de seis funcionarios las cuales se encuentran en mal estado por uso diario, estas sillas cumplen los requerimientos de ergonomía </t>
  </si>
  <si>
    <t>Consultoría Jurídica en lo referente a los términos la  contratación del personal censista que participara en el Censo Nacional</t>
  </si>
  <si>
    <t>Recursos para la compra de microondas para el ingreso de mas personal por motivo del Censo Nacional , además se requiere la sustitución de otros que se han dañado por el uso constante, y para la compra de extintores de vehículos</t>
  </si>
  <si>
    <t>Transferencias Corrientes del Gobierno Central (Primas de Seguros)</t>
  </si>
  <si>
    <t xml:space="preserve">   TRANSFERENCIAS CTES DEL GOBIERNO CENTRAL (PRIMAS DE SEGUROS)</t>
  </si>
  <si>
    <t>Transferencias Ctes de Instituciones Descentralizadas No Empresariales</t>
  </si>
  <si>
    <t>Recursos del Banco Mundial para la elaboración del Sistema Integrado de Encuesta a Hogares (SIEH)</t>
  </si>
  <si>
    <t>CONTRIBUC. PATRONALES FONDOS DE PENSIONES Y OTROS FONDOS DE CAPITALIZAC.</t>
  </si>
  <si>
    <t>CONTRIBUC. PATRONALES FONDOS DE PENSIONES Y OTROS FONDOS DE CAPITALIZACION</t>
  </si>
  <si>
    <t>Transferencias corrientes del Ejercicio del Gobierno Central. Ley N° 9694</t>
  </si>
  <si>
    <t xml:space="preserve">Recursos del Instituto Nacional de la Mujer (INAMU) para el financiamiento de la Encuesta Nacional de Violencia contra la Mujer. </t>
  </si>
  <si>
    <t>Remuneración básica o salario base que se otorga al personal que sustituye temporalmente al titular de un puesto, que se encuentra ausente por motivo de licencias, vacaciones, incapacidades u otros que impliquen el goce de salario del titular, por un periodo predefinido e implica relación laboral con la institución.</t>
  </si>
  <si>
    <t>Cancelación de tiempo extraordinario del personal que labora para el programa o proyecto para labores de informes trimestrales y posible carga por el paralelo de la implementación de Sistema Administrativo Financiero,  el cual deba realizarse trabajos extraordinarios</t>
  </si>
  <si>
    <t>Comprende los recursos para la compra de agua, café, galletas y bocadillos necesarios para la atención de reuniones de colaboradores y  funcionarios de otras instituciones en actividades oficiales, así como la atención de las reuniones del Consejo Directivo</t>
  </si>
  <si>
    <t>Cancelación de tiempo extraordinario del personal que labora para el programa, para labores fuera del horario de oficina tales como la feria del libro u otra actividad de promoción o divulgación del INEC.</t>
  </si>
  <si>
    <t>Transferencias corrientres de Institutciones Desc no Empresariales</t>
  </si>
  <si>
    <t xml:space="preserve"> Ingresos por Venta de Servicios proyectados para el próximo año, con el fin de financiar actividades propuestas para el próximo año. 
</t>
  </si>
  <si>
    <t xml:space="preserve">Proyecto de Inversión </t>
  </si>
  <si>
    <t>PRESUPUESTO ORDINARIO 2021</t>
  </si>
  <si>
    <t>Presupuesto Ordinario 2021</t>
  </si>
  <si>
    <t xml:space="preserve"> 002319 XI Censo Nacional de Población y VII de Vivienda 2021</t>
  </si>
  <si>
    <t>Servicio de acompañamiento de un administrador de proyectos para la verificación, control y seguimiento de cumplimiento de la implementación del SIAF reflejado en la inclusión e integración del módulo de activos y la interfaz con SICOP. Ese administrador ejercerá la función de facilitador técnico entre el INEC y OPTEC, con el fin de que durante el proyecto vele por la ejecución del cronograma y plan de servicio por parte de los responsables. Actualmente no se cuenta con el recurso humano interno que colabore con esa gestión necesaria para la Unidad de Proveeduría.</t>
  </si>
  <si>
    <t>Para reuniones y talleres que se llevan a cabo como parte de las funciones de coordinación de las entidades del Sistema Estadístico Nacional (SEN).</t>
  </si>
  <si>
    <t>Recursos según el plan de sustitución de diademas para poder realizar y recibir  llamadas IP ,el cual es una herramienta para el adecuado cumplimiento de sus funciones.</t>
  </si>
  <si>
    <t xml:space="preserve">Recursos para el mantenimiento y la reparación de línea blanca , que por el constante uso se deteriora </t>
  </si>
  <si>
    <t>Para la compra y sustitución de sillas ya que se encuentran dañadas por el uso constante,  estas sillas deben ser ergonómica 100% (cervical y lumbar), avalada por la comisión de salud ocupacional, así como mobiliario de oficina que se debe sustituir.</t>
  </si>
  <si>
    <t>Para el mantenimiento preventivo y habitual de oficinas, bodegas reparación de los sistemas eléctricos y telefónicos, así como la adquisición de mouse y teclados que se deben de sustituir por el deterioro en el uso diario.</t>
  </si>
  <si>
    <t>Compra de candados de seguridad para las computadoras portátiles.</t>
  </si>
  <si>
    <t>Cancelación de prestaciones legales del personal que termina contrato en el año 2021</t>
  </si>
  <si>
    <t>Transferencias Corrientes del Gobierno Central (Censo Nacional)</t>
  </si>
  <si>
    <t>Estimado</t>
  </si>
  <si>
    <t>Acumulado Labor Ordinario</t>
  </si>
  <si>
    <t>Acumulado Ley 9694</t>
  </si>
  <si>
    <t>CNPV</t>
  </si>
  <si>
    <t>PNUD</t>
  </si>
  <si>
    <t>ENADIS</t>
  </si>
  <si>
    <t>CONAPE</t>
  </si>
  <si>
    <t xml:space="preserve">Contempla los gastos por concepto de mantenimiento y reparaciones preventivas y habituales de computadoras tanto la parte física como en el conjunto de programas en funcionamiento, sus equipos auxiliares y otros. </t>
  </si>
  <si>
    <t xml:space="preserve">Pago administrativo de los dispositivos quick pass por concepto de peaje. </t>
  </si>
  <si>
    <t>Comprende los recursos para la compra de agua, café, galletas y bocadillos necesarios para la atención de funcionarios de otras instituciones en actividades oficiales, incluido el Censo Nacional de Población y Vivienda</t>
  </si>
  <si>
    <t xml:space="preserve">Para organizar la actividad con la participación de todo el sector del Sistema de Estadística Nacional.
Para actividades con diferentes actores sociales, a partir de la estrategia para impulsar la cultura estadística.
Con la Política de Servicio a la ciudadanía el INEC se compromete a mejorar el acceso a la información y demás servicios que ofrece para el conocimiento de la realidad nacional y la toma informada de decisiones.  En un contexto de modernización institucional donde se incrementan las necesidades por las estadísticas nacionales, es indispensable mejorar y expandir los medios y contenidos de la comunicación estadística institucional, que no sólo contemple la difusión y promoción, sino también su acceso y uso. De ahí que impulsar la cultura estadística mediante acciones estratégicas con los distintos actores sociales, requiere de la organización de una serie de actividades protocolarias, para sensibilizar a grupos de interés y ejecutar una serie de acciones para promover el acceso y uso de la producción estadística oficial. </t>
  </si>
  <si>
    <t>Para la adquisición de computadoras según el plan de sustitución de equipo de computo realizado por la Unidad Técnica de Sistemas de Información</t>
  </si>
  <si>
    <t>Para el pago de Cuotas a Organismos Internacionales, según corresponde al Instituto establecido en la Ley 3418 artículo 1° proyectado en base a los gastos administrativos del año 2017 según lo establece el artículo 2° de la mencionada ley.</t>
  </si>
  <si>
    <t xml:space="preserve">Recursos necesarios para la  suscripción de anualmente de periódicos La Nación, República, El Financiero, Semanario Universitario. Para tener acceso a las noticias en forma real en los medios digitales, ofrecerle a los usuarios internos y externo los periódicos de forma impresa </t>
  </si>
  <si>
    <t xml:space="preserve">Transferencias corrientes del Ejercicio del Gobierno Central. Aporte Ley N° 9694, </t>
  </si>
  <si>
    <t>Transferencias corrientes del Ejercicio del Gobierno Central. Aporte Ley N°9694</t>
  </si>
  <si>
    <t>Becas</t>
  </si>
  <si>
    <t>Transferencias corrientes del Ejercicio del Gobierno Central. (CNPV)</t>
  </si>
  <si>
    <t>ENAHO  Estimado</t>
  </si>
  <si>
    <t>CONAPE Estimado</t>
  </si>
  <si>
    <t xml:space="preserve">Transferencias corrientes el Presupuesto Nacional de la Republica, para la realización del XI Censo Nacional de Población y VII de vivienda </t>
  </si>
  <si>
    <t xml:space="preserve">   TRANSFERENCIAS CTES DEL GOBIERNO CENTRAL (CNPV)</t>
  </si>
  <si>
    <t>Erogaciones por concepto de multas e intereses, por atrasos en pago de sus obligaciones</t>
  </si>
  <si>
    <t>Recursos para el pago del alquiler del servicio virtual en la nube</t>
  </si>
  <si>
    <t>Presupuesto Ordinario 2022</t>
  </si>
  <si>
    <t>PRESUPUESTO ORDINARIO 2022</t>
  </si>
  <si>
    <t xml:space="preserve">Mantenimiento, soporte, actualizaciones y migraciones de versiones de Argos Sistema Integrado de Auditoría y de Plotter </t>
  </si>
  <si>
    <t>Pago administrativo de los dispositivos quick pass por concepto de peaje.</t>
  </si>
  <si>
    <t>Compra de microondas para sustituir el dañado por el uso.</t>
  </si>
  <si>
    <t>Para el mantenimiento preventivo y habitual de las oficinas del Instituto en el cambio o sustitución de ventanas, celosías, vidrios de seguridad entre otros</t>
  </si>
  <si>
    <t>Requerido para la encuadernado de los ejemplares de estadísticas vitales impresión de manuales, hojas de control, cuestionarios, entre otros documentos requeridos para trabajo de campo, se  contempla la impresión de los cuestionarios, brochure, carta de presentación, instructivos para el personal  entrevistador, supervisor y  crítico-codificador para los diferentes encuestas de la labor ordinaria, proyectos . Asimismo, se estima  la impresión  de  publicaciones para la divulgación de resultados finales de diferentes encuestas,  requiere fotocopiado de material,  manuales de entrevistador, supervisor, codificación, validación,  además la impresión de las boletas, Carta del Entrevistador y Bitácoras, además de los ejemplares sobre resultado, Impresión de Boletas, Brochure.</t>
  </si>
  <si>
    <t>Se requiere  para el pago de grúas para remolcar vehículos que estén realizando trabajo de campo de alguna proyecto estadístico y sufra alguna fallas mecánica, o quede varado en terrenos difíciles de transitar.  Recursos para eventuales pagos de bote, ferry, panga, canoa, lancha y similares, debido a las particularidades de la operación estadística .</t>
  </si>
  <si>
    <t>Se requieren recursos para la cancelación de los rubros de alimentación (desayuno, almuerzo y cena) y hospedaje para el trabajo de campo en el levantamiento de la información de los diferentes proyectos de este programa y de levantamiento cartográfico.</t>
  </si>
  <si>
    <t>Se considera el pago de peajes y pasajes necesarios durante el operativo de campo de los diferentes Proyectos de este programa .</t>
  </si>
  <si>
    <t>Gastos correspondientes a las actividades de capacitación del personal nuevo de trabajo de campo de los diferentes proyectos estadísticos., dado que es indispensable capacitarlos en conceptos técnicos, los cuales son fundamentales para sus labores en campo.</t>
  </si>
  <si>
    <t>Recursos según el plan de sustitución  de diademas para poder realizar y recibir  llamadas IP ,el cual es una herramienta para el adecuado cumplimiento de sus funciones.</t>
  </si>
  <si>
    <t xml:space="preserve">Se consideran recursos para el pago del servicio de agua potable, estimación se realiza de acuerdo al espacio asignado y estimación consumo según del personal del programa </t>
  </si>
  <si>
    <t>Suscripción anual digital a periódicos de circulación nacional. Es indispensable tener con una alta oportunidad el acceso a las noticias de relevancia nacional e internacional, que pueden tener impacto en el quehacer institucional, tanto para dar seguimiento a las publicaciones de los resultados, su uso e interpretación de los medios de comunicación, como por otros públicos institucionales.  Actualmente, los medios de comunicación son una plataforma de acceso a la ciudadanía que multiplican la divulgación del INEC, razón por la cual el contar con acceso ilimitado a todas noticias en tiempo real en los medios digitales es sumamente valioso y prioritario. Asimismo, es necesario conocer el entorno económico y social de la producción institucional y por ello el acceso a estos medios es considerado como una herramienta fundamental.</t>
  </si>
  <si>
    <t xml:space="preserve">Continuidad del servicio de desarrollo e implementación del nuevo sitio web del INEC.  Se requiere que el sitio web satisfaga las demandas de la población usuaria en forma fácil y accesible. La mejora del sitio se desarrolla en varias etapas, unas realizadas en el 2020 y otras propias de la implementación que se llevarán a cabo en el 2021 y 2022. Es importante recordar que el actual sitio fue diseñado en el 2015, bajo análisis de mercado y con las plataformas existentes en el momento, aunado a un acelerado cambio en recursos tecnológicos y un fuerte incremento de la demanda de nuestras estadísticas. Además el sitio actual obtuvo una baja calificación por parte del OTAI y el INCAE, en lo que a posibilidades de acceso para personas con discapacidad se refiere.  </t>
  </si>
  <si>
    <t>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t>
  </si>
  <si>
    <t>PRESUPUESTO ORDINARIO 2020</t>
  </si>
  <si>
    <t>Transferencias corrientes del Ejercicio del Gobierno Central. (Primas de seguros)  Ley N° 9694</t>
  </si>
  <si>
    <t>Transferencias Ctes de Instituciones Públicas Financieras Ley N° 9694</t>
  </si>
  <si>
    <t>Evolución del Gasto 2020-2021-2022</t>
  </si>
  <si>
    <t xml:space="preserve">En cumplimiento  ley no. 9694 publicado el 13 de junio del 2019 específicamente en su "artículo 53- Todos los recursos que el INEC genere como superávit libre y todos los rendimientos que perciba por inversiones financieras constituirán una reserva destinada exclusivamente al financiamiento de todos los costos de los censos nacionales o la revisión y actualización de las metodologías utilizadas en la producción de las estadísticas oficiales.
El INEC deberá establecer una planificación con enfoque plurianual, de acuerdo con sus competencias y finalidades.
Con base en ella, realizará las previsiones presupuestarias para todos los años de dicha planificación, con lo que se comprometen los recursos superavitarios en reserva, indicados en el párrafo anterior.
Estos recursos específicos quedan exceptuados de lo dispuesto por la Ley N.° 9371, Eficiencia en la Administración de los Recursos Públicos, de 28 de junio de 2006; excepto cuando dichos recursos no se presupuesten durante los dos años siguientes al plazo determinado por el INEC, para la realización de las
actividades indicadas en este artículo. "
Todo superávit que genere el INEC será considerado como especifico según lo determinado en el pronunciamiento de la Procuraduría General de la República, N.° C-465-2020 de 25 de noviembre de 2020
Recursos para ser modificados en cumplimiento de la regla fiscal, como parte de  limite de crecimiento del gasto corriente en el proceso de ejecución y así cubrir algunas necesidades propias del programa </t>
  </si>
  <si>
    <t xml:space="preserve"> En cumplimiento  ley no. 9694 publicado el 13 de junio del 2019 específicamente en su "artículo 53- Todos los recursos que el INEC genere como superávit libre y todos los rendimientos que perciba por inversiones financieras constituirán una reserva destinada exclusivamente al financiamiento de todos los costos de los censos nacionales o la revisión y actualización de las metodologías utilizadas en la producción de las estadísticas oficiales.
El INEC deberá establecer una planificación con enfoque plurianual, de acuerdo con sus competencias y finalidades.
Con base en ella, realizará las previsiones presupuestarias para todos los años de dicha planificación, con lo que se comprometen los recursos superavitarios en reserva, indicados en el párrafo anterior.
Estos recursos específicos quedan exceptuados de lo dispuesto por la Ley N.° 9371, Eficiencia en la Administración de los Recursos Públicos, de 28 de junio de 2006; excepto cuando dichos recursos no se presupuesten durante los dos años siguientes al plazo determinado por el INEC, para la realización de las
actividades indicadas en este artículo. "
Todo superávit que genere el INEC será considerado como especifico según lo determinado en el pronunciamiento de la Procuraduría General de la República, N.° C-465-2020 de 25 de noviembre de 2020
Recursos para ser modificados en cumplimiento de la regla fiscal, como parte de  limite de crecimiento del gasto corriente en el proceso de ejecución, y así cubrir algunas necesidades propias del programa </t>
  </si>
  <si>
    <t>4</t>
  </si>
  <si>
    <t>En cumplimiento  ley no. 9694 publicado el 13 de junio del 2019 específicamente en su "artículo 53- Todos los recursos que el INEC genere como superávit libre y todos los rendimientos que perciba por inversiones financieras constituirán una reserva destinada exclusivamente al financiamiento de todos los costos de los censos nacionales o la revisión y actualización de las metodologías utilizadas en la producción de las estadísticas oficiales.
El INEC deberá establecer una planificación con enfoque plurianual, de acuerdo con sus competencias y finalidades.
Con base en ella, realizará las previsiones presupuestarias para todos los años de dicha planificación, con lo que se comprometen los recursos superavitarios en reserva, indicados en el párrafo anterior.
Estos recursos específicos quedan exceptuados de lo dispuesto por la Ley N.° 9371, Eficiencia en la Administración de los Recursos Públicos, de 28 de junio de 2006; excepto cuando dichos recursos no se presupuesten durante los dos años siguientes al plazo determinado por el INEC, para la realización de las
actividades indicadas en este artículo. "
Todo superávit que genere el INEC será considerado como especifico según lo determinado en el pronunciamiento de la Procuraduría General de la República, N.° C-465-2020 de 25 de noviembre de 2020
Se incluyen recursos para ser modificados en cumplimiento de la regla fiscal, como parte de  limite de crecimiento del gasto corriente en el proceso de ejecución y así cubrir algunas necesidades propias del programa, entre ellos plazas , servicios, materiales de los proyectos ENADEL, ENIHG y ENFIHO
Adicionalmente en esta subpartida se  incluyen recursos por  el monto de ¢2 200 millones para el financiamiento de la continuidad de las plazas del proyecto CNPV 2022, y de  los proyectos que se avalen financiar en el momento que el poder Legislativo apruebe la reforma a la ley que se presentó el  expediente 22.702, con el cual se ajusta la redacción del artículo 53 y adiciona un artículo 53 bis a la Ley del Sistema de Estadística Nacional (Ley 9694) para que la aplicación de la regla fiscal no impida la presupuestarían de los recursos necesarios para la ejecución del Censo y otros ejercicios estadísticos que tengan una periodicidad superior a los 2 años y se financien con los recursos de superávit que reserve el INEC.</t>
  </si>
  <si>
    <t>SUBPARTIDA</t>
  </si>
  <si>
    <t>0101 - SP101 Despacho gerencial</t>
  </si>
  <si>
    <t>0102 - SP102 Consejo Directivo</t>
  </si>
  <si>
    <t>0103 - SP103 Auditoría Interna</t>
  </si>
  <si>
    <t>0104 - SP104 Unidad de Planificación Institucional</t>
  </si>
  <si>
    <t>0105 - SP105 Unidad de Asesoría Jurídica</t>
  </si>
  <si>
    <t>0107 - SP107 Área de Administración y Finanzas</t>
  </si>
  <si>
    <t>0108 - SP108 Unidad de Finanzas</t>
  </si>
  <si>
    <t>0109 - SP109 Unidad de Proveeduría</t>
  </si>
  <si>
    <t>0110 - SP110 Unidad de Recursos Humanos</t>
  </si>
  <si>
    <t>0111 - SP111 Transportes</t>
  </si>
  <si>
    <t>0112 - SP112 Servicios y Mantenimiento</t>
  </si>
  <si>
    <t>0113 - SP113 Archivo</t>
  </si>
  <si>
    <t>0114 - SP114 Consultorio Médico</t>
  </si>
  <si>
    <t>0119 - SP119  Departamento de Tecnologías de información</t>
  </si>
  <si>
    <t>0120 - SP120 Departamento Administrativo Financiero</t>
  </si>
  <si>
    <t>01 - PROGRAMA 01: Administración Superior</t>
  </si>
  <si>
    <t>02 - PROGRAMA 02: Coordinación del Sistema Estadístico Nacional</t>
  </si>
  <si>
    <t>030101 - SP301 Área de Censos y Encuestas</t>
  </si>
  <si>
    <t>030102 - SP302 Encuesta Nacional de Hogares (ENAHO)</t>
  </si>
  <si>
    <t>030103 - SP303 Unidad de Estadísticas Demográficas</t>
  </si>
  <si>
    <t>030104 - SP304 Encuesta Continua de Empleo (ECE)</t>
  </si>
  <si>
    <t>030105 - SP305 Encuesta Nacional de Microempresas y Hogares (ENAMEH)</t>
  </si>
  <si>
    <t>030107 - SP307 Unidad de Diseño, análisis y operaciones</t>
  </si>
  <si>
    <t>030108 - SP308 Unidad de Cartografía</t>
  </si>
  <si>
    <t>030109 - SP309 Muestreo</t>
  </si>
  <si>
    <t>030213 - SP313 Área de Estadísticas Continuas</t>
  </si>
  <si>
    <t>030214 - SP314 Unidad de Índice de Precios</t>
  </si>
  <si>
    <t>030215 - SP315 Encuesta Nacional Agropecuaria (ENA)</t>
  </si>
  <si>
    <t>030217 - SP317 Directorio de Empresas y Establecimientos (DEE)</t>
  </si>
  <si>
    <t>030218 - SP318 Unidad de Estadísticas Económicas</t>
  </si>
  <si>
    <t>030222 - SP322 Encuesta Económica de Empresa</t>
  </si>
  <si>
    <t>030234 - SP334 Enc. Registro Estadistico de Poblacion</t>
  </si>
  <si>
    <t>03 - PROGRAMA 03: Producción Estadística</t>
  </si>
  <si>
    <t>0401 - SP401 Área de Información y Divulgación Estadística</t>
  </si>
  <si>
    <t>0402 - SP402 Centro de Información</t>
  </si>
  <si>
    <t>0403 - SP403 Producción Gráfica</t>
  </si>
  <si>
    <t>0404 - SP404 Biblioteca</t>
  </si>
  <si>
    <t>0405 - SP405 Comunicación</t>
  </si>
  <si>
    <t>0406 - SP406 Servicios de Información</t>
  </si>
  <si>
    <t>0407 - SP407 Difusión y Promoción</t>
  </si>
  <si>
    <t>04 - PROGRAMA 04: Divulgación y promoción de la producción estadí</t>
  </si>
  <si>
    <t>Sueldos para Cargos Fijos</t>
  </si>
  <si>
    <t>0.01 - REMUNERACIONES BASICAS</t>
  </si>
  <si>
    <t>0.02 - REMUNERACIONES EVENTUALES</t>
  </si>
  <si>
    <t>Decimotercer Mes</t>
  </si>
  <si>
    <t>0.03 - INCENTIVOS SALARIALES</t>
  </si>
  <si>
    <t>Contribución Patronal al Seguro de Salud de la Caja Costarricense del Seguro Social</t>
  </si>
  <si>
    <t>Contribución Patronal al Banco Popular y de Desarrollo Comunal</t>
  </si>
  <si>
    <t>0.04 - CONTRIBUCIONES PATRONALES AL DESARROLLO Y SEGURIDAD SOCIAL</t>
  </si>
  <si>
    <t>Contribución Patronal al Seguro de Pensiones  de la Caja Costarricense de Seguro Social</t>
  </si>
  <si>
    <t>Aporte Patronal al Régimen Obligatorio de Pensiones Complementarias</t>
  </si>
  <si>
    <t>0.05 - CONTRIBUCIONES PATRONALES A FONDOS DE PENSIONES Y OTROS FOND</t>
  </si>
  <si>
    <t>0 - REMUNERACIONES</t>
  </si>
  <si>
    <t>1.01 - ALQUILERES</t>
  </si>
  <si>
    <t>1.02.04.01</t>
  </si>
  <si>
    <t>(ICE) Servicio de telecomunicaciones</t>
  </si>
  <si>
    <t>1.02 - SERVICIOS BASICOS</t>
  </si>
  <si>
    <t>1.03 - SERVICIOS COMERCIALES Y FINANCIEROS</t>
  </si>
  <si>
    <t>Servicios Jurídicos</t>
  </si>
  <si>
    <t>1.04 - SERVICIOS DE GESTION Y APOYO</t>
  </si>
  <si>
    <t>1.05 - GASTOS DE VIAJE Y DE TRANSPORTE</t>
  </si>
  <si>
    <t>1.06.01.01</t>
  </si>
  <si>
    <t>Seguro de Riesgos del Trabajo (INS)</t>
  </si>
  <si>
    <t>1.06 - SEGUROS, REASEGUROS Y OTRAS OBLIGACIONES</t>
  </si>
  <si>
    <t>1.07 - CAPACITACION Y PROTOCOLO</t>
  </si>
  <si>
    <t>Mantenimiento y Reparación de Equipo de Transporte</t>
  </si>
  <si>
    <t>Mantenimiento y Reparación de Equipo de Comunicación</t>
  </si>
  <si>
    <t>Mantenimiento y Reparación de Equipo y Mobiliario de Oficina</t>
  </si>
  <si>
    <t>Mantenimiento y reparación de equipo de cómputo y  sistemas de información</t>
  </si>
  <si>
    <t>1.08 - MANTENIMIENTO Y REPARACION</t>
  </si>
  <si>
    <t>Otros Impuestos</t>
  </si>
  <si>
    <t>1.09 - IMPUESTOS</t>
  </si>
  <si>
    <t>1.99 - SERVICIOS DIVERSOS</t>
  </si>
  <si>
    <t>1 - SERVICIOS</t>
  </si>
  <si>
    <t>2.01 - PRODUCTOS QUIMICOS Y CONEXOS</t>
  </si>
  <si>
    <t>2.03 - MATERIALES Y PRODUCTOS DE USO EN LA CONSTRUCCIÓN Y MANTENIMI</t>
  </si>
  <si>
    <t>2.04 - HERRAMIENTAS, REPUESTOS Y ACCESORIOS</t>
  </si>
  <si>
    <t>Textiles y Vestuario</t>
  </si>
  <si>
    <t>Otros Utiles, Materiales y Suministros diversos</t>
  </si>
  <si>
    <t>2.99 - UTILES, MATERIALES Y SUMINISTROS DIVERSOS</t>
  </si>
  <si>
    <t>2 - MATERIALES Y SUMINISTROS</t>
  </si>
  <si>
    <t>5.01 - MAQUINARIA, EQUIPO Y MOBILIARIO</t>
  </si>
  <si>
    <t>5.99.03.01</t>
  </si>
  <si>
    <t>Derechos de autor</t>
  </si>
  <si>
    <t>5.99 - CONSTRUCCIONES, ADICIONES Y MEJORAS</t>
  </si>
  <si>
    <t>5 - BIENES DURADEROS</t>
  </si>
  <si>
    <t>6.01 - TRANSFERENCIAS CORRIENTES AL SECTOR PUBLICO</t>
  </si>
  <si>
    <t>6.02 - TRANSFERENCIAS CORRIENTES A PERSONAS</t>
  </si>
  <si>
    <t>6.03 - PRESTACIONES</t>
  </si>
  <si>
    <t>Otras Transferencias corrientes al Sector Externo</t>
  </si>
  <si>
    <t>6.07 - TRANSFERENCIAS CORRIENTES AL SECTOR EXTERNO</t>
  </si>
  <si>
    <t>6 - TRANSFERENCIAS CORRIENTES</t>
  </si>
  <si>
    <t>INEC</t>
  </si>
  <si>
    <t>osvaldo.vindas</t>
  </si>
  <si>
    <t>Reporte Clasificación de Gastos (CGR)</t>
  </si>
  <si>
    <t>Transferencias corrientes  de Instituciones Públicas Financieras BCCR. Aporte Ley N°9694</t>
  </si>
  <si>
    <t>Pago de dietas para los cinco miembros del Consejo Directivo, que sesionan una vez a la semana, lo que corresponde a 4 sesiones al mes y 48 sesiones al año. El monto que se paga actualmente   por dieta es de ¢57 022 a cada directivo.</t>
  </si>
  <si>
    <t>Se consideran recursos para el pago del servicio de agua potable, estimación se realiza de acuerdo al espacio asignado y estimación consumo según del personal del programa y recursos para realizar los análisis de agua potable  al menos 1 vez al año</t>
  </si>
  <si>
    <t>Se requieren recursos para el servicio de grúa para remolcar vehículos institucionales que por algún factor mecánico u otra sea requerido.</t>
  </si>
  <si>
    <t xml:space="preserve">OTROS ACTIVOS FINANCIEROS </t>
  </si>
  <si>
    <t>Salario Base de servicios especial para cubrir  plazas en cumplimiento del Decreto N°.43.542-MP-MICITT sobre la Emergencia Nacional en el Sector Público, debido a los cibercrímenes que han afectado la estructura de los Sistemas de Información de distintas instituciones del país.
Plaza requerida para el cumplimiento normativo y el fortalecimiento e implementación del Sistema Específico de Valoración del Riesgo Institucional (SEVRI) el INEC dispone del Marco orientador y metodología para la implementación del Sistema Específico de Valoración del Riesgo Institucional (SEVRI)</t>
  </si>
  <si>
    <t xml:space="preserve">Recursos para contratar la elaboración de presupuestos detallados de la construcción de edificios, a partir de los planos constructivos e información agregada de la estructura de costos de cada obra. Estos presupuestos deben tener un nivel de desagregación adecuado para clasificar los materiales, maquinaria, equipo y servicios según el nivel establecido de la clasificación estadística a utilizar.   
Se considera necesario para el rediseño de los Índice de Precios de la Construcción, los servicios de una contratación con el propósito de obtener la información requerida para definir los índices a calcular, sus estructuras y ponderaciones; sin esta información no es posible finalizar el rediseño de dichos indicadores. </t>
  </si>
  <si>
    <t>Considera recursos para el pago de alquiler de edificio Ana Lorena, según el espacio asignado para unidad o proyecto. Esta estimación se realiza con base real del primer semestre , proyectando  al segundo semestre</t>
  </si>
  <si>
    <t>Considera recursos para el pago de alquiler de edificio Ana Lorena, según el espacio asignado para unidad o proyecto. Esta estimación se realiza con base real del primer semestre , proyectando  al segundo semestre y considerando los proyectos nuevos</t>
  </si>
  <si>
    <t>Recursos para la compra de la cámara fotográfica digital marca PENTAX modelo K-70, por cuanto corresponde a la versión actualizada de la cámara que tiene asignada actualmente el ASIDE y al comprar este modelo se podrán aprovechar algunos accesorios de los cuales ya se dispone, funcionan perfectamente y son compatibles con el modelo del equipo por adquirir, a saber:  PENTAX AF 360 GFZ II FLASH,  SIGMA 10-20MM F3.5 EX DC HSM PENTAX lente gran angular, TARJETA SD 32 GB, estuche general con correa de mano y hombro, trípode y cabezal de trípode.
Cabe mencionar que la cámara asignada actualmente al ASIDE fue adquirida hace poco más de 15 años y ha venido presentando problemas de funcionamiento. Se le realizó una limpieza pero el problema persiste. Asimismo, se consultó con un proveedor para intentar repararla, obteniendo como respuesta, que por tratarse de un equipo de mucho años en el mercado, sería necesario enviarlo a revisión fuera del país, para ver si tiene arreglo.</t>
  </si>
  <si>
    <t xml:space="preserve">
La Ley 9694 establece en su artículo 53, la autorización (dada la naturaleza de la institución) de crear un fondo con los recursos que se reciben, que funcione de reserva destinada exclusivamente al financiamiento costos de los censos nacionales, de otras operaciones estadísticas con una periodicidad superior a los dos años y de la revisión y actualización de las metodologías utilizadas en la producción de las estadísticas oficiales.
Dada la periodicidad e inversión que requieren las diversas operaciones estadísticas, el Instituto ha desarrollado una planificación con enfoque plurianual, de acuerdo con sus competencias y finalidades, donde se proyecta el costo requerido para el desarrollo de las diversas operaciones y las previsiones presupuestarias que se requieren para cada año durante un periodo de 10 años. 
Por antes expuesto se incluye la siguiente meta en el POI "Reservado el 100% de los recursos destinados a la ejecución de proyectos estadísticos conforme al Plan Plurianual de Producción Estadística, a diciembre 2023."</t>
  </si>
  <si>
    <t xml:space="preserve">JUSTIFICACION DE LA CLASIFICACION DE INGRESOS </t>
  </si>
  <si>
    <t>Recursos que provienen de una partida con cargo al presupuesto del Banco Central de Costa Rica para el diseño y ejecución de diferentes proyectos relacionados con la producción de estadísticas básicas para el Sistema de Cuentas Nacionales de conformidad con lo establecido en la ley N° 9694 Sistema de Estadística Nacional publicada el 13 de junio 2019.</t>
  </si>
  <si>
    <t xml:space="preserve">Recursos de superávit específico, que se ha generado de las Transferencias corrientes de periodos anteriores, para continuar con el financiamiento de actividades según lo indicado en el artículo 53 y 53 bis de la ley 9694. </t>
  </si>
  <si>
    <t>Para la adquisición de computadoras e impresoras según el plan de sustitución y fortalecimiento del teletrabajo realizado por la Unidad Técnica de Sistemas de Información</t>
  </si>
  <si>
    <t>Consultoría por servicios profesionales  en el campo de las ciencias económicas como apoyo en la elaboración de una metodología para la identificación de nuevas demandas de información estadística.
Continuidad consultoría elaboración ENDE y PEN, así como los respectivos proyectos derivados y planes operativos para su desarrollo e implementación</t>
  </si>
  <si>
    <t xml:space="preserve">Se contempla el alquiler de vehículos requeridos para el operativo de campo de las encuestas, según la estimación realizada por el Proceso de Transportes, de acuerdo a la revisión de necesidades y planificación de vehículos </t>
  </si>
  <si>
    <t>Recursos para la elaboración de videos promocionales de la Encuesta Nacional de Ingresos y gastos (ENIGH), que realizará su trabaja de campo en el año 2024</t>
  </si>
  <si>
    <t>Para la adquisición de computadoras, tabletas , impresoras entre otras según el plan de sustitución de equipo de computo realizado por la Unidad Técnica de Sistemas de Información.</t>
  </si>
  <si>
    <t>0203 - SP203 Dirección de Rectoría de la Estadística Nacional</t>
  </si>
  <si>
    <t>030110 - SP310 Encuestas Especiales (ENUT)</t>
  </si>
  <si>
    <t>030221 - SP321 Sistema Integrado Encuesta a Hogares (SIEH) (CF)</t>
  </si>
  <si>
    <t>030227 - SP327 Censo Nac.Poblac. y Vivienda (CNPV) (SE)</t>
  </si>
  <si>
    <t>030237 - SP337 Enc. Nac. de Demanda Lab. Comercio (ENADEL) (CF)</t>
  </si>
  <si>
    <t>030238 - SP338 Censos Nacionales (CF)</t>
  </si>
  <si>
    <t>030239 - SP339 Sistema Integrado Encuesta a Hogares (SIEH) (SE)</t>
  </si>
  <si>
    <t>030243 - SP343 SERVICIOS ESPECIALES (CF)</t>
  </si>
  <si>
    <t>Mantenimiento y Reparación de Otros Equipos</t>
  </si>
  <si>
    <t>26/07/2023 09:16:20</t>
  </si>
  <si>
    <t>Página 1 de 8</t>
  </si>
  <si>
    <t>PRESUPUESTO DE EGRESOS 2024</t>
  </si>
  <si>
    <t>AÑO 2024</t>
  </si>
  <si>
    <t>PRESUPUESTO ORDINARIO - AÑO 2024</t>
  </si>
  <si>
    <t>Clasificación de Ingresos 2024</t>
  </si>
  <si>
    <t>Ingresos 2024</t>
  </si>
  <si>
    <t>INGRESOS AÑO 2024</t>
  </si>
  <si>
    <t>PRESUPUESTO ORDINARIO AÑO 2024</t>
  </si>
  <si>
    <t>Año 2024</t>
  </si>
  <si>
    <t>PRESUPUESTO ORDINARIO 2024</t>
  </si>
  <si>
    <t>53 Bis</t>
  </si>
  <si>
    <t>LO</t>
  </si>
  <si>
    <t>030242 - SP342 Enc. Nac. de Demanda Lab. Comercio (ENADEL) (SE)</t>
  </si>
  <si>
    <t>Años 2018- 2023</t>
  </si>
  <si>
    <t>Ingresos reales a Jun. 2023</t>
  </si>
  <si>
    <t>proyectados a Dic. 2023</t>
  </si>
  <si>
    <t>Año 2022</t>
  </si>
  <si>
    <t>Presupuesto Año 2024</t>
  </si>
  <si>
    <t>Egresos reales a junio 2023</t>
  </si>
  <si>
    <t>proyectados a Dic, 2023</t>
  </si>
  <si>
    <t>Reintegros o deducciones</t>
  </si>
  <si>
    <t>Ingresos 2018-2023</t>
  </si>
  <si>
    <t>030223 - SP323  ENFIHO- ENIGH) (CF)</t>
  </si>
  <si>
    <t>030233 - SP333 NOUSAR</t>
  </si>
  <si>
    <t>030240 - SP340 NO USAR</t>
  </si>
  <si>
    <t>030241 - SP341  ENFIHO - ENIGH (SE)</t>
  </si>
  <si>
    <t>Servicio de energía eléctrica, según consumo. Esta estimación se realiza con base en el promedio real de enero a junio y un promedio proyectado al segundo semestre 2023.</t>
  </si>
  <si>
    <t>Comprende el pago de servicio de telefonía, redes de información y otros a nivel nacional e internacional según consumo estimado espacio asignado. Esta estimación se realiza con base en el promedio real de enero a junio y un promedio proyectado de julio a diciembre 2023.</t>
  </si>
  <si>
    <t>Compra de nuevas firmas digitales y renovaciones de firmas digitales para el personal del INEC.
Recursos para el pago del alquiler del servicio virtual en la nube</t>
  </si>
  <si>
    <t>La Ley de Control Interno indica: Cuando el personal de la auditoría interna, en el cumplimiento de sus funciones, se involucre en un conflicto legal o una demanda, la Institución dará todo su respaldo tanto jurídico como técnico y cubrirá los costos para atender ese proceso hasta su resolución final, por lo que se presupuesta este monto para enfrentar cualquier eventualidad. Asimismo, la Contraloría General de la República ha indicado que cuando la Auditoría Interna requiere profesionales en ciertos campos no debe recurrir a los profesionales que laboran para la institución. Adicionalmente se requiere realizar consultorías externas jurídicas como apoyo a los estudios de fiscalización.    
Recursos para la continuidad de la consultoría Asesoría Jurídica por demanda para diferentes temas institucionales.</t>
  </si>
  <si>
    <t>Recursos de la  Auditoría Interna para lograr una información con evidencia y más detallada en la ejecución de las encuestas es necesario hacer los desplazamientos a los lugares donde se realizan, así como recursos para salud ocupacional para las visitas que realizara a los diferentes proyectos en la recolección de datos en el campo.</t>
  </si>
  <si>
    <t>Se requieren recursos para continuar con el contrato de mantenimiento preventivo y correctivo de las cámaras de seguridad y central telefónica IP.</t>
  </si>
  <si>
    <t>Compra de combustible para para los vehículos institucionales que utiliza este programa, además se incluye insumos para el mantenimiento de los vehículos asignados, así como e requiere dotar de diésel y de combustible para la planta eléctrica que abastece de electricidad al edificio cuando no existe fluido eléctrico</t>
  </si>
  <si>
    <t>Servicio de vigilancia, monitoreo y respuesta armada las 24 horas, se estima de acuerdo a la base real del primer semestre y a la proyección del segundo semestre del 2023 más un incremento del índice de precios del semestre por concepto de reajuste de precios. 
Servicio de limpieza de oficinas y áreas comunes de acuerdo a la base real del primer semestre y a la proyección del segundo semestre del 2023 más un incremento proyectado del índice de precios del semestre por concepto de reajuste de precios.</t>
  </si>
  <si>
    <t>Para la realización de actividad de capacitación en continuidad con las acciones llevadas a cabo durante el II semestre 2023. Lo anterior, en el marco de elaboración de la Estrategia de Socialización para la ENDE 2023-2032 y el PEN 2023-2027, para lo cual se contempló como parte de la 2da etapa de ejecución, la realización de dicha actividad durante el I trimestre 2024, con las personas encargadas de las OE´s de cada institución perteneciente al SEN.</t>
  </si>
  <si>
    <t>Comprende el pago de servicio de telefonía, redes de información y otros a nivel nacional e internacional según consumo estimado espacio asignado. Esta estimación se realiza con base en el promedio real de enero a junio y un promedio proyectado de julio a diciembre 2023.
Así como recursos para la compra de tarjetas telefónicas y planes postpago  para el operativo de campo, las mismas se utilizan para el rescate de entrevistas pendientes y los planes de datos requeridos para la transferencia de los datos en campo de los diferentes proyectos estadísticos</t>
  </si>
  <si>
    <t xml:space="preserve">La Auditoría requiere apoyo para la fiscalización de las áreas sustantivas, además de la atención de estudios considerados de carácter especial que por el nivel de riesgo y agilidad se requieran utilizando bajo la modalidad de contratación de auditoria externa, por aspectos técnicos es necesario que sean tratados por personal calificado.
Contratación de Auditoria  de los Estados Financieros  y Liquidación Presupuestaria del año 2023 y  continuidad acompañamiento en la mejora continua de los procesos de la Unidad de Finanzas en la implementación NICSP
Contratación de especialistas para el análisis de resultados censales </t>
  </si>
  <si>
    <t>Se contempla la compra de cajas plásticas necesarias para el traslado de materiales de los grupos de campo de las encuestas, esto con el fin de ir reponiendo las que se dañan por el uso constante en campo.</t>
  </si>
  <si>
    <t xml:space="preserve">Para la adquisiciones y  actualización de varias licencias que requiere la el programa para la realización de sus labores, y la actualización de la versión 
</t>
  </si>
  <si>
    <t>Para la adquisiciones y  actualización de varias licencias que requiere la el programa para la realización de sus labores, y la actualización de la versión y mejoras del sistema integrado de administración financiera.</t>
  </si>
  <si>
    <t xml:space="preserve">
Transferencia al Ministerio de Hacienda para el financiamiento del Estudio Económico de Empresas según convenio entre el BCCR-MH e INEC.
</t>
  </si>
  <si>
    <t>Comprende el pago de servicio de telefonía, fax, redes de información y otros a nivel nacional e internacional según consumo estimado espacio asignado. Esta estimación se realiza con base en el promedio real de enero a junio y un promedio proyectado de julio a diciembre 2023.</t>
  </si>
  <si>
    <t>Recursos necesarios para cubrir los gastos asociados giras que realicen para registro audiovisual en campo de diversas operaciones estadísticas, se pretende hacer un registro audiovisual considerando zonas urbanas, rurales, playa, zona norte</t>
  </si>
  <si>
    <t xml:space="preserve">Salario base del personal por servicios especiales  para cumplir con las actividades especiales, según las Directrices técnicas y metodológicas para la formulación del Presupuesto 2024, Decretos y directriz Presidencial emitidas para este fin.  </t>
  </si>
  <si>
    <t>Salario base del personal por servicios especiales  para cumplir con las actividades de Proyectos Especiales, según las Directrices técnicas y metodológicas para la formulación del Presupuesto 2024, Decretos y directriz Presidencial emitidas para este fin.</t>
  </si>
  <si>
    <t xml:space="preserve">Salario base del personal por servicios especiales  para cumplir con las actividades de  Proyectos Especiales, según las Directrices técnicas y metodológicas para la formulación del Presupuesto 2024, Decretos y directriz Presidencial emitidas para este fin.  </t>
  </si>
  <si>
    <t xml:space="preserve">Salario base del personal por cargos fijos para cumplir con las actividades permanentes del Instituto, según las Directrices técnicas y metodológicas para la formulación del Presupuesto 2024, y en lo establecido en el Decreto 43.732-H-MTSS-MIDEPLAN,se aplica el ajuste por costo de vida del 2020, deberán incluir en el ejercicio presupuestario del 2024 los recursos presupuestarios necesarios para realizar el pago retroactivo del aumento salarial, para hacer efectivo dicho pago a partir del 2024, según lo indicado en los  Decretos y Directrices Presidenciales emitidas para este fin. </t>
  </si>
  <si>
    <t>Para el empaste de los libros de actas del Comité de TI y Consejo Directivo, así como la impresión de  fiches para comunicación interna.</t>
  </si>
  <si>
    <t>Seguro de Riesgos del Trabajo que debe cubrir la Institución a los funcionarios por todo el año de este Programa, así como el pago de seguro obligatorio de vehículos, seguro de equipo electrónico y seguros de viaje en atención a los  funcionarios que representan a la Institución en el exterior. La póliza de Riesgos del Trabajo se estima en base al 0,69% del total de la planilla real del primer semestre y la proyectada del segundo semestre del año 2023 Asimismo se estima el seguro de vehículos con las coberturas  A,C,D,F,H para los vehículos institucionales , seguro de viajero al exterior y póliza de responsabilidad civil.</t>
  </si>
  <si>
    <t xml:space="preserve">Para financiar actividades de capacitación del año 2024, según programación elaborada por la Unidad de Recursos Humanos
Recursos para el despacho gerencial  para actividades de capacitación presenciales de la CIE y el CONACE  y dos jornadas de la información estadística.
Según las normas para el ejercicio de la auditoría interna emitida por la Contraloría General de República, el personal de este despacho debe estar en un mejoramiento continuo, para que la labor de la Auditoría sea más eficiente y mayor apoyo a la Administración debido a la actualización en conocimientos técnicos y prácticos.  Se requiere en la actualización de ciertas capacitaciones para fortalecer y actualizar conceptos financieros, operativos y de fraude y corrupción.  </t>
  </si>
  <si>
    <t>Se solicitan cordones para gafete, para que todos los colaboradores de la Unidad puedan portar sus identificaciones de manera que sean visibles, uniformes para el personal de transporte, recepción y misceláneos.</t>
  </si>
  <si>
    <t>Recursos para la  adquisición de seis (6) vehículos tipo pick up, para el Instituto Nacional de Estadística y Censos (INEC); con el fin de renovar la flota y cubrir la necesidad operativa con flotilla apta para el trabajo de campo que realiza el instituto, esto corresponde a sustitución de vehículos que se adquirieron en el año 2014 y ya cumplieron su vida útil.</t>
  </si>
  <si>
    <t>Diseño y desarrollo de herramienta  para la recolección de datos y seguimiento de los operativos en campo de las diferentes Operaciones Estadísticas que realiza el INEC, así como plataforma virtual para capacitación  de las personas funcionaras o los nuevos ingresos.</t>
  </si>
  <si>
    <t xml:space="preserve"> Útiles y materiales de oficina requeridos para las labores de los diferentes proyectos estadísticos y labor ordinaria de este programa.</t>
  </si>
  <si>
    <t>se consideran recursos para apoyar la labor de campo de diversas operaciones estadísticas que mantienen continuidad durante 2024 mediante campañas digitales segmentadas, y  recursos para campaña de marketing digital que apoya el cumplimiento del Proyecto Modelo Integral de Atención a la Persona Usuaria (MIAPU).Adicionalmente se le incluye el 10% (¢ 3 850 000) según lo indicado Ley Orgánica del Sistema Nacional de Radio y Televisión Cultural (SINART).Ley n.° 8346</t>
  </si>
  <si>
    <t xml:space="preserve">
Participación en reunión de presentación de resultados de la Encuesta de Confianza para los miembros del grupo asesor del cual el INEC forma parte.
Pasantía para dos personas del Área con el propósito de conocer respecto a la experiencia en el tema de Fortalecimiento de registros administrativos para su aprovechamiento estadístico.</t>
  </si>
  <si>
    <r>
      <t xml:space="preserve">MONTO                    </t>
    </r>
    <r>
      <rPr>
        <sz val="10"/>
        <color indexed="9"/>
        <rFont val="Open Sans SemiCondensed"/>
      </rPr>
      <t>(en colones)</t>
    </r>
  </si>
  <si>
    <r>
      <t xml:space="preserve">¢3 600,0 corresponde a los recursos aprobados por el Gobierno de la República en el Presupuesto Ordinario del 2024.  
(¢3 200,0 millones para el financiamiento de gastos operativos y ¢400,0 millones para la ejecución de la Encuesta Nacional de Hogares.)
</t>
    </r>
    <r>
      <rPr>
        <sz val="10"/>
        <color indexed="8"/>
        <rFont val="Open Sans SemiCondensed"/>
      </rPr>
      <t>¢3 845,0</t>
    </r>
    <r>
      <rPr>
        <sz val="10"/>
        <rFont val="Open Sans SemiCondensed"/>
      </rPr>
      <t xml:space="preserve"> corresponde al 0,5 % de las primas de seguros para el financiamiento de operaciones estadísticas, según artículo 53 de la  ley No. 9694 del 13/06/2019.
</t>
    </r>
  </si>
  <si>
    <r>
      <t>PROGRAMA 01:</t>
    </r>
    <r>
      <rPr>
        <sz val="10"/>
        <rFont val="Open Sans SemiCondensed"/>
      </rPr>
      <t xml:space="preserve"> Administración Superior y Servicios de Apoyo</t>
    </r>
  </si>
  <si>
    <r>
      <t xml:space="preserve">PROGRAMA O2: </t>
    </r>
    <r>
      <rPr>
        <sz val="10"/>
        <rFont val="Open Sans SemiCondensed"/>
      </rPr>
      <t>Rectoría Técnica de las Estadísticas Nacionales</t>
    </r>
  </si>
  <si>
    <r>
      <rPr>
        <b/>
        <sz val="10"/>
        <rFont val="Open Sans SemiCondensed"/>
      </rPr>
      <t>PROGRAMA O3:</t>
    </r>
    <r>
      <rPr>
        <sz val="10"/>
        <rFont val="Open Sans SemiCondensed"/>
      </rPr>
      <t xml:space="preserve"> Producción Estadística</t>
    </r>
  </si>
  <si>
    <r>
      <t>PROGRAMA O4:</t>
    </r>
    <r>
      <rPr>
        <sz val="10"/>
        <rFont val="Open Sans SemiCondensed"/>
      </rPr>
      <t xml:space="preserve"> Difusión y Promoción de la Producción Estadística</t>
    </r>
  </si>
  <si>
    <t>Recursos para cubrir el viáticos al exterior para que un representante de la Gerencia participe en las siguientes actividades:  período de sesiones de la Comisión de Estadística de las Naciones Unidas, décima reunión de la Conferencia Estadística de las Américas de la CEPAL y la Reunión del Comité Ejecutivo de la Conferencia Estadística de las Américas reuniones de la OCDE
Según las normas para el ejercicio de la auditoría interna emitida por la Contraloría General de República, el personal de este despacho debe estar en un mejoramiento continuo, incluyendo su capacitación, por lo que se podrían presentar capacitaciones en el exterior.
Participación en el Congreso Médico de Ergonomía</t>
  </si>
  <si>
    <t>0.03.01 Retribución por Años Servidos</t>
  </si>
  <si>
    <t>0.03.02 Restricción al Ejercicio Liberal de la Profesión</t>
  </si>
  <si>
    <t>0.03.99 Otros Incentivos Salariales</t>
  </si>
  <si>
    <t xml:space="preserve">0.04.01 </t>
  </si>
  <si>
    <t>Equipo de Cómputo</t>
  </si>
  <si>
    <t>Cuenta</t>
  </si>
  <si>
    <t>Presupuesto aprobado</t>
  </si>
  <si>
    <t>Modificaciones ordinarias</t>
  </si>
  <si>
    <t>Presupuesto extraordinario</t>
  </si>
  <si>
    <t>Presupuesto total</t>
  </si>
  <si>
    <t>Gasto Acumulado</t>
  </si>
  <si>
    <t>Gasto del Mes</t>
  </si>
  <si>
    <t>Reservado y comprometido acumulado</t>
  </si>
  <si>
    <t>Gasto Total</t>
  </si>
  <si>
    <t>Disponible acumulado</t>
  </si>
  <si>
    <t>% Eje</t>
  </si>
  <si>
    <t>0.01.01 Sueldos para Cargos Fijos</t>
  </si>
  <si>
    <t>0.01.03 Servicios Especiales</t>
  </si>
  <si>
    <t>Partida:</t>
  </si>
  <si>
    <t>0.01.05 Suplencias</t>
  </si>
  <si>
    <t>0.02.01 Tiempo Extraordinario</t>
  </si>
  <si>
    <t>0.02.02 Recargo de funciones</t>
  </si>
  <si>
    <t>0.02.05 Dietas</t>
  </si>
  <si>
    <t>0.03.03 Decimotercer Mes</t>
  </si>
  <si>
    <t>0.03.04 Salario Escolar</t>
  </si>
  <si>
    <t>0.04.01 Contribución Patronal al Seguro de Salud de la Caja Costarricense del Seguro Social</t>
  </si>
  <si>
    <t>0.04.02 Contribución Patronal al Instituto Mixto de Ayuda Social</t>
  </si>
  <si>
    <t>0.04.03 Contribución Patronal al Instituto Nacional de Aprendizaje</t>
  </si>
  <si>
    <t>0.04.04 Contribución Patronal al Fondo de Desarrollo Social  y Asignaciones Familiares</t>
  </si>
  <si>
    <t>0.04.05 Contribución Patronal al Banco Popular y de Desarrollo Comunal</t>
  </si>
  <si>
    <t>0.05.01 Contribución Patronal al Seguro de Pensiones  de la Caja Costarricense de Seguro Social</t>
  </si>
  <si>
    <t>0.05.02 Aporte Patronal al Régimen Obligatorio de Pensiones Complementarias</t>
  </si>
  <si>
    <t>0.05.03 Aporte Patronal al Fondo de Capitalización Laboral</t>
  </si>
  <si>
    <t>0.99.99 Otras Remuneraciones</t>
  </si>
  <si>
    <t>1.01.01 Alquiler de edificios, locales y terrenos</t>
  </si>
  <si>
    <t>1.01.02 Alquiler de Maquinaria, Equipo y Mobiliario</t>
  </si>
  <si>
    <t>1.01.03 Alquiler de Equipo de Cómputo</t>
  </si>
  <si>
    <t>1.01.99 Otros Alquileres</t>
  </si>
  <si>
    <t>1.02.01 Servicio de Agua y Alcantarillado</t>
  </si>
  <si>
    <t>1.02.02 Servicio de Energía Eléctrica</t>
  </si>
  <si>
    <t>1.02.03 Servicio de Correo</t>
  </si>
  <si>
    <t>1.02.04.01 (ICE) Servicio de telecomunicaciones</t>
  </si>
  <si>
    <t>1.02.99 Otros Servicios Básicos</t>
  </si>
  <si>
    <t>1.03.01 Información</t>
  </si>
  <si>
    <t>1.03.02 Publicidad y Propaganda</t>
  </si>
  <si>
    <t>1.03.03 Impresión, Encuadernación y Otros</t>
  </si>
  <si>
    <t>1.03.04 Transporte de Bienes</t>
  </si>
  <si>
    <t>1.03.06 Comisiones y Gastos por Servicios Financieros y Comerciales</t>
  </si>
  <si>
    <t>1.03.07 Servicios de tecnologías de información</t>
  </si>
  <si>
    <t>1.04.01 Servicios en ciencias de la salud</t>
  </si>
  <si>
    <t>1.04.02 Servicios Jurídicos</t>
  </si>
  <si>
    <t>1.04.04 Servicios en Ciencias Económicas y Sociales</t>
  </si>
  <si>
    <t>1.04.05 Servicios informáticos</t>
  </si>
  <si>
    <t>1.04.06 Servicios Generales</t>
  </si>
  <si>
    <t>1.04.99 Otros Servicios de Gestión y Apoyo</t>
  </si>
  <si>
    <t>1.05.01 Transporte Dentro del País</t>
  </si>
  <si>
    <t>1.05.02 Viáticos Dentro del País</t>
  </si>
  <si>
    <t>1.05.03 Transporte al Exterior</t>
  </si>
  <si>
    <t>1.05.04 Viáticos en el Exterior</t>
  </si>
  <si>
    <t>1.06.01.01 Seguro de Riesgos del Trabajo (INS)</t>
  </si>
  <si>
    <t>1.07.01 Actividades de Capacitación</t>
  </si>
  <si>
    <t>1.07.03 Gastos de Representación Institucional</t>
  </si>
  <si>
    <t>1.08.01 Mantenimiento de edificios, locales y terrenos</t>
  </si>
  <si>
    <t>1.08.05 Mantenimiento y Reparación de Equipo de Transporte</t>
  </si>
  <si>
    <t>1.08.06 Mantenimiento y Reparación de Equipo de Comunicación</t>
  </si>
  <si>
    <t>1.08.07 Mantenimiento y Reparación de Equipo y Mobiliario de Oficina</t>
  </si>
  <si>
    <t>1.08.08 Mantenimiento y reparación de equipo de cómputo y  sistemas de información</t>
  </si>
  <si>
    <t>1.08.99 Mantenimiento y Reparación de Otros Equipos</t>
  </si>
  <si>
    <t>1.09.99 Otros Impuestos</t>
  </si>
  <si>
    <t>1.99.02 Intereses Moratorios y Multas</t>
  </si>
  <si>
    <t>1.99.05 Deducibles</t>
  </si>
  <si>
    <t>1.99.99 Otros Servicios No Especificados</t>
  </si>
  <si>
    <t>2.01.01 Combustibles y Lubricantes</t>
  </si>
  <si>
    <t>2.01.02 Productos Farmacéuticos y Medicinales</t>
  </si>
  <si>
    <t>2.01.04 Tintas, Pinturas y Diluyentes</t>
  </si>
  <si>
    <t>2.03.04 Materiales y Productos Eléctricos, Telefónicos y de Cómputo</t>
  </si>
  <si>
    <t>2.03.06 Materiales y Productos de Plástico</t>
  </si>
  <si>
    <t>2.04.01 Herramientas e Instrumentos</t>
  </si>
  <si>
    <t>2.04.02 Repuestos y Accesorios</t>
  </si>
  <si>
    <t>2.99.01 Utiles y Materiales de Oficina y Cómputo</t>
  </si>
  <si>
    <t>2.99.02 Utiles y Materiales Médico, Hospitalario y de Investigación</t>
  </si>
  <si>
    <t>2.99.03 Productos de Papel, Cartón e Impresos</t>
  </si>
  <si>
    <t>2.99.04 Textiles y Vestuario</t>
  </si>
  <si>
    <t>2.99.05 Utiles y Materiales de Limpieza</t>
  </si>
  <si>
    <t>2.99.06 Utiles y Materiales de Resguardo y Seguridad</t>
  </si>
  <si>
    <t>2.99.99 Otros Utiles, Materiales y Suministros diversos</t>
  </si>
  <si>
    <t>4.99.99 OTROS ACTIVOS FINANCIEROS</t>
  </si>
  <si>
    <t>5.01.03 Equipo de Comunicación</t>
  </si>
  <si>
    <t>5.01.04 Equipo y Mobiliario de Oficina</t>
  </si>
  <si>
    <t>5.01.05 Equipo de Cómputo</t>
  </si>
  <si>
    <t>5.01.99 Maquinaria, Equipo y Mobiliario Diverso</t>
  </si>
  <si>
    <t>Maquinaria, Equipo y Mobiliario Diverso</t>
  </si>
  <si>
    <t>5.99.03.01 Derechos de autor</t>
  </si>
  <si>
    <t>6.01.01 Transferencias corrientes al Gobierno Central</t>
  </si>
  <si>
    <t>6.02.99 Otras transferencias a personas</t>
  </si>
  <si>
    <t>6.03.01 Prestaciones Legales</t>
  </si>
  <si>
    <t>6.06.01 Indemnizaciones</t>
  </si>
  <si>
    <t>6.07.02 Otras Transferencias corrientes al Sector Externo</t>
  </si>
  <si>
    <t>Total presupuesto:</t>
  </si>
  <si>
    <t>PROGRAMA</t>
  </si>
  <si>
    <t>SUBPROPCESO</t>
  </si>
  <si>
    <t>JUSTIFICACIÓN</t>
  </si>
  <si>
    <t>FINANCIAMIENTO 2</t>
  </si>
  <si>
    <t>SP101 Despacho gerencial</t>
  </si>
  <si>
    <t>0 REMUNERACIONES</t>
  </si>
  <si>
    <t>Salario base del personal por cargos fijos para cumplir con las actividades permanentes del Instituto, según las Directrices técnicas y metodológicas para la formulación del Presupuesto 2024, Decretos y Directrices Presidenciales emitidas para este fin.</t>
  </si>
  <si>
    <t xml:space="preserve">TRANF. CTES </t>
  </si>
  <si>
    <t>1 SERVICIOS</t>
  </si>
  <si>
    <t>Considera recursos para el pago de alquiler de edificio Ana Lorena según el espacio asignado  . Esta estimación se realiza con base a los contratos existentes  y según las  Directrices técnicas y metodológicas para la formulación del Presupuesto 2023 emitidas por el Ministerio de Hacienda.</t>
  </si>
  <si>
    <t>PRIMAS</t>
  </si>
  <si>
    <t>Servicio de suministro de agua potable, según consumo. Esta estimación se realiza con base en el promedio real de enero a junio y un promedio proyectado al segundo semestre 2023, más un incremento del 6% anual.</t>
  </si>
  <si>
    <t>Servicio de energía eléctrica, según consumo. Esta estimación se realiza con base en el promedio real de enero a junio y un promedio proyectado al segundo semestre 2023, más un incremento del 6% anual.</t>
  </si>
  <si>
    <t xml:space="preserve">Comprende el pago de servicio de telefonía, fax, redes de información y otros a nivel nacional e internacional según consumo estimado espacio asignado. Esta estimación se realiza con base en el promedio real de enero a junio y un promedio proyectado de junio 2023 más un incremento del 6% anual._x000D_
_x000D_
Se contratan 2 planes para Gerencia que incluye terminales ¢ 60 000 colones al mes para cada uno y un plan más para el proceso de Prensa ¢ 30 000 colones al mes. </t>
  </si>
  <si>
    <t>1. Empaste de los libros de actas del Comité de TI ¢50 000_x000D_
2. Afiches para comunicación interna (Daniel) ¢700 000</t>
  </si>
  <si>
    <t>Consultoría Asesoría Jurídica por demanda</t>
  </si>
  <si>
    <t>Acuerdo del Consejo Administrativo</t>
  </si>
  <si>
    <t>Servicio de vigilancia, monitoreo y respuesta armada las 24 horas, se estima de acuerdo a la base real del primer semestre y a la proyección del segundo semestre del 2023 más un incremento del índice de precios del semestre por concepto de reajuste de precios. 1% de incremento para cada semestre 2024_x000D_
_x000D_
Servicio de limpieza de oficinas y áreas comunes de acuerdo a la base real del primer semestre y a la proyección del segundo semestre del 2023 más un incremento proyectado del índice de precios del semestre por concepto de reajuste de precios. 1% de incremento para cada semestre 2024</t>
  </si>
  <si>
    <t>RT</t>
  </si>
  <si>
    <t xml:space="preserve">Actividades de capacitacion presenciales de la CIE y el CONACE  ¢2 300 000_x000D_
Dos jornadas de la información estadística ¢1 500 000 _x000D_
</t>
  </si>
  <si>
    <t xml:space="preserve">Actividades autorizadas por Gerencia, atención de personas ajenas a la institución </t>
  </si>
  <si>
    <t>SP102 Consejo Directivo</t>
  </si>
  <si>
    <t xml:space="preserve">Pago de dietas para cinco miembros del Consejo Directivo que sesionan una vez a la semana, esto corresponde a 4 sesiones al mes y 45 sesiones programas para el 2023. El monto que se paga actualmente es de ¢ 55 923,05 a cada directivo para un total aproximado de ¢279 615,00 por sesión._x000D_
</t>
  </si>
  <si>
    <t xml:space="preserve">Considera recursos para el pago de alquiler de edificio Ana Lorena y Batalla según el espacio asignado  . Esta estimación se realiza con base a los contratos existentes  y según las  Directrices técnicas y metodológicas para la formulación del Presupuesto 2023 emitidas por el Ministerio de Hacienda._x000D_
</t>
  </si>
  <si>
    <t>Comprende el pago de servicio de telefonía, fax, redes de información y otros a nivel nacional e internacional según consumo estimado espacio asignado. Esta estimación se realiza con base en el promedio real de enero a junio y un promedio proyectado de junio 2023 más un incremento del 6% anual.</t>
  </si>
  <si>
    <t xml:space="preserve">Empaste Libros de actas del Consejo Directivo </t>
  </si>
  <si>
    <t xml:space="preserve">"Servicio de vigilancia, monitoreo y respuesta armada las 24 horas, se estima de acuerdo a la base real del primer semestre y a la proyección del segundo semestre del 2023 más un incremento del índice de precios del semestre por concepto de reajuste de precios. 1% de incremento para cada semestre 2024
Servicio de limpieza de oficinas y áreas comunes de acuerdo a la base real del primer semestre y a la proyección del segundo semestre del 2023 más un incremento proyectado del índice de precios del semestre por concepto de reajuste de precios. 1% de incremento para cada semestre 2024"_x000D_
</t>
  </si>
  <si>
    <t>SP103 Auditoría Interna</t>
  </si>
  <si>
    <t>Considera recursos para el pago de alquiler de edificio Ana Lorena y Batalla según el espacio asignado  . Esta estimación se realiza con base a los contratos existentes  y según las  Directrices técnicas y metodológicas para la formulación del Presupuesto 2023 emitidas por el Ministerio de Hacienda.</t>
  </si>
  <si>
    <t>Servicio de suministro de agua potable, según consumo. Esta estimación se realiza con base en el promedio real de enero a junio y un promedio proyectado al segundo semestre 2023, más un inc</t>
  </si>
  <si>
    <t>Comprende el pago de servicio de telefonía, fax, redes de información y otros a nivel nacional e internacional según consumo estimado espacio asignado. Esta estimación se realiza con base en el promedio real de enero a junio y un promedio proyectado de junio 2023 más un incremento del 6% anual._x000D_
_x000D_
Se contratan 2 planes para Gerencia que incluye terminales ¢ 60 000 colones al mes para cada uno y un plan más para el proceso de Prensa ¢ 30 000 colones al mes.</t>
  </si>
  <si>
    <t>Para la actualización del Reglamento de Organización y Funcionamiento de la AI y Reglamento de Denuncias de la AI publicar en la Gaceta</t>
  </si>
  <si>
    <t>La Ley de Control Interno indica: Cuando el personal de la auditoría interna, en el cumplimiento de sus funciones, se involucre en un conflicto legal o una demanda, la Institución dará todo su respaldo tanto jurídico como técnico y cubrirá los costos para atender ese proceso hasta su resolución final, por lo que se presupuesta este monto para cualquier eventualidad. Asimismo, la Contraloría General de la República ha indicado que cuando la Auditoría Interna requiere profesionales en ciertos campos no debe recurrir a los profesionales que laboran para la institución. Adicionalmente se requiere realizar consultorías externas jurídicas como apoyo a los estudios de fiscalización</t>
  </si>
  <si>
    <t xml:space="preserve">Por limitación de recurso humano en la Auditoría se requiere de la fiscalización de las áreas sustantivas, además de la atención de aquellos estudios considerados de carácter especial que por el nivel de riesgos y por el escaso recurso humano y agilidad se requieran utilizando bajo la modalidad de contratación de auditoria externa, por aspectos técnicos es necesario que sean tratados por personal calificado. </t>
  </si>
  <si>
    <t xml:space="preserve">Para lograr una información con evidencia y más detallada en la ejecución de las encuestas es necesario hacer los desplazamientos a los lugares donde se realizan las actividades, por lo que es necesario contar con recursos para el transporte requerido </t>
  </si>
  <si>
    <t>Para lograr una información con evidencia y más detallada en la ejecución de las encuestas es necesario hacer los desplazamientos a los lugares donde se realizan las actividades, por lo que es necesario contar con recursos para el transporte requerido</t>
  </si>
  <si>
    <t xml:space="preserve">Según las normas para el ejercicio de la auditoría interna emitida por la Contraloría General de República, el personal de este despacho debe estar en un mejoramiento continuo, incluyendo su capacitación, por lo que se podrían presentar capacitaciones en el exterior, para lo cual se requiere cubrir costos en transporte. </t>
  </si>
  <si>
    <t>Según las normas para el ejercicio de la auditoría interna emitida por la Contraloría General de República, el personal de este despacho debe estar en un mejoramiento continuo, incluyendo su capacitación, por lo que se podrían presentar capacitaciones en el exterior, para lo cual se requiere cubrir costos en viaticos y alimentación.</t>
  </si>
  <si>
    <t xml:space="preserve">Riesgos del Trabajo_x000D_
</t>
  </si>
  <si>
    <t>Según las normas para el ejercicio de la auditoría interna emitida por la Contraloría General de República, el personal de esta dependencia debe estar en un mejoramiento continuo, incluyendo su capacitación, por lo cual se requiere cumplir con el Programa de capacitación, el cual incluye certificaciones del personal de la AI, Congresos.</t>
  </si>
  <si>
    <t xml:space="preserve">Corresponde al mantenimiento, soporte, actualizaciones y migraciones de versiones de Argos Sistema Integrado de Auditoría _x000D_
 _x000D_
</t>
  </si>
  <si>
    <t>SP104 Unidad de Planificación Institucional</t>
  </si>
  <si>
    <t>Considera recursos para el pago de alquiler de edificio Ana Lorena, según el espacio asignado  . Esta estimación se realiza con base a los contratos existentes  y según las  Directrices técnicas y metodológicas para la formulación del Presupuesto 2023 emitidas por el Ministerio de Hacienda.</t>
  </si>
  <si>
    <t xml:space="preserve">Servicio de vigilancia, monitoreo y respuesta armada las 24 horas, se estima de acuerdo a la base real del primer semestre y a la proyección del segundo semestre del 2023 más un incremento del índice de precios del semestre por concepto de reajuste de precios. 1% de incremento para cada semestre 2024. _x000D_
Servicio de limpieza de oficinas y áreas comunes de acuerdo a la base real del primer semestre y a la proyección del segundo semestre del 2023 más un incremento proyectado del índice de precios del semestre por concepto de reajuste de precios. 1% de incremento para cada semestre 2024._x000D_
</t>
  </si>
  <si>
    <t>SP105 Unidad de Asesoría Jurídica</t>
  </si>
  <si>
    <t>SP107 Área de Administración y Finanzas</t>
  </si>
  <si>
    <t xml:space="preserve">Servicio de suministro de agua potable, según consumo. Esta estimación se realiza con base en el promedio real de enero a junio y un promedio proyectado al segundo semestre 2023, más un incremento del 6% anual._x000D_
</t>
  </si>
  <si>
    <t xml:space="preserve">Servicio de energía eléctrica, según consumo. Esta estimación se realiza con base en el promedio real de enero a junio y un promedio proyectado al segundo semestre 2023, más un incremento del 6% anual._x000D_
</t>
  </si>
  <si>
    <t xml:space="preserve">"Comprende el pago de servicio de telefonía, fax, redes de información y otros a nivel nacional e internacional según consumo estimado espacio asignado. Esta estimación se realiza con base en el promedio real de enero a junio y un promedio proyectado de junio 2023 más un incremento del 6% anual.
Se contratan 2 planes para Gerencia que incluye terminales ¢ 60 000 colones al mes para cada uno y un plan más para el proceso de Prensa ¢ 30 000 colones al mes. "_x000D_
</t>
  </si>
  <si>
    <t>SP108 Unidad de Finanzas</t>
  </si>
  <si>
    <t>Para comisiones bancarias</t>
  </si>
  <si>
    <t>¢6 0000 000Contratación de Auditoria  de los Estados Financieros  y Liquidación Presupuestaria del año 2023 y ¢8 500 000 continuidad acompañamiento en la mejora continua de dichos procesos ¢ 3 500 000 para horas de soporte consultoría</t>
  </si>
  <si>
    <t xml:space="preserve">Capacitación al Exterior, país pánama, sobre Estrategia financiera: liquidez, rentabilidad y política de dividendos </t>
  </si>
  <si>
    <t xml:space="preserve">Erogaciones por concepto de multas e intereses, por atrasos en pago de sus obligaciones </t>
  </si>
  <si>
    <t>6 TRANSFERENCIAS CORRIENTES</t>
  </si>
  <si>
    <t>CUOTA DEL MINISTERIO DE HACIENDA ESTUDIO ECONOMICO</t>
  </si>
  <si>
    <t>SP109 Unidad de Proveeduría</t>
  </si>
  <si>
    <t>Considera recursos para el pago de alquiler de edificio Ana Lorenaa según el espacio asignado . Esta estimación se realiza con base a los contratos existentes  y según las  Directrices técnicas y metodológicas para la formulación del Presupuesto 2023 emitidas por el Ministerio de Hacienda.</t>
  </si>
  <si>
    <t>SP110 Unidad de Recursos Humanos</t>
  </si>
  <si>
    <t>Pago concepto de suplencias de personal en caso de incapacidades de maternidad o enfermedad que amertien estar fuera por un lapso determinado de tiempo</t>
  </si>
  <si>
    <t>Pago concepto de recargo de funciones para el personal que se le reconoce este rubro.</t>
  </si>
  <si>
    <t>¢3,5 millones Pago de actuario para el calculo de monto por vacaciones y además la ¢ 12,0 millones compra de pruebas por competencias (SOCIA, CPS, BENZIGER, 16PF) que son usadas para medir las competencias del personal que ingresa a las diferentes operaciones estadísticas en el INEC. y ¢75 ,0 millones el estudio de cargas de trabajo</t>
  </si>
  <si>
    <t>Congreso Médico de Ergonomia</t>
  </si>
  <si>
    <t>Cancelación de viaticos por congreso médico</t>
  </si>
  <si>
    <t>Seguros de viaje en atención a los  funcionarios que representan a la Institución en el exterior¢ 1 500 000_x000D_
RT ¢1 330 400</t>
  </si>
  <si>
    <t>Para el pago de actividades de capacitacion según el plan de capacitación aprobado por la Gerencia en el año 2024, (¢50 000 000) y (¢600 000) para materiales de capacitación + procesos de coaching ¢ 9 400 000 + 10 000 000 que agregó gerencia general.</t>
  </si>
  <si>
    <t>Mantenimieto del Reloj</t>
  </si>
  <si>
    <t>2 MATERIALES Y SUMINISTROS</t>
  </si>
  <si>
    <t xml:space="preserve"> COMPRA DE LANYARD DE NYLON CON LOGO IMPRESO (PORTA GAFETES)</t>
  </si>
  <si>
    <t>Reconocimientos para personal por años laborados, reconocimiento para personal pensionado, cajas para trasnportar material de capacitación.</t>
  </si>
  <si>
    <t>6.02.02 Becas a terceras personas</t>
  </si>
  <si>
    <t xml:space="preserve">Dos pasantes para la Unidad de Recursos Humanos, los cuales van hacer nombrados todo el año, y colaboraran en el proceso de digitalización de expedientes personales (control de calidad de la digitalización), remisión de documentos y otras labores de archivo , que es uno de los proyectos que tiene la Unidad en el año 2024, esto representa 4 320 000,00.  _x000D_
Dos pasantes para ASIDE,  (1 Estudiante de Periodismo, para apoyar al Proceso de Prensa, específicamente en la parte de activación de Tik Tok institucional, la plataforma Linkedn y otros, por un período de diez (10) meses, realizando labores presenciales dos veces por semana.).  (1 Estudiante en el campo de Bibliotecología, para apoyar al Proceso de Administración de contenidos bibliográficos, específicamente en la parte de catalogación y actualización del sistema de resguardo documental, por un período de diez (10) meses, realizando labores presenciales dos veces por semana.) para un total de 960 000,00_x000D_
y 2 500 000,00  resto INEC _x000D_
</t>
  </si>
  <si>
    <t>Pago de prestaciones legales a personal del INEC que se jubila en el año 2024</t>
  </si>
  <si>
    <t>SP111 Transportes</t>
  </si>
  <si>
    <t>Se consideran recursos para el pago del servicio de grúas y servicios de chapulines solicitado por transportes.</t>
  </si>
  <si>
    <t>Se consideran 5.300.000 para el pago del servicio de monitoreo de los vehículos institucionales, 520.000 para lavado de vehículos y 180.000 para recarga de extintores._x000D_
_x000D_
Servicio de vigilancia, monitoreo y respuesta armada las 24 horas, se estima de acuerdo a la base real del primer semestre y a la proyección del segundo semestre del 2023 más un incremento del índice de precios del semestre por concepto de reajuste de precios. 1% de incremento para cada semestre 2024_x000D_
_x000D_
Servicio de limpieza de oficinas y áreas comunes de acuerdo a la base real del primer semestre y a la proyección del segundo semestre del 2023 más un incremento proyectado del índice de precios del semestre por concepto de reajuste de precios. 1% de incremento para cada semestre 2024. Ambas Vigilancia y limpieza por un monto de ¢ 1 194 400</t>
  </si>
  <si>
    <t>Se contempla para pago de Inspección técnica vehicular (350000) y rotulación de la flotilla institucional (850000)</t>
  </si>
  <si>
    <t>Para la compra de talonarios de peajes para ser utilizados en los puestos de peaje de carreteras nacionales por un monto de 50 000, además del pago de los dispositivos quick pass por concepto de peaje, por un monto de 650 000.  Asimismo se contempla 50 000 para pagos de transporte público en caso que el Proceso de transportes no cuente con los recursos necesarios para atender las solicitudes de transportes.</t>
  </si>
  <si>
    <t>Seguro de vehículos con las coberturas  A,C,D,F,H para los vehículos institucionales y una motocicleta c 7. ¢ 6 000 000_x000D_
RT ¢ 254 300</t>
  </si>
  <si>
    <t>Se requiere para el mantenimiento y reparación de vehículos institucionales</t>
  </si>
  <si>
    <t>Para el pago de derechos de circulación de la flotilla del INEC se estima 2 000 000 y por concepto de infracciones de tránsito un monto de 160 000</t>
  </si>
  <si>
    <t>Para el pago de deducibles por la reparación de vehículos institucionales por medio del INS</t>
  </si>
  <si>
    <t>5 BIENES DURADEROS</t>
  </si>
  <si>
    <t>5.01.02 Equipo de Transporte</t>
  </si>
  <si>
    <t>Compra de 6 vehiculos</t>
  </si>
  <si>
    <t>SP112 Servicios y Mantenimiento</t>
  </si>
  <si>
    <t>Debido a que se mantiene un contrato con Correos de C.R por un monto de  ¢15.000.000,00 por 4 años, para el envío de encomiendas y documentación tanto nacional como internacional se solicita mantener el servicio.</t>
  </si>
  <si>
    <t xml:space="preserve">Se formula presupuesto para la reparación de linea blanca , que por el uso habitual de los electrodomésticos que se deterioran </t>
  </si>
  <si>
    <t xml:space="preserve">Corresponde al contrato del servicio de mantenimiento de los rótulos según demanda en ambos edificios  ¢ 1 200 000_x000D_
Corresponde al contrato según demanda del servicio de Handyman para ambos edificios para un total anual: ¢2 500 000,00_x000D_
_x000D_
Servicio de vigilancia, monitoreo y respuesta armada las 24 horas, se estima de acuerdo a la base real del primer semestre y a la proyección del segundo semestre del 2023 más un incremento del índice de precios del semestre por concepto de reajuste de precios. 1% de incremento para cada semestre 2024_x000D_
_x000D_
Servicio de limpieza de oficinas y áreas comunes de acuerdo a la base real del primer semestre y a la proyección del segundo _x000D_
759 100 _x000D_
_x000D_
Corresponde a la Actualización del plan de emergencias ¢ 1 800 000_x000D_
Corresponde al contrato,según demanda  servicios de fumigación, (4 Veces al año) ¢ 400 000_x000D_
Corresponde al contrato,según demanda  servicios de recarga de extintores: ¢ 700 000_x000D_
Corresponde al contrato, de Mantenimiento Zonas verdes: ¢ 1 080 000,00_x000D_
</t>
  </si>
  <si>
    <t xml:space="preserve">Se formula presupuesto, para diversa rotulación en cumplimiento a la normativa interna de imagen gráfica </t>
  </si>
  <si>
    <t>póliza de responsabilidad civil ¢350 000_x000D_
RT ¢195 400</t>
  </si>
  <si>
    <t xml:space="preserve"> Corresponde a gasto por concepto de mantenimiento preventivo y habitual de oficinas, bodegas, locales diversos</t>
  </si>
  <si>
    <t xml:space="preserve">Corresponde al contrato de mantenimiento  preventivo y correctivo de  cámaras de seguridad </t>
  </si>
  <si>
    <t>Corresponde al contrato de mantenimiento ,reparación preventivo y correctivo habitual de  aires acondicionados ¢ 1 500 000 00</t>
  </si>
  <si>
    <t xml:space="preserve">Se formula presupuesto para la reparación de línea blanca , que por el constante uso se deteriora </t>
  </si>
  <si>
    <t xml:space="preserve">Combustible para la planta electrica del Edificio Ana Lorena </t>
  </si>
  <si>
    <t xml:space="preserve">Se formula presupuesto para la compra de respuestos de las diversas contrataciones para el mantenimiento de activos </t>
  </si>
  <si>
    <t>Se formula presupuesto para adquirir insumo para el resguaro de información</t>
  </si>
  <si>
    <t>Se formula presupuesto para la compra de insumos de aseo e higiene</t>
  </si>
  <si>
    <t xml:space="preserve">Se formula presupuesto para la compra de uniformes para el personal de atención al servicio al cliente y personal que brinda los servicios de limpieza institucional </t>
  </si>
  <si>
    <t>Se formula presupuesto para la compra de cajas para resguardo de material</t>
  </si>
  <si>
    <t xml:space="preserve">Se formula presupuesto para la compra de equipo de cámaras de seguridad que por el constante uso se deteriora </t>
  </si>
  <si>
    <t>SP113 Archivo</t>
  </si>
  <si>
    <t>500.000 colones para la renovación y compra de llos Certificados de Firma Digital para el personal del INEC. _x000D_
5.000.000 colones para el servicio de conformación de expedientes, escaneo e indexación de documentos en la plataforma ePower.</t>
  </si>
  <si>
    <t>Servicio de bodegaje de documentos con una empresa externa._x000D_
_x000D_
_x000D_
Servicio de vigilancia, monitoreo y respuesta armada las 24 horas, se estima de acuerdo a la base real del primer semestre y a la proyección del segundo semestre del 2023 más un incremento del índice de precios del semestre por concepto de reajuste de precios. 1% de incremento para cada semestre 2024_x000D_
_x000D_
Servicio de limpieza de oficinas y áreas comunes de acuerdo a la base real del primer semestre y a la proyección del segundo semestre del 2023 más un incremento proyectado del índice de precios del semestre por concepto de reajuste de precios. 1% de incremento para cada semestre 2024 _x000D_
_x000D_
Ambos Vigilancia y limpieza por un monto de ¢ 1 645 700</t>
  </si>
  <si>
    <t xml:space="preserve">Reparación y mantenimiento preventivo de la estantería móvil del Depósito de Archivo Central y del Archivo de Getión de Recursos Humanos. </t>
  </si>
  <si>
    <t>SP114 Consultorio Médico</t>
  </si>
  <si>
    <t xml:space="preserve"> Recolección de desechos infecto contagioso del consultorio</t>
  </si>
  <si>
    <t>Viaticos para el puesto de salud ocupacional para realizar trabajo de campo</t>
  </si>
  <si>
    <t xml:space="preserve">Insumos para el buen funcionamiento del consultorio para la atención de los pacientes _x000D_
</t>
  </si>
  <si>
    <t xml:space="preserve">Para uso del consultorio para la atencion de pacientes </t>
  </si>
  <si>
    <t>5.01.06 Equipo Sanitario, de Laboratorio e Investigación</t>
  </si>
  <si>
    <t xml:space="preserve">Insumos para el buen funcionamiento del consultorio para la atención de los pacientes </t>
  </si>
  <si>
    <t>SP119  Departamento de Tecnologías de información</t>
  </si>
  <si>
    <t>Considera recursos para el pago del alquiler de edificio Ana Lorena y Batalla, según el espacio asignado. Esta estimación se realiza con base a los contratos existentes y según las Directrices técnicas y metodológicas para la formulación del Presupuesto 2023 emitidas por el Ministerio de Hacienda.</t>
  </si>
  <si>
    <t>Servicio de suministro de agua potable, según consumo. Esta estimaciónse realiza con base en el promedio real de enero a junio y un promedio proyectado al segundo semestre 2023, más un incremento de 6% anual.</t>
  </si>
  <si>
    <t>Serviciio de energía eléctrica, según sonsumo. Esta estimación se realiza con base en elpromedio real de enero a junio y un promedio proyectado al segundo semestre 2023, más un incremento del 6% anual.</t>
  </si>
  <si>
    <t>Comprende el pago de servicio de telefonía, fax, redes de información, y otros a nivel nacional e internacional según consumo estimado espacio asignado. Esta estimación se realiza con base en el promedio real de enero a junio y un promedio proyectado de junio 2023 más un incremento del 6% anual.  Se contratan 2 planes para gerencia que incluye terminales ¢60 000 al mes para cada uno y un plan para el proceso de Prensa ¢30 000 al mes._x000D_
Servicio de internet para la institución. ¢25 200 000</t>
  </si>
  <si>
    <t>Alquiler del Data Center del ICE y respaldos secundarios.</t>
  </si>
  <si>
    <t>Servicio de vigilancia, monitoreo y respuesta armada las 24 horas; se estima de acuerdo a la base real del primer semestre y a la proyección del segundo semestre del 2023 más un incremento del indice de precios del semestre por concepto de reajuste del precio 1 % de incremento para cada semestre 2024</t>
  </si>
  <si>
    <t>Póliza de equipo electrónicos ¢ 1 000 000 _x000D_
RT ¢2 891 800</t>
  </si>
  <si>
    <t>Red inalámbrica y mantenimiento y actualización de la central telefónica.</t>
  </si>
  <si>
    <t>Mantenimiento y reparación de impresora del ASIDE</t>
  </si>
  <si>
    <t>Pago de mensualidad por la compra del aparato físico de gerencia</t>
  </si>
  <si>
    <t>Compra equipo de computo</t>
  </si>
  <si>
    <t>Licencias y renovaciones para el buen funcionamiento de la Institución para poder generar datos estadísticos ¢313 787 754 ¢100 000 000 adicionales</t>
  </si>
  <si>
    <t>SP120 Departamento Administrativo Financiero</t>
  </si>
  <si>
    <t>Recursos necesarios para las publicaciones institucionales en la Gaceta _x000D_
(CD ¢500 000+ AEC ¢400 000 + AAF ¢1 000 000)</t>
  </si>
  <si>
    <t>Recursos necesarios para el pago por el uso del sistema SICOP, con base en tarifario de la Nueva Ley de Compras Públicas</t>
  </si>
  <si>
    <t>Materiales de oficina requeridos para las impresiones de cada dependencia</t>
  </si>
  <si>
    <t>Materiales requeridos para labores administrativas y trabajo de campo, impresión de carnets (cinta y film), proceso de transporte (lapiceros)</t>
  </si>
  <si>
    <t xml:space="preserve">Materiales requeridos para las labores administrativas  y trabajo de campo, cajas de Archivo, rótulos para identificación de vehículos, láminas de cartón del ACE. </t>
  </si>
  <si>
    <t>SP203 Dirección de Rectoría de la Estadística Nacional</t>
  </si>
  <si>
    <t>Salario base del personal por servicios especiales, según las Directrices técnicas y metodológicas para la formulación del Presupuesto 2024, Decretos y directriz Presidencial emitidas para este fin.</t>
  </si>
  <si>
    <t>Continuidad servicio revisión filológica de documentos (¢800.000)_x000D_
Consultoría para el diseño de cursos de capacitación dirigidos a las personas que trabajan en los procesos de producción en el SEN y servicios de formación para el personal del ASEN, para el desarrollo de habilidades para el impartir y deseñar cursos y materiales capacitación para el SEN. En cumplimiento con la ley #9694 del SEN, que establece como parte de la labor de rectoría que realiza el INEC, emitir reglamentación, normas técnicas, lineamientos y protocolos para regular la producción estadística nacional. Mediante lo cual, se logrará en el SEN la producción de estadísticas bajo estándares internacionales y buenas prácticas, con la adopción de las normativas estadísticas en los procesos de producción de las estadísticas oficiales, ofreciendo a las personas usuarias productos estadísticos de calidad. (¢50 MILL)._x000D_
Continuidad servicio traducción de una serie de documentos relacionados con OE´s del INEC (¢10 MILL)</t>
  </si>
  <si>
    <t>Participación en reunión de presentación de resultados de la Encuesta de Confianza para los miembros del grupo asesor del cual el INEC forma parte._x000D_
Pasantía para dos personas del Área con el propósito de conocer respecto a la experiencia en el tema de Fortalecimiento de registros administrativos para su aprovechamiento estadístico.</t>
  </si>
  <si>
    <t>Actividad de capacitación en continuidad con las acciones llevadas a cabo durante el II semestre 2023. Lo anterior, en el marco de elaboración de la Estrategia de Socialización para la ENDE 2023-2032 y el PEN 2023-2027, para lo cual se contempló como parte de la 2da etapa de ejecución, la realización de dicha actividad durante el I trimestre 2024, con las personas encargadas de las OE´s de cada institución perteneciente al SEN.</t>
  </si>
  <si>
    <t>SP301 Área de Censos y Encuestas</t>
  </si>
  <si>
    <t>Se contempla el alquiler de 35 vehículos para ENAHO por 52 millones y 16 vehículos requeridos para ENADIS por 20 millones para el operativo de campo de las encuestas.</t>
  </si>
  <si>
    <t>Póliza de equipo electrónicos ¢ 1 000 000_x000D_
RT ¢706 800</t>
  </si>
  <si>
    <t>Se requiere para el mantenimiento, reparación de vehículos institucionales (ECE 16 080 000 para el mantenimiento y reparación/ Cartografia 1 340 000, 00 para el mantenimiento)</t>
  </si>
  <si>
    <t>Productos farmacéuticos requeridos para la adecuada desinfección, prevención y cumplimiento de protocolos sanitarios durante la ejecución de los operativos de campo. Se incluye alcohol en gel, bloqueadores y repelentes.</t>
  </si>
  <si>
    <t xml:space="preserve">Se contempla la compra de materiales como cargadores de tablet, cargadores y baterias de computadoras portátiles necesarios para los equipos utilizados durante la recolección de la información en campo y/o del personal de oficina. </t>
  </si>
  <si>
    <t>Se contempla la compra de inversores para cargar los dispositivos móviles en los vehiculos durante el operativo de campo de las encuestas, asi como repuestos y accesorios para los vehículos intitucionales.</t>
  </si>
  <si>
    <t>Textiles requeridos para ser utilizados durante la ejecución de los operativos de campo de las operaciones estadisticas, con el fin de resguardar al personal ante las inclemencias climaticas, asi como para que este identificado a la hora de visitar las viviendas y pueda generar mayor credibilidad y acceder mas fácilmente a la información.</t>
  </si>
  <si>
    <t>Materiales requeridos para el empaque de materiales y herramientes a utilizar durante las giras del personal de trabajo de campo.</t>
  </si>
  <si>
    <t>SP302 Encuesta Nacional de Hogares (ENAHO)</t>
  </si>
  <si>
    <t>Se contempla la compra de tarjetas telefónicas para el operativo de campo, las mismas se utilizan para el rescate de entrevistas pendientes, asi como SIM prepago para ser utilizados en las llamadas telefónicas y los planes requeridos para la transferencia de los datos en campo.</t>
  </si>
  <si>
    <t>Corresponde al servicio de fotocopiado e impresión litografica de manuales, hojas de control, cuestionarios, entre otros documentos requeridos para la ejecución del operativo de campo y capacitaciones del personal.</t>
  </si>
  <si>
    <t xml:space="preserve">Se incluyen recursos para el lavado de chalecos requeridos para el operativo de campo, asi como el lavado de ropa del personal que debe permanecer de gira en campo por mas de 7 día consecutivos </t>
  </si>
  <si>
    <t>Pago estimado por traslados en autobús, taxi, ferry, lancha y peajes requeridos durante el operativo de campo de la encuesta. Además se incluye el traslado de personal cuando se realicen capacitaciones en lugares fuera de la institución.</t>
  </si>
  <si>
    <t>Viáticos parciales o totales (según corresponda) requeridos durante el operativo de campo con el fin de llevar a cabo el proceso de recolección de datos en los lugares designados por la institución.  Incluye también el pago de los viáticos requeridos para la selección de personal en zona y/o la supervisión general del proyecto cuando corresponda.</t>
  </si>
  <si>
    <t>Se contempla el pago de alquiler de un espacio y la alimentación para llevar a cabo el proceso de inducción y capacitación al personal de recolección de datos de la encuesta, esto dado que no se cuenta con nigún espacio en la institución para llevar a cabo esta actividad.  Para este proceso de selección se preveé la participación de 160 personas.</t>
  </si>
  <si>
    <t>SP303 Unidad de Estadísticas Demográficas</t>
  </si>
  <si>
    <t>Se estima el servicio de enlace de datos empresarial RACSA entre el INEC y TSE INTERINSTITUCIONAL, el cual es requerido para la validación de los datos de las diversas encuestas de la institución. Contar con este acceso directo a la Plataforma de Servicios Institucionales, permite una reducción en el tiempo de producción, dado que se descargará automáticamente la información de ciertas variables al digital el número de cédula, además incidirá en un mejoramiento en la calidad. El costo de este servicio es de $238.68 mensuales.</t>
  </si>
  <si>
    <t>Se incorporan recursos económicos para una prueba piloto que permita hacer una devolución de los hallazgos para el personal del Hospital Tony Facio y personas que participaron en la prueba.  Los viáticos serían para 4 personas en Limón.</t>
  </si>
  <si>
    <t>Se contempla el alquiler de una sala con refrigerio para 50 personas con el fin de hacer una actividad de divulgación con la metodología utilizada y los productos y aplicatvos que se ponen al servicio del público, dado que para 2024 se va a contar con el cálculo de las estimaciones y proyecciones de población, según los datos del censo 2022.</t>
  </si>
  <si>
    <t>SP304 Encuesta Continua de Empleo (ECE)</t>
  </si>
  <si>
    <t>Se contempla el pago de los planes de datos requeridos para la transferencia de los datos en campo, asi como los planes para llevar a cabo el operativo de campo telefónico durante los 12 meses del año.</t>
  </si>
  <si>
    <t>Pago estimado por traslados en autobús, taxi, ferry, lancha y peajes requeridos durante el operativo de campo de la encuesta.</t>
  </si>
  <si>
    <t>Seguro de vehículos con las coberturas  A,C,D,F,H para los vehículos institucionales y una motocicleta c 7. ¢18 500 000_x000D_
RT ¢2 752 400</t>
  </si>
  <si>
    <t>Gastos correspondientes a las actividades de capacitación del personal nuevo de trabajo de campo, dado que es indispensable capacitarlos en conceptos técnicos, los cuales son fundamentales para sus labores en campo. Asimismo, tambié se incluye capacitación para el personal de campo existente, con el fin de reatroalimentarlos en nuevos conceptos y técnicas de entrevista que les permita desarrollar su trabajo de la mejor manera.</t>
  </si>
  <si>
    <t xml:space="preserve">Se requiere para lavado de vehículos institucionales </t>
  </si>
  <si>
    <t>Montos previstos en caso de renuncia o despido de funcionarios contratados por el proyecto.</t>
  </si>
  <si>
    <t>SP305 Encuesta Nacional de Microempresas y Hogares (ENAMEH)</t>
  </si>
  <si>
    <t>Se contempla el pago de alquiler de un espacio y la alimentación para llevar a cabo el proceso de inducción y capacitación al personal de recolección de datos de la encuesta, esto dado que no se cuenta con nigún espacio en la institución para llevar a cabo esta actividad.  Para este proceso de selección se preveé la participación de 65 personas.</t>
  </si>
  <si>
    <t>SP307 Unidad de Diseño, análisis y operaciones</t>
  </si>
  <si>
    <t>SP308 Unidad de Cartografía</t>
  </si>
  <si>
    <t xml:space="preserve">Salario base ¢ 151 939 200 del personal por cargos fijos para cumplir con las actividades permanentes del Instituto, según las Directrices técnicas y metodológicas para la formulación del Presupuesto 2024, Decretos y Directrices Presidenciales emitidas para este fin. </t>
  </si>
  <si>
    <t>Agregados para Actualización permanente del Marco Geoestadístico</t>
  </si>
  <si>
    <t>¢1 386 500 Cancelación de tiempo extraordinario del personal que labora para el programa y proyectos que deba realizara trabajos extraordinarios fuera del tiempo laboral + ¢ 8 139 000 Actualización permanente del Marco Geoestadístico</t>
  </si>
  <si>
    <t xml:space="preserve">Reconocimiento adicional al salario base que se paga cada vez que el funcionario cumple años de laborar en la institución pública, de acuerdo con la categoría de salarios en que esté ubicado su puesto. + ¢ Actualización permanente del Marco Geoestadístico _x000D_
</t>
  </si>
  <si>
    <t>¢20 573 900 Pago de salario adicional para los funcionarios, en cumplimiento de lo establecido en la ley de aguinaldos para Instituciones Autónomas. + ¢ 5 221 000 Actualización permanente del Marco Geoestadístico</t>
  </si>
  <si>
    <t>¢ 18 348 700 Pago de salario escolar para los funcionarios, en cumplimiento a lo establecido en la ley de salario escolar. + ¢4 505 000 Actualización permanente del Marco Geoestadístico</t>
  </si>
  <si>
    <t xml:space="preserve">Cuota patronal a la Caja Costarricense de Seguro Social por concepto de salud.¢ 22 837 100 + ¢ 5 796 000 Actualización permanente del Marco Geoestadístico </t>
  </si>
  <si>
    <t>Aporte patronal que se debe cancelar al I.M.A.S, según la Ley N°4760, artículo 3°. ¢ 1 234 400 + ¢ 313 000 Actualización permanente del Marco Geoestadístico</t>
  </si>
  <si>
    <t>Aporte patronal que se debe cancelar al I.N.A., según la Ley N°6868, artículo 15. ¢ 3 703 300 + ¢ 940 000 Actualización permanente del Marco Geoestadístico</t>
  </si>
  <si>
    <t>Aporte patronal al Fondo de Desarrollo Social y Asignaciones Familiares, según la  Ley N°5662, artículo 15. ¢ 12 344 400 + ¢ 3 133 000 Actualización permanente del Marco Geoestadístico</t>
  </si>
  <si>
    <t>Aporte patronal que se debe cancelar al Banco Popular, según la Ley N°4351, artículo 5°.¢ 1 234 400 + ¢ 313 000 Actualización permanente del Marco Geoestadístico</t>
  </si>
  <si>
    <t>Aporte patronal al Régimen Obligatorio de Pensiones Complementarias, según lo establecido en la Ley de Protección al Trabajador Ley N°7983.¢ 13 381 300 + ¢ 3 396 000 Actualización permanente del Marco Geoestadístico</t>
  </si>
  <si>
    <t>Aporte patronal al Régimen Obligatorio de Pensiones Complementarias, según lo establecido en la Ley de Protección al Trabajador Ley N°7983. ¢ 7 406 600 + ¢  1 880 000 Actualización permanente del Marco Geoestadístico</t>
  </si>
  <si>
    <t xml:space="preserve">Aporte patronal para el financiamiento del Fondo de Capitalización Laboral, según la Ley de Protección al Trabajador, Ley N°7983, artículo 3°. reformada mediante el artículo 1 de la Ley para resguardar el derecho de los trabajadores a retirar los recursos de la pensión complementaria, N.° 9906 ¢ 3 703 000 + ¢ 940 000 Actualización permanente del Marco Geoestadístico </t>
  </si>
  <si>
    <t>10 VEHÍCULO 4X4 PICK UP (MARZO A MAYO)</t>
  </si>
  <si>
    <t>Se contempla el pago de los planes requeridos para la transferencia de los datos en campo durante la actualización de UPM y Distritos de las diferentes operaciones estadisticas de la institución. + 20 PLANES DE DATOS KOLBI ULTRA K1 (MARZO A MAYO) solicitados por gerencia.</t>
  </si>
  <si>
    <t xml:space="preserve">Se incluyen recursos para el lavado de ropa del personal que debe permanecer de gira en campo por mas de 7 día consecutivos </t>
  </si>
  <si>
    <t xml:space="preserve">Monto requerido para el pago del Servicio de Acceso en Línea a Imágenes de Satélite de Alta Resolución MAXAR DigitalGlobe SecureWatchStandard para Costa Rica,  el cual necesario para mantener actualizado geoespacialmente el Marco Geoestadístico Nacional, mediante la detección de cambios en los elementos geográficos requeridos, con la escala y temporalidad establecida por la metodología de la Unidad de Cartografía del INEC. </t>
  </si>
  <si>
    <t>Pago estimado por traslados en autobús, taxi, ferry, lancha y peajes requeridos durante la actualización de UPM y Distritos de las diferentes operaciones estadisticas de la institución</t>
  </si>
  <si>
    <t>Los recuros son requeridos para la actualización de UPM y Distritos de las diferentes operaciones estadisticas de la institución. El monto corresponde a una proyección, según patrón de los últimos años de los costos por concepto de viáticos de hospedaje y alimentación de las actividades de levantamiento y actualización cartográfica de UPM. ¢ 20 300 000 + viáticos solicitados por gerencia ¢ 36 580 000 (Correo Tavo)</t>
  </si>
  <si>
    <t>Se estima el costo del transporte requerido para llevar a cabo una pasantia en Colombia durante 7 días para 2 personas, con el objetivo de conocer sobre cómo se actualiza  el Marco Geostadístico Nacional de Colombia, el cual es un sistema diseñado por el DANE para referenciar la información estadística a su localización geográfica; asocia cada dato estadístico al lugar sobre la superficie terrestre donde se está originando, facilitando los procesos de planeación, recolección de datos, procesamiento, análisis y difusión de la información. Es de intéres conocer ampliamente, desde su conceptualización e integración con la infraestrucura de datos espaciales de Colombia (normas y estándares), organización de procesos operativos,  insumos geosespaciales y aplicativos utilzados para la actualización en campo y oficina de forma permanente, la publicación de datos vía web y el marco legal que lo rige.</t>
  </si>
  <si>
    <t>Se estiman viáticos de alimentación para llevar a cabo una pasantia en Colombia durante 7 días para dos personas,  con el objetivo de conocer sobre cómo se actualiza  el Marco Geostadístico Nacional de Colombia, el cual es un sistema diseñado por el DANE para referenciar la información estadística a su localización geográfica; asocia cada dato estadístico al lugar sobre la superficie terrestre donde se está originando, facilitando los procesos de planeación, recolección de datos, procesamiento, análisis y difusión de la información. Es de intéres conocer ampliamente, desde su conceptualización e integración con la infraestrucura de datos espaciales de Colombia (normas y estándares), organización de procesos operativos,  insumos geosespaciales y aplicativos utilzados para la actualización en campo y oficina de forma permanente, la publicación de datos vía web y el marco legal que lo rige.</t>
  </si>
  <si>
    <t>Seguro de vehículos con las coberturas  A,C,D,F,H para los vehículos institucionales y una motocicleta c 7.¢ 2 000 000_x000D_
RT ¢1 664 300</t>
  </si>
  <si>
    <t>Monto solicitado por Gerencia ¢ 2 000 000</t>
  </si>
  <si>
    <t>Personal que se acoge a Cese Laboral</t>
  </si>
  <si>
    <t>SP309 Muestreo</t>
  </si>
  <si>
    <t>SP310 Encuestas Especiales (ENUT)</t>
  </si>
  <si>
    <t>Superávit</t>
  </si>
  <si>
    <t>SP313 Área de Estadísticas Continuas</t>
  </si>
  <si>
    <t>Servicio de vigilancia, monitoreo y respuesta armada las 24 horas, se estima de acuerdo a la base real del primer semestre y a la proyección del segundo semestre del 2023 más un incremento del índice de precios del semestre por concepto de reajuste de precios. 1% de incremento para cada semestre 2024_x000D_
_x000D_
Servicio de limpieza de oficinas y áreas comunes de acuerdo a la base real del primer semestre y a la proyección del segundo semestre del 2023 más un incremento proyectado del índice de precios del semestre por concepto de reajuste de precios. 1% de incremento para cada semestre 2024.</t>
  </si>
  <si>
    <t>Asesoria para diseño de estrategias de capacitación de operaciones estadísticas, agregado por la gerencia.</t>
  </si>
  <si>
    <t>Póliza de equipo electrónicos ¢ 1 000 000_x000D_
RT ¢453 600</t>
  </si>
  <si>
    <t>Se requiere para el mantenimiento, reparación y lavado de vehículos institucionales (ENA ¢18 760 000 para el mantenimiento y reparación y ¢3 000 000 para lavado / IPC 4 520 000)</t>
  </si>
  <si>
    <t>Se consideran recursos para el pago de combustible de las operaciones estadísticas continuas del AEC. ENA 25 000 000 / IPC 5 500 007</t>
  </si>
  <si>
    <t>Se consideran recursos para los kits de trabajo de campo en recolección de datos, se contemplan ENA: 19 entrevistadores, 5 supervisores y 3 choferes. IPC: 13 entrevistadores, 3 supervisores y 3 choferes</t>
  </si>
  <si>
    <t>Se consideran recursos para la adquisición de bancos de poder, cargadores, inversores, base enfriamiento y accesorios de computo de las operaciones estadísticas del AEC.</t>
  </si>
  <si>
    <t>Considera los gastos por concepto de compra de repuestos que se usan para el mantenimiento y reparación de maquinaria y equipo así como accesorios, que no incrementen la vida útil del bien y no son capitalizables, por ejemplo: llantas, baterías, escobillas, espejos, parabrisas, racks, canastas, etc._x000D_
Se excluyen los repuestos y accesorios destinados al mantenimiento y reparación de los sistemas eléctricos, telefónicos y de cómputo que forman parte integral de las obras, los cuales  se clasifican en la subpartida  2.03.04 “Materiales y productos eléctricos, telefónicos y de cómputo".</t>
  </si>
  <si>
    <t>Se consideran los textiles y vestuario para las personas funcionarias de recolección de datos de las operaciones estadísticas del AEC (ENA e IPC).</t>
  </si>
  <si>
    <t>Se consideran recursos para los kits de trabajo de campo se contemplan ENA: 19 entrevistadores, 5 supervisores y 3 choferes. IPC: 13 entrevistadores, 3 supervisores y 3 choferes</t>
  </si>
  <si>
    <t>SP314 Unidad de Índice de Precios</t>
  </si>
  <si>
    <t>Comprende el pago de servicio de telefonía, fax, redes de información y otros a nivel nacional e internacional según consumo estimado espacio asignado. Esta estimación se realiza con base en el promedio real de enero a junio y un promedio proyectado de junio 2023 más un incremento del 6% anual._x000D_
_x000D_
Se contratan 2 planes para Gerencia que incluye terminales ¢ 60 000 colones al mes para cada uno y un plan más para el proceso de Prensa ¢ 30 000 colones al mes. _x000D_
_x000D_
Planes post pago para el operativo recolección datos IPC</t>
  </si>
  <si>
    <t>Contempla los gastos por concepto de servicio de traslado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transporte.</t>
  </si>
  <si>
    <t>Erogaciones por concepto de atención de hospedaje, alimentación y otros gastos menores relacionados,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viático. Se consideran 1 persona encargada de recolección, 3 supervisores, 13 entrevistadores y 3 choferes.</t>
  </si>
  <si>
    <t>Se consideran recursos para un viaje al exterior para dos personas como observadores de la UIP realizada en ese país (Colombia, Mexico o Chile)._x000D_
_x000D_
En el año 2022, el INEC y el Banco Central de Costa Rica (BCCR) firmaron un convenio marco de cooperación interinstitucional, en el cual se estableció una cláusula para formalizar el traslado de los índices de precios requeridos para el cálculo de las estadísticas macroeconómicas del país. Aunque el INEC tiene experiencia en el cálculo del IPC, los Índices de Precios de la Construcción y las Encuesta de Paridades del Poder Adquisitivo (EPPA), no tiene experiencia en cálculo de los IPP, por lo que se requiere conocer la experiencia de oficinas de estadística nacionales que hayan implementado el cálculo de estos índices, conocer cual fue el proceso realizado y capacitar al personal técnico del INEC.</t>
  </si>
  <si>
    <t>Seguro de vehículos con las coberturas  A,C,D,F,H para los vehículos institucionales y una motocicleta c 7. ¢ 5 000 000_x000D_
RT ¢1 950 100</t>
  </si>
  <si>
    <t>SP315 Encuesta Nacional Agropecuaria (ENA)</t>
  </si>
  <si>
    <t>Comprende el pago de servicio de telefonía, fax, redes de información y otros a nivel nacional e internacional según consumo estimado espacio asignado. Esta estimación se realiza con base en el promedio real de enero a junio y un promedio proyectado de junio 2023 más un incremento del 6% anual._x000D_
_x000D_
Se contratan 2 planes para Gerencia que incluye terminales ¢ 60 000 colones al mes para cada uno y un plan más para el proceso de Prensa ¢ 30 000 colones al mes._x000D_
_x000D_
¢333 700  Telefonía institucional _x000D_
_x000D_
¢8.000.000 para planes postpago para: 1 persona encargada de recolección, 5 personas supervisoras y 19 personas entrevistadoras. Los planes son ultra K (1, 2 y 4).  Con el fin de suplir al personal de medios de comunicación para realizar el operativo telefónico de recolección de datos estadísticos, de igual manera para la comunicación con oficina centrales, supervisor-entrevistador y viceversa.</t>
  </si>
  <si>
    <t>Se consideran recursos para la impresión de documentos en zonas de los funcionarios de la ENA, en total 19 zonas distribuidas en todo el país.</t>
  </si>
  <si>
    <t>Se consideran recursos para eventuales pagos de bote, ferry, panga, canoa, lancha y similares, debido a las particularidades de la operación estadística y la condición de las fincas.</t>
  </si>
  <si>
    <t>Se contemplan recursos (¢75 000) para lavado de ropa de las personas funcionarias cuyas giras sean periodos superiores a 1 semana._x000D_
_x000D_
Servicio de vigilancia, monitoreo y respuesta armada las 24 horas, se estima de acuerdo a la base real del primer semestre y a la proyección del segundo semestre del 2023 más un incremento del índice de precios del semestre por concepto de reajuste de precios. 1% de incremento para cada semestre 2024_x000D_
_x000D_
Servicio de limpieza de oficinas y áreas comunes de acuerdo a la base real del primer semestre y a la proyección del segundo semestre del 2023 más un incremento proyectado del índice de precios del semestre por concepto de reajuste de precios. 1% de incremento para cada semestre 2024.</t>
  </si>
  <si>
    <t>Erogaciones por concepto de atención de hospedaje, alimentación y otros gastos menores relacionados,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viático. Se consideran 1 encargado de recolección, 19 personas entrevistadoras, 5 personas supervisoras, 5 choferes durante el primer trimestre y dos choferes despues del primer trimestre.</t>
  </si>
  <si>
    <t xml:space="preserve">Seguro de vehículos con las coberturas  A,C,D,F,H para los vehículos institucionales y una motocicleta c 7.¢21 500 000_x000D_
RT ¢ 2 017 900 </t>
  </si>
  <si>
    <t>Considera los gastos por la prestación de servicios destinados a la inauguración y clausura, formación, actualización y desarrollo del conocimiento, que se contratan con personas físicas y jurídicas._x000D_
_x000D_
Para capacitacion anual ENA en donde participan todas las persoans funcionarias de la encuesta, se realiza en el mes de junio o diciembre 2024 y se deben hospedar a las personas funcionarias que residen en zonas.</t>
  </si>
  <si>
    <t>DOS CHOFERES CON FECHA INICIO ENERO A MARZO</t>
  </si>
  <si>
    <t>SP317 Directorio de Empresas y Establecimientos (DEE)</t>
  </si>
  <si>
    <t>Comprende el pago de audiometrías solicitadas por el médico institucional para el personal del call center del DEE, con el fin de evaluar la salud auditiva y realizar un plan de conservación en esta área.</t>
  </si>
  <si>
    <t>SP318 Unidad de Estadísticas Económicas</t>
  </si>
  <si>
    <t>Erogaciones por concepto de atención de hospedaje, alimentación y otros gastos menores relacionados,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viático. 1 chofer 4 veces al año, una vez por trimestre.</t>
  </si>
  <si>
    <t>SP321 Sistema Integrado Encuesta a Hogares (SIEH) (CF)</t>
  </si>
  <si>
    <t>SP322 Encuesta Económica de Empresa</t>
  </si>
  <si>
    <t>Aportes que la institución transfiere a los órganos que integran el Gobierno Central, para atender gastos corrientes.  Según oficio DGI-GIE-0013-2023 Transferencia a Hacienda del E.E.E</t>
  </si>
  <si>
    <t>SP323 ENIGH / ENFIHO (CF)</t>
  </si>
  <si>
    <t>Horas Extras</t>
  </si>
  <si>
    <t>SP327 Censo Nac.Poblac. y Vivienda (CNPV) (SE)</t>
  </si>
  <si>
    <t>Aporte patronal que se debe cancelar al I.N.A., según la Ley N°6868, artículo 15</t>
  </si>
  <si>
    <t>SP334 Enc. Registro Estadistico de Poblacion</t>
  </si>
  <si>
    <t>SP337 Enc. Nac. de Demanda Lab. Comercio (ENADEL) (CF)</t>
  </si>
  <si>
    <t>Aporte patronal al Régimen Obligatorio de Pensiones Complementarias, según lo establecido en la Ley de Protección al Trabajador Ley N°7983</t>
  </si>
  <si>
    <t>SP338 Censos Nacionales (CF)</t>
  </si>
  <si>
    <t xml:space="preserve">Presentaciones de resultados del Censo Nacional y análisis de productos con usuarios </t>
  </si>
  <si>
    <t xml:space="preserve">Participación en talleres y capacitaciones en temas censales </t>
  </si>
  <si>
    <t xml:space="preserve">Capacitación para el uso de la información censal a usuarios </t>
  </si>
  <si>
    <t>SP339 Sistema Integrado Encuesta a Hogares (SIEH) (SE)</t>
  </si>
  <si>
    <t>Estos recursos son necesarios para llevar a cabo pruebas al cuestionario del SIEH en campo, las cuales serán fundamentales para cumplimiento de las metas establecidas en el plan de trabajo del próximo año. En total se estiman viáticos para  equipos de trabajo considerando personal de equipo temático y de recolección.</t>
  </si>
  <si>
    <t xml:space="preserve">Contratación de alimentación e instalaciones para talleres de socialización del proyecto SIEH a institituciones, se estiman recursos para dos días a 40 personas en total. </t>
  </si>
  <si>
    <t>SP341 ENIGH / ENFIHO (SE)</t>
  </si>
  <si>
    <t>Anual</t>
  </si>
  <si>
    <t>a</t>
  </si>
  <si>
    <t>Se contempla el alquiler de vehículos requeridos para el operativo de campo de la ENIGH durante enero a diciembre 2024. + Se contempla el alquiler de vehículos requeridos para el operativo de campo de la ENA durante enero a diciembre 2024 ¢ 15 000 000</t>
  </si>
  <si>
    <t>Servicio de energía eléctrica, según consumo. Esta estimación se realiza con base en el promedio real de enero a junio y un promedio proyectado al segundo</t>
  </si>
  <si>
    <t>Se consideran recursos para la contratación de impresos de cuestionarios ENIGH, volantes y brochure para la Nacional 2024.</t>
  </si>
  <si>
    <t xml:space="preserve">Se consideran recursos para eventuales pagos de bote, ferry, panga, canoa, lancha y similares, debido a las particularidades de la operación estadística </t>
  </si>
  <si>
    <t>Se contemplan recursos (¢3 450 000) para lavado de ropa de las personas funcionarias cuyas giras sean periodos superiores a 1 semana._x000D_
_x000D_
Servicio de vigilancia, monitoreo y respuesta armada las 24 horas, se estima de acuerdo a la base real del primer semestre y a la proyección del segundo semestre del 2023 más un incremento del índice de precios del semestre por concepto de reajuste de precios. 1% de incremento para cada semestre 2024_x000D_
_x000D_
Servicio de limpieza de oficinas y áreas comunes de acuerdo a la base real del primer semestre y a la proyección del segundo semestre del 2023 más un incremento proyectado del índice de precios del semestre por concepto de reajuste de precios. 1% de incremento para cada semestre 2024.</t>
  </si>
  <si>
    <t>Erogaciones por concepto de atención de hospedaje, alimentación y otros gastos menores relacionados,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viático. Se consideran 20 personas supervisoras, 40 personas entrevistadoras y 19 choferes._x000D_
_x000D_
400 000 para el pago de los dispositivos quick pass por concepto de peaje.</t>
  </si>
  <si>
    <t>Erogaciones por concepto de atención de hospedaje, alimentación y otros gastos menores relacionados,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viático. Se consideran 20 personas supervisoras, 40 personas entrevistadoras y 19 choferes.</t>
  </si>
  <si>
    <t>Se consideran recursos para un viaje a Chile para dos personas como observadores de la ENIGH realizada en ese país. Además de ver experiencia IX EPF, depuración final,  imputación y análisis de datos.</t>
  </si>
  <si>
    <t>Se requiere para el mantenimiento, reparación y lavado de vehículos institucionales</t>
  </si>
  <si>
    <t>Monto correspondiente a la compra de combustible requerido para llevar a cabo la actualización y levantamiento cartográfico. Así como la ejecución de las operaciones_x000D_
estadísticas.</t>
  </si>
  <si>
    <t>Se consideran recursos para la Nacional 2024.</t>
  </si>
  <si>
    <t>Para la compra de llantas para diferentes vehículos del INEC.</t>
  </si>
  <si>
    <t>Para el operativo de recolección de datos ENIGH 2024</t>
  </si>
  <si>
    <t>SP342 Enc. Nac. de Demanda Lab. Comercio (ENADEL) (CE)</t>
  </si>
  <si>
    <t>Comprende el pago de servicio de telefonía, fax, redes de información y otros a nivel nacional e internacional según consumo estimado espacio asignado. Esta estimación se realiza con base en el promedio real de enero a junio y un promedio proyectado de junio 2023 más un incremento del 6% anual._x000D_
_x000D_
Se contratan 2 planes para Gerencia que incluye terminales ¢ 60 000 colones al mes para cada uno y un plan más para el proceso de Prensa ¢ 30 000 colones al mes. _x000D_
_x000D_
Consumo telefonico. ¢327 400_x000D_
_x000D_
 ¢1 500 000 para planes postpago institucionales, se considera: 1 persona encargada de recolección, 1 supervisor, 8 personas entrevistadoras. Planes ultr K (k1).</t>
  </si>
  <si>
    <t>Se consideran recursos para evetuales pagos de bote, ferry, panga, canoa, lancha y similares, debido a las particularidades de la operación estadística, principalmente por las Regiones Chorotega, Pacífico Central y Brunca).</t>
  </si>
  <si>
    <t>Erogaciones por concepto de atención de hospedaje, alimentación y otros gastos menores relacionados, que las instituciones públicas reconocen a sus servidores, cuando estos deban desplazarse en forma transitoria de su centro de trabajo a algún lugar del territorio nacional, con el propósito de cumplir con las funciones de su cargo o las señaladas en convenios suscritos entre la institución y el beneficiario del viático. Se consideran 1 persona encargada de recolección, 1  personas supervisora, 8 personas entrevistadoras y 1 chofer durante el primer trimestre y  luego 1 chofer de mayo a diciembre.</t>
  </si>
  <si>
    <t>vEHÍCU LO ¢ 3 000 000_x000D_
RT ¢208 700</t>
  </si>
  <si>
    <t>Se requiere para el mantenimiento, reparación y lavado de vehículos institucionales (ENADEL para el mantenimiento).</t>
  </si>
  <si>
    <t>Se consideran recursos para el kit de protección y limpieza de las personas funcionarias en trabajo de recolección de datos ENADEL.</t>
  </si>
  <si>
    <t>Para el operativo de campo en recolección de datos</t>
  </si>
  <si>
    <t>Para el operativo de recolección de datos 2024</t>
  </si>
  <si>
    <t>SP343 ENCUESTAS ESPECIALES (CF)</t>
  </si>
  <si>
    <t>SP401 Área de Información y Divulgación Estadística</t>
  </si>
  <si>
    <t>rt</t>
  </si>
  <si>
    <t>SP402 Centro de Información</t>
  </si>
  <si>
    <t>SP403 Producción Gráfica</t>
  </si>
  <si>
    <t>SP404 Biblioteca</t>
  </si>
  <si>
    <t>SP405 Comunicación</t>
  </si>
  <si>
    <t>Aporte patronal que se debe cancelar al I.M.A.S, según la Ley N°4760, artículo 3°</t>
  </si>
  <si>
    <t>Continuidad contrato por servicio de monitoreo y control de informaciones, brindado por la empresa COES.</t>
  </si>
  <si>
    <t>SP406 Servicios de Información</t>
  </si>
  <si>
    <t>En esta partida se consideran recursos para apoyar la labor de campo de diversas operaciones estadísticas que mantienen continuidad durante 2024 mediante campañas digitales segmentadas (20 MILL). También se consideran recursos para campaña de marketing digital que apoya el cumplimiento del Proyecto Modelo Integral de Atención a la Persona Usuaria (MIAPU_18.5 MILL). La trámite de contratación se gestionará en el segundo semestre 2023, por lo tanto los recursos se requieren para la continuidad del servicio. + ¢ 3 850 000 que corresponde al 10% que se deben pautar con SINART para el cumplimiento de la Ley Orgánica del Sistema Nacional de Radio y Televisión Cultural (SINART), Ley n.° 8346</t>
  </si>
  <si>
    <t>Suscripción anual digital a periódicos de circulación nacional. Es indispensable tener con una alta oportunidad el acceso a las noticias de relevancia nacional e internacional, que pueden tener impacto en el quehacer institucional, tanto para dar seguimiento a las publicaciones de los resultados, su uso e interpretación de los medios de comunicación, como por otros públicos institucionales. Actualmente, los medios de comunicación son una plataforma de acceso a la ciudadanía que multiplican la divulgación del INEC, razón por la cual el contar con acceso ilimitado a todas noticias en tiempo real en los medios digitales es sumamente valioso y prioritario. Asimismo, es necesario conocer el entorno económico y social de la producción institucional y por ello el acceso a estos medios es considerado_x000D_
como una herramienta fundamental.</t>
  </si>
  <si>
    <t>Los recursos incluyen las necesidades del Proyecto Modelo Integral de Atención a la Persona Usuaria (MIAPU_63 MILL). El trámite de contratación se gestionará en el segundo semestre 2023, por lo tanto los recursos se requieren para la continuidad del servicio. Cambio solicitado por la gerencia</t>
  </si>
  <si>
    <t>Recursos necesarios para cubrir los gastos asociados giras que realicen para registro audiovisual en campo de diversas operaciones estadísticas, se pretende hacer un registro audiovisual considerando zonas urbanas, rurales, playa, zona norte.</t>
  </si>
  <si>
    <t>Afiliación del INEC al Instituto Interamericano de Estadística (IASI). Es importante que el INEC, esté afiliado a este instituto. Es una organización técnica para fomentar el desarrollo estadístico en la región americana. Como afiliado se recibe una revista.</t>
  </si>
  <si>
    <t>SP407 Difusión y Promoción</t>
  </si>
  <si>
    <t xml:space="preserve">Continuidad de consultoria de presupuesto de la construcción </t>
  </si>
  <si>
    <t>NOMBRE SUBPARTIDA</t>
  </si>
  <si>
    <t>Monto Activos Financieros (2024 se financio con BCCR)</t>
  </si>
  <si>
    <t>Contribución Patronal al Seguro de Pensiones  de la Caja Costarricense de Seguro Social, según lo establecido en la Ley de Protección al Trabajador Ley N°7983.</t>
  </si>
  <si>
    <t>Recursos necesarios para publicaciones institucionales de los reglamentos e información importante para conocimiento de la población en la Gaceta</t>
  </si>
  <si>
    <t>Contratación para tener asesoría en temas varios del Marco de Gobierno y Gestión de TI ¢ 40 millones + Continuidad en asesorías para el cambio de tecnología de desarrollo de sistemas ¢ 30 000 000 + Continuidad en asesoría de Gestión de la administración de Ciberseguridad  ¢ 70 000 000 (inicialmente era 50 millones luego gerencia agrego  20 millones adicionales)</t>
  </si>
  <si>
    <t xml:space="preserve">Para aplicación de pruebas de reclutamiento y selección de personal, asimismo, para el pago de RTV solicitado por Transportes.  
Rotulación  interna del  edifico y vehículos institucionales. 
Continuidad del servicio del actuario en la actualización  de la formula de prestaciones legales.
Consultoría para un estudio de cargas de trabajo de los diferente proyectos y unidades del instituto. 
Asesoría Marco de gestión TI  y continuidad de la asesoría para el proceso de desarrollo de sistemas y diagnóstico de la ciberseguridad del INEC. </t>
  </si>
  <si>
    <t xml:space="preserve">Para la compra de talonarios para peajes cada uno para ser utilizados en los puestos de carreteras nacionales, además del pago de los dispositivos quick pass por concepto de peaje.  Asimismo se contempla  para pagos de transporte público en caso que el Proceso de transportes no cuente con los recursos necesarios para atender las solicitudes de transportes, así como el pago de parqueos de la mensajería institucional.
La Auditoría Interna para lograr una información con evidencia y más detallada en la ejecución de las encuestas es necesario hacer los desplazamientos a los lugares donde se realizan las actividades, por lo que es necesario contar con recursos para el transporte requerido   </t>
  </si>
  <si>
    <t>Tiquetes aereos para participar en reuniones de las Naciones Unidas, Comisión de Estadística de OCDE y la CEA.
Asistencia a eventos internacionales para formación en diversos temas, algunos asumidos por participar en grupos de trabajo de la OCDE y otros de interes institucional por su temática</t>
  </si>
  <si>
    <t>Viaticos para participar en reuniones de las Naciones Unidas, Comisión de Estadística de OCDE y la CEA.
Asistencia a eventos internacionales para formación en diversos temas, algunos asumidos por participar en grupos de trabajo de la OCDE y otros de interes institucional por su temática</t>
  </si>
  <si>
    <t>Se requiere presupuesto para continuar con el contrato de mantenimiento preventivo y correctivo de los aire acondicionados, plotter e impresoras, como reloj de la institución. 
Adicionalmente , se requiere reparar mobiliario que por el constante uso causa deterioro y Mantenimiento preventivo de la estantería móvil del Depósito de Archivo Central y del Archivo de Gestión de Recursos Humanos</t>
  </si>
  <si>
    <t>Se requiere para contratar el servicio de recolección de desechos infecto contagioso del consultorio médico.</t>
  </si>
  <si>
    <t>Para de materiales parte el mantenimiento preventivo y reconocimientos para personal por años laborados, reconocimiento para personal pensionado,</t>
  </si>
  <si>
    <t xml:space="preserve">kits de trabajo de campo a utilizar durante las giras del personal de trabajo en sus diferentes encuestas. </t>
  </si>
  <si>
    <t>Servicio de monitoreo y control de informaciones.  Se requiere para contratar el servicio de control y monitoreo de redes sociales, noticias y todas las actividades comunicacionales atinentes al INEC expuestas públicamente.
Para la contratación de diferentes servicios de comunicación como el de Agencia de comunicación para atender necesidades institucionales y de diversas operaciones estadísticas. Asimismo el servicio de monitoreo de informaciones difundidas en diversos medios de comunicación. Los recursos incluyen las necesidades del Proyecto Modelo Integral de Atención a la Persona Usuaria (MIAPU).</t>
  </si>
  <si>
    <t>Aro de luz:  Esta luz regulable permitirá mejorar el control de iluminación para la grabación de videos de los voceros institucionales en espacios interiores, especialmente en condiciones de iluminación ambiental insuficiente. De no contar con este recurso las tomas que se realicen para la producción audiovisual del INEC, en especial en interiores, no tendrán la calidad necesaria por obtenerse tomas con baja iluminación.
Micrófonos de solapa: Permite el registro de audio con calidad apropiada durante entrevistas o declaraciones de personas voceras. La funcionalidad inalámbrica permite movimiento independiente de la persona que habla y de la persona que opera la cámara, lo cual ofrece mayores oportunidades para la grabación. Se requiere para el proceso de producción audiovisua.</t>
  </si>
  <si>
    <t xml:space="preserve">
Recursos para cubrir el transporte aéreo para que un representante de la Gerencia participe en las siguientes actividades:  período de sesiones de la Comisión de Estadística de las Naciones Unidas, Reunión del Comité Ejecutivo de la Conferencia Estadística de las Américas, comisión de Estadística de OCDE y asistencia al Congreso Médico de Ergonomía.
Según las normas para el ejercicio de la auditoría interna emitida por la Contraloría General de República, el personal de este despacho debe estar en un mejoramiento continuo, incluyendo su capacitación, por lo que se podrían presentar capacitaciones en el exterior, para lo cual se requiere cubrir costos en transporte o pasantía.
  </t>
  </si>
  <si>
    <t xml:space="preserve">Se requiere para la sustituir las cámaras de seguridad que por el uso habitual y estar expuestos a factores externos estén descompuestas y compra de teléfonos móviles de las gerencias. </t>
  </si>
  <si>
    <t>Servicio de vigilancia, monitoreo y respuesta armada las 24 horas, se estima de acuerdo a la base real del primer semestre y a la proyección del segundo semestre del 2023 más un incremento del índice de precios del semestre por concepto de reajuste de precios. 
Servicio de limpieza de oficinas y áreas comunes de acuerdo a la base real del primer semestre y a la proyección del segundo semestre del 2023 más un incremento proyectado del índice de precios del semestre por concepto de reajuste de precios.
Adicional, recursos para el lavado de chalecos requeridos para el operativo de campo, así como el lavado de ropa del personal que debe permanecer de gira en campo por mas de 7 día consecutivos.</t>
  </si>
  <si>
    <t>Indumentaria requerida durante la ejecución de los operativos de campo de las operaciones estadísticas, con el fin de resguardar al personal ante las inclemencias climáticas, así como para que este identificado a la hora de visitar las viviendas y pueda generar mayor credibilidad</t>
  </si>
  <si>
    <t>Adquisición de Aro de luz para que sea regulable permitirá mejorar el control de iluminación para la grabación de videos de los voceros institucionales en espacios interiores, especialmente en condiciones de iluminación ambiental insuficiente. 
Compra de micrófonos inalámbricos, que permite el registro de audio con calidad apropiada durante entrevistas o declaraciones de personas voceras</t>
  </si>
  <si>
    <t xml:space="preserve">Servicio de vigilancia, monitoreo y respuesta armada las 24 horas, se estima de acuerdo a la base real del primer semestre y a la proyección del segundo semestre del 2023 más un incremento del índice de precios del semestre por concepto de reajuste de precios. 
Servicio de limpieza de oficinas y áreas comunes de acuerdo a la base real del primer semestre y a la proyección del segundo semestre del 20223 más un incremento proyectado del índice de precios del semestre por concepto de reajuste de precios.
Se requiere cancelar los servicios de fumigación dos veces al año, recarga de extintores, servicio de monitoreo de los vehículos y servicio de custodia de cajas con material censal , servicio de rotulación del edificio. </t>
  </si>
  <si>
    <t xml:space="preserve">
La Ley 9694 establece en su artículo 53, la autorización (dada la naturaleza de la institución) de crear un fondo con los recursos que se reciben, que funcione de reserva destinada exclusivamente al financiamiento costos de los censos nacionales, de otras operaciones estadísticas con una periodicidad superior a los dos años y de la revisión y actualización de las metodologías utilizadas en la producción de las estadísticas oficiales.
Dada la periodicidad e inversión que requieren las diversas operaciones estadísticas, el Instituto ha desarrollado una planificación con enfoque plurianual, de acuerdo con sus competencias y finalidades, donde se proyecta el costo requerido para el desarrollo de las diversas operaciones y las previsiones presupuestarias que se requieren para cada año durante un periodo de 10 años. 
Por antes expuesto se incluye la siguiente meta en el POI "Reservado el 100% de los recursos destinados a la ejecución de proyectos estadísticos conforme al Plan Plurianual de Producción Estadística, a diciembre 2024."</t>
  </si>
  <si>
    <t xml:space="preserve">Los recursos necesarios para continuar con la contratación del diseño, conformación, desarrollo e implementación de un Geo portal Estadístico para el INEC, así como el diseño, desarrollo e implementación de los módulos del Sistema Administrador de Encuestas.
Monto requerido para el pago del Servicio de Acceso en Línea a Imágenes de Satélite de Alta Resolución MAXAR DigitalGlobe SecureWatchStandard para Costa Rica,  el cual necesario para mantener actualizado geoespacialmente el Marco Geoestadístico Nacional, mediante la detección de cambios en los elementos geográficos requeridos, con la escala y temporalidad establecida por la metodología de la Unidad de Cart+C59:C61ografía del INEC. </t>
  </si>
  <si>
    <t>Se estima el costo del transporte y viáticos al exterior  requeridos para llevar a cabo una pasantía en Colombia durante 7 días para 2 personas, con el objetivo de conocer sobre cómo se actualiza  el Marco Geoestadístico Nacional de Colombia, el cual es un sistema diseñado por el DANE para referenciar la información estadística a su localización geográfica; asocia cada dato estadístico al lugar sobre la superficie terrestre donde se está originando, facilitando los procesos de planeación, recolección de datos, procesamiento, análisis y difusión de la información. Es de interés conocer ampliamente, desde su conceptualización e integración con la infraestructura de datos espaciales de Colombia (normas y estándares), organización de procesos operativos,  insumos geoespaciales y aplicativos utilizados para la actualización en campo y oficina de forma permanente, la publicación de datos vía web y el marco legal que lo rige.</t>
  </si>
  <si>
    <t>TOTAL PRESUPUESTO ORDINARIO 2024</t>
  </si>
  <si>
    <t>Fondo</t>
  </si>
  <si>
    <t>Total</t>
  </si>
  <si>
    <t>En el año 2022, el INEC y el Banco Central de Costa Rica (BCCR) firmaron un convenio marco de cooperación interinstitucional, en el cual se estableció una cláusula para formalizar el traslado de los índices de precios requeridos para el cálculo de las estadísticas macroeconómicas del país. Aunque el INEC tiene experiencia en el cálculo del IPC, los Índices de Precios de la Construcción y las Encuesta de Paridades del Poder Adquisitivo (EPPA), no tiene experiencia en cálculo de los IPP, por lo que se requiere conocer la experiencia de oficinas de estadística nacionales que hayan implementado el cálculo de estos índices, conocer cual fue el proceso realizado y capacitar al personal técnico del INEC, se esta po definir el país entre Colombia, Chile y México.
Se consideran recursos para un viaje a Chile para dos personas como observadores de la ENIGH realizada en ese país. Además de ver experiencia IX Encuesta de Presupuestos Familiares ( EPF), depuración final,  imputación y análisis de datos.</t>
  </si>
  <si>
    <t xml:space="preserve">Se requiere para dar continuidad a la  contratación del Servicio de traducción de una serie de documentos relacionados con las diferentes operaciones estadísticas del INEC. 
Servicio de revisión de una serie de documentos metodológicos, legales, publicaciones, entre otros; por parte de un experto en Filología
continuidad servicio revisión filológica de documentos.
Asesoría  para el diseño de una estrategia de  capacitación y el diseño de dos curos de capacitación  de normativa estadística dirigidos al personal enlace de las entidades SEN </t>
  </si>
  <si>
    <t>Monto Agregado adicional por aumento salarial</t>
  </si>
  <si>
    <t>Monto Agregado adicional por un chofer que faltaba</t>
  </si>
  <si>
    <t>4 Activos Financieros</t>
  </si>
  <si>
    <t>Mantnimiento de página WEB</t>
  </si>
  <si>
    <t>Ajuste desp. 15 setiembre 2023</t>
  </si>
  <si>
    <t xml:space="preserve">                                                                                                                                                                                                                                                                                                                                                                                            </t>
  </si>
  <si>
    <t>Los recursos son necesarios para continuar con la contratación del diseño, conformación, desarrollo e implementación de un Geoportal Estadístico para el INEC, asi como el diseño, desarrollo e implementación de los módulos del Sistema Administrador de Encuestas. + Agregaron ¢ 83,5 millones por parte de la gerencia.</t>
  </si>
  <si>
    <t>compra de combustible para para los vehículos institucionales que utiliza este programa, además se incluye insumos para el mantenimiento de los vehículos asignados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</si>
</sst>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164" formatCode="_(* #,##0.00_);_(* \(#,##0.00\);_(* &quot;-&quot;??_);_(@_)"/>
    <numFmt numFmtId="165" formatCode="_([$€]* #,##0.00_);_([$€]* \(#,##0.00\);_([$€]* &quot;-&quot;??_);_(@_)"/>
    <numFmt numFmtId="166" formatCode="0.0%"/>
    <numFmt numFmtId="167" formatCode="#,##0.00\ _$;[Red]\-#,##0.00\ _$"/>
    <numFmt numFmtId="168" formatCode="#,##0.0"/>
    <numFmt numFmtId="169" formatCode="_(* #,##0_);_(* \(#,##0\);_(* &quot;-&quot;??_);_(@_)"/>
    <numFmt numFmtId="170" formatCode="#\ ###\ ###\ ##0"/>
    <numFmt numFmtId="171" formatCode="###,###,###,##0.00"/>
    <numFmt numFmtId="172" formatCode="#,##0.00_ ;\-#,##0.00\ "/>
    <numFmt numFmtId="173" formatCode="###,###,##0.00"/>
    <numFmt numFmtId="174" formatCode="###,###,###.00"/>
    <numFmt numFmtId="175" formatCode="###,###,###,###.00"/>
    <numFmt numFmtId="176" formatCode="0.0"/>
  </numFmts>
  <fonts count="77" x14ac:knownFonts="1">
    <font>
      <sz val="10"/>
      <name val="Arial"/>
    </font>
    <font>
      <sz val="10"/>
      <name val="Arial"/>
      <family val="2"/>
    </font>
    <font>
      <sz val="8"/>
      <name val="Arial"/>
      <family val="2"/>
    </font>
    <font>
      <sz val="9"/>
      <name val="Tahoma"/>
      <family val="2"/>
    </font>
    <font>
      <sz val="8"/>
      <name val="Tahoma"/>
      <family val="2"/>
    </font>
    <font>
      <sz val="10"/>
      <name val="Tahoma"/>
      <family val="2"/>
    </font>
    <font>
      <sz val="10"/>
      <name val="Arial"/>
      <family val="2"/>
    </font>
    <font>
      <b/>
      <sz val="9"/>
      <name val="Tw Cen MT"/>
      <family val="2"/>
    </font>
    <font>
      <sz val="9"/>
      <name val="Tw Cen MT"/>
      <family val="2"/>
    </font>
    <font>
      <b/>
      <sz val="10"/>
      <name val="Tw Cen MT"/>
      <family val="2"/>
    </font>
    <font>
      <sz val="10"/>
      <name val="Tw Cen MT"/>
      <family val="2"/>
    </font>
    <font>
      <b/>
      <sz val="10"/>
      <color indexed="18"/>
      <name val="Tw Cen MT"/>
      <family val="2"/>
    </font>
    <font>
      <b/>
      <sz val="10"/>
      <color indexed="14"/>
      <name val="Tw Cen MT"/>
      <family val="2"/>
    </font>
    <font>
      <b/>
      <sz val="10"/>
      <color indexed="12"/>
      <name val="Tw Cen MT"/>
      <family val="2"/>
    </font>
    <font>
      <b/>
      <sz val="11"/>
      <name val="Tw Cen MT"/>
      <family val="2"/>
    </font>
    <font>
      <sz val="11"/>
      <name val="Tw Cen MT"/>
      <family val="2"/>
    </font>
    <font>
      <b/>
      <sz val="12"/>
      <name val="Tw Cen MT"/>
      <family val="2"/>
    </font>
    <font>
      <sz val="10"/>
      <name val="Tahoma"/>
      <family val="2"/>
    </font>
    <font>
      <b/>
      <sz val="11"/>
      <color indexed="18"/>
      <name val="Tw Cen MT"/>
      <family val="2"/>
    </font>
    <font>
      <b/>
      <u/>
      <sz val="9"/>
      <name val="Tw Cen MT"/>
      <family val="2"/>
    </font>
    <font>
      <sz val="11"/>
      <color indexed="8"/>
      <name val="Tw Cen MT"/>
      <family val="2"/>
    </font>
    <font>
      <b/>
      <sz val="11"/>
      <color indexed="64"/>
      <name val="Tw Cen MT"/>
      <family val="2"/>
    </font>
    <font>
      <sz val="11"/>
      <color indexed="64"/>
      <name val="Tw Cen MT"/>
      <family val="2"/>
    </font>
    <font>
      <b/>
      <sz val="11"/>
      <color indexed="8"/>
      <name val="Tw Cen MT"/>
      <family val="2"/>
    </font>
    <font>
      <sz val="10"/>
      <name val="Open Sans SemiCondensed"/>
    </font>
    <font>
      <b/>
      <sz val="10"/>
      <name val="Open Sans SemiCondensed"/>
    </font>
    <font>
      <b/>
      <sz val="11"/>
      <name val="Open Sans SemiCondensed"/>
    </font>
    <font>
      <sz val="11"/>
      <name val="Open Sans SemiCondensed"/>
    </font>
    <font>
      <b/>
      <sz val="8"/>
      <name val="Open Sans SemiCondensed"/>
    </font>
    <font>
      <b/>
      <i/>
      <sz val="10"/>
      <name val="Open Sans SemiCondensed"/>
    </font>
    <font>
      <i/>
      <sz val="10"/>
      <name val="Open Sans SemiCondensed"/>
    </font>
    <font>
      <sz val="8"/>
      <name val="Open Sans SemiCondensed"/>
    </font>
    <font>
      <sz val="9"/>
      <name val="Open Sans SemiCondensed"/>
    </font>
    <font>
      <b/>
      <sz val="9"/>
      <name val="Open Sans SemiCondensed"/>
    </font>
    <font>
      <sz val="10"/>
      <color indexed="9"/>
      <name val="Open Sans SemiCondensed"/>
    </font>
    <font>
      <sz val="10"/>
      <color indexed="8"/>
      <name val="Open Sans SemiCondensed"/>
    </font>
    <font>
      <b/>
      <sz val="14"/>
      <name val="Open Sans SemiCondensed"/>
    </font>
    <font>
      <b/>
      <sz val="12"/>
      <name val="Open Sans SemiCondensed"/>
    </font>
    <font>
      <sz val="12"/>
      <name val="Open Sans SemiCondensed"/>
    </font>
    <font>
      <b/>
      <i/>
      <sz val="11"/>
      <name val="Open Sans SemiCondensed"/>
    </font>
    <font>
      <b/>
      <sz val="10"/>
      <color indexed="14"/>
      <name val="Open Sans SemiCondensed"/>
    </font>
    <font>
      <b/>
      <sz val="10"/>
      <color indexed="18"/>
      <name val="Open Sans SemiCondensed"/>
    </font>
    <font>
      <b/>
      <sz val="10"/>
      <color indexed="12"/>
      <name val="Open Sans SemiCondensed"/>
    </font>
    <font>
      <sz val="8"/>
      <color indexed="8"/>
      <name val="Open Sans SemiCondensed"/>
    </font>
    <font>
      <sz val="11"/>
      <color theme="1"/>
      <name val="Arial"/>
      <family val="2"/>
    </font>
    <font>
      <b/>
      <sz val="10"/>
      <color theme="3" tint="-0.249977111117893"/>
      <name val="Tw Cen MT"/>
      <family val="2"/>
    </font>
    <font>
      <b/>
      <sz val="10"/>
      <color theme="0"/>
      <name val="Tw Cen MT"/>
      <family val="2"/>
    </font>
    <font>
      <sz val="10"/>
      <color theme="0"/>
      <name val="Tw Cen MT"/>
      <family val="2"/>
    </font>
    <font>
      <sz val="10"/>
      <color rgb="FFC00000"/>
      <name val="Tw Cen MT"/>
      <family val="2"/>
    </font>
    <font>
      <b/>
      <sz val="10"/>
      <color rgb="FFFF3300"/>
      <name val="Tw Cen MT"/>
      <family val="2"/>
    </font>
    <font>
      <b/>
      <sz val="9"/>
      <color theme="0"/>
      <name val="Tw Cen MT"/>
      <family val="2"/>
    </font>
    <font>
      <sz val="9"/>
      <color theme="0"/>
      <name val="Tw Cen MT"/>
      <family val="2"/>
    </font>
    <font>
      <sz val="11"/>
      <color theme="1"/>
      <name val="Tw Cen MT"/>
      <family val="2"/>
    </font>
    <font>
      <b/>
      <sz val="11"/>
      <color theme="0"/>
      <name val="Tw Cen MT"/>
      <family val="2"/>
    </font>
    <font>
      <sz val="11"/>
      <color theme="0"/>
      <name val="Open Sans SemiCondensed"/>
    </font>
    <font>
      <b/>
      <sz val="11"/>
      <color theme="0"/>
      <name val="Open Sans SemiCondensed"/>
    </font>
    <font>
      <b/>
      <sz val="10"/>
      <color theme="0"/>
      <name val="Open Sans SemiCondensed"/>
    </font>
    <font>
      <sz val="10"/>
      <color rgb="FF000000"/>
      <name val="Open Sans SemiCondensed"/>
    </font>
    <font>
      <sz val="9"/>
      <color theme="0"/>
      <name val="Open Sans SemiCondensed"/>
    </font>
    <font>
      <b/>
      <sz val="14"/>
      <color theme="0"/>
      <name val="Open Sans SemiCondensed"/>
    </font>
    <font>
      <b/>
      <sz val="12"/>
      <color theme="0"/>
      <name val="Open Sans SemiCondensed"/>
    </font>
    <font>
      <sz val="12"/>
      <color theme="0"/>
      <name val="Open Sans SemiCondensed"/>
    </font>
    <font>
      <sz val="10"/>
      <color theme="0"/>
      <name val="Open Sans SemiCondensed"/>
    </font>
    <font>
      <b/>
      <sz val="10"/>
      <color theme="4" tint="-0.249977111117893"/>
      <name val="Open Sans SemiCondensed"/>
    </font>
    <font>
      <b/>
      <sz val="10"/>
      <color theme="3" tint="-0.249977111117893"/>
      <name val="Open Sans SemiCondensed"/>
    </font>
    <font>
      <sz val="10"/>
      <color theme="1"/>
      <name val="Open Sans SemiCondensed"/>
    </font>
    <font>
      <sz val="8"/>
      <color theme="0"/>
      <name val="Open Sans SemiCondensed"/>
    </font>
    <font>
      <b/>
      <u/>
      <sz val="8"/>
      <color indexed="64"/>
      <name val="Open Sans"/>
    </font>
    <font>
      <sz val="8"/>
      <name val="Open Sans"/>
    </font>
    <font>
      <sz val="8"/>
      <color indexed="64"/>
      <name val="Open Sans"/>
    </font>
    <font>
      <b/>
      <sz val="8"/>
      <color indexed="8"/>
      <name val="Open Sans"/>
    </font>
    <font>
      <b/>
      <sz val="8"/>
      <color indexed="9"/>
      <name val="Open Sans"/>
    </font>
    <font>
      <b/>
      <sz val="8"/>
      <color indexed="64"/>
      <name val="Open Sans"/>
    </font>
    <font>
      <i/>
      <sz val="8"/>
      <color indexed="8"/>
      <name val="Open Sans"/>
    </font>
    <font>
      <sz val="9"/>
      <color rgb="FFFF0000"/>
      <name val="Open Sans SemiCondensed"/>
    </font>
    <font>
      <sz val="9"/>
      <color rgb="FF00B050"/>
      <name val="Open Sans SemiCondensed"/>
    </font>
    <font>
      <b/>
      <sz val="9"/>
      <color indexed="64"/>
      <name val="Tahoma"/>
      <family val="2"/>
    </font>
  </fonts>
  <fills count="36">
    <fill>
      <patternFill patternType="none"/>
    </fill>
    <fill>
      <patternFill patternType="gray125"/>
    </fill>
    <fill>
      <patternFill patternType="solid">
        <fgColor indexed="31"/>
        <bgColor indexed="64"/>
      </patternFill>
    </fill>
    <fill>
      <patternFill patternType="solid">
        <fgColor indexed="47"/>
        <bgColor indexed="64"/>
      </patternFill>
    </fill>
    <fill>
      <patternFill patternType="solid">
        <fgColor indexed="44"/>
        <bgColor indexed="64"/>
      </patternFill>
    </fill>
    <fill>
      <patternFill patternType="solid">
        <fgColor indexed="42"/>
        <bgColor indexed="64"/>
      </patternFill>
    </fill>
    <fill>
      <patternFill patternType="solid">
        <fgColor indexed="41"/>
        <bgColor indexed="64"/>
      </patternFill>
    </fill>
    <fill>
      <patternFill patternType="solid">
        <fgColor theme="4" tint="0.79998168889431442"/>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theme="4" tint="-0.249977111117893"/>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3" tint="-0.499984740745262"/>
        <bgColor indexed="64"/>
      </patternFill>
    </fill>
    <fill>
      <patternFill patternType="solid">
        <fgColor theme="3" tint="0.39997558519241921"/>
        <bgColor indexed="64"/>
      </patternFill>
    </fill>
    <fill>
      <patternFill patternType="solid">
        <fgColor theme="6" tint="0.59999389629810485"/>
        <bgColor indexed="64"/>
      </patternFill>
    </fill>
    <fill>
      <patternFill patternType="solid">
        <fgColor rgb="FFFFFF00"/>
        <bgColor indexed="64"/>
      </patternFill>
    </fill>
    <fill>
      <patternFill patternType="solid">
        <fgColor theme="6" tint="0.39997558519241921"/>
        <bgColor indexed="26"/>
      </patternFill>
    </fill>
    <fill>
      <patternFill patternType="solid">
        <fgColor theme="8" tint="-0.249977111117893"/>
        <bgColor indexed="64"/>
      </patternFill>
    </fill>
    <fill>
      <patternFill patternType="solid">
        <fgColor rgb="FF0070C0"/>
        <bgColor indexed="64"/>
      </patternFill>
    </fill>
    <fill>
      <patternFill patternType="solid">
        <fgColor theme="4" tint="0.59999389629810485"/>
        <bgColor indexed="64"/>
      </patternFill>
    </fill>
    <fill>
      <patternFill patternType="solid">
        <fgColor theme="4" tint="-0.499984740745262"/>
        <bgColor indexed="64"/>
      </patternFill>
    </fill>
    <fill>
      <patternFill patternType="solid">
        <fgColor theme="8" tint="-0.499984740745262"/>
        <bgColor indexed="64"/>
      </patternFill>
    </fill>
    <fill>
      <patternFill patternType="solid">
        <fgColor theme="9" tint="0.39997558519241921"/>
        <bgColor indexed="64"/>
      </patternFill>
    </fill>
    <fill>
      <patternFill patternType="solid">
        <fgColor theme="0"/>
        <bgColor indexed="64"/>
      </patternFill>
    </fill>
    <fill>
      <patternFill patternType="solid">
        <fgColor theme="5" tint="0.39997558519241921"/>
        <bgColor indexed="64"/>
      </patternFill>
    </fill>
    <fill>
      <patternFill patternType="solid">
        <fgColor theme="6" tint="0.79998168889431442"/>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6" tint="-0.499984740745262"/>
        <bgColor indexed="64"/>
      </patternFill>
    </fill>
    <fill>
      <patternFill patternType="solid">
        <fgColor theme="3" tint="-0.249977111117893"/>
        <bgColor indexed="64"/>
      </patternFill>
    </fill>
    <fill>
      <patternFill patternType="solid">
        <fgColor theme="6" tint="-0.249977111117893"/>
        <bgColor indexed="64"/>
      </patternFill>
    </fill>
    <fill>
      <patternFill patternType="solid">
        <fgColor rgb="FF00B050"/>
        <bgColor indexed="64"/>
      </patternFill>
    </fill>
    <fill>
      <patternFill patternType="solid">
        <fgColor theme="0" tint="-4.9989318521683403E-2"/>
        <bgColor indexed="64"/>
      </patternFill>
    </fill>
    <fill>
      <patternFill patternType="solid">
        <fgColor rgb="FFFFC000"/>
        <bgColor indexed="64"/>
      </patternFill>
    </fill>
  </fills>
  <borders count="82">
    <border>
      <left/>
      <right/>
      <top/>
      <bottom/>
      <diagonal/>
    </border>
    <border>
      <left/>
      <right/>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8"/>
      </top>
      <bottom style="thin">
        <color indexed="64"/>
      </bottom>
      <diagonal/>
    </border>
    <border>
      <left style="thin">
        <color indexed="8"/>
      </left>
      <right style="thin">
        <color indexed="8"/>
      </right>
      <top style="thin">
        <color indexed="64"/>
      </top>
      <bottom style="thin">
        <color indexed="64"/>
      </bottom>
      <diagonal/>
    </border>
    <border>
      <left/>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left/>
      <right/>
      <top style="double">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top style="medium">
        <color indexed="64"/>
      </top>
      <bottom style="double">
        <color indexed="64"/>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thin">
        <color indexed="64"/>
      </right>
      <top/>
      <bottom/>
      <diagonal/>
    </border>
    <border>
      <left style="thin">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diagonal/>
    </border>
    <border>
      <left/>
      <right style="medium">
        <color indexed="64"/>
      </right>
      <top style="double">
        <color indexed="64"/>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style="thin">
        <color indexed="8"/>
      </left>
      <right/>
      <top/>
      <bottom style="thin">
        <color indexed="64"/>
      </bottom>
      <diagonal/>
    </border>
    <border>
      <left style="thin">
        <color indexed="8"/>
      </left>
      <right style="thin">
        <color indexed="8"/>
      </right>
      <top style="thin">
        <color indexed="8"/>
      </top>
      <bottom/>
      <diagonal/>
    </border>
    <border>
      <left style="thin">
        <color indexed="8"/>
      </left>
      <right style="thin">
        <color indexed="8"/>
      </right>
      <top/>
      <bottom style="thin">
        <color indexed="64"/>
      </bottom>
      <diagonal/>
    </border>
    <border>
      <left/>
      <right style="thin">
        <color indexed="64"/>
      </right>
      <top style="thin">
        <color indexed="64"/>
      </top>
      <bottom style="medium">
        <color indexed="64"/>
      </bottom>
      <diagonal/>
    </border>
  </borders>
  <cellStyleXfs count="12">
    <xf numFmtId="0" fontId="0" fillId="0" borderId="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0" fontId="6" fillId="0" borderId="0"/>
    <xf numFmtId="0" fontId="6" fillId="0" borderId="0"/>
    <xf numFmtId="0" fontId="5" fillId="0" borderId="0"/>
    <xf numFmtId="0" fontId="44" fillId="0" borderId="0"/>
    <xf numFmtId="0" fontId="17" fillId="0" borderId="0"/>
    <xf numFmtId="9" fontId="1" fillId="0" borderId="0" applyFont="0" applyFill="0" applyBorder="0" applyAlignment="0" applyProtection="0"/>
  </cellStyleXfs>
  <cellXfs count="1604">
    <xf numFmtId="0" fontId="0" fillId="0" borderId="0" xfId="0"/>
    <xf numFmtId="0" fontId="3" fillId="0" borderId="0" xfId="0" applyFont="1"/>
    <xf numFmtId="3" fontId="0" fillId="0" borderId="0" xfId="0" applyNumberFormat="1"/>
    <xf numFmtId="0" fontId="4" fillId="0" borderId="1" xfId="0" applyFont="1" applyBorder="1" applyAlignment="1">
      <alignment horizontal="center" vertical="center"/>
    </xf>
    <xf numFmtId="0" fontId="4" fillId="0" borderId="1" xfId="0" applyFont="1" applyBorder="1" applyAlignment="1">
      <alignment horizontal="justify" vertical="center"/>
    </xf>
    <xf numFmtId="3" fontId="4" fillId="0" borderId="1" xfId="0" applyNumberFormat="1" applyFont="1" applyBorder="1" applyAlignment="1">
      <alignment horizontal="right" vertical="center"/>
    </xf>
    <xf numFmtId="0" fontId="9" fillId="0" borderId="0" xfId="0" applyFont="1" applyAlignment="1">
      <alignment horizontal="center"/>
    </xf>
    <xf numFmtId="3" fontId="9" fillId="0" borderId="2" xfId="0" applyNumberFormat="1" applyFont="1" applyFill="1" applyBorder="1" applyAlignment="1">
      <alignment horizontal="center" vertical="center"/>
    </xf>
    <xf numFmtId="3" fontId="9" fillId="0" borderId="0" xfId="0" applyNumberFormat="1" applyFont="1" applyFill="1" applyBorder="1" applyAlignment="1">
      <alignment vertical="center"/>
    </xf>
    <xf numFmtId="0" fontId="9" fillId="0" borderId="0" xfId="0" applyFont="1" applyFill="1" applyBorder="1" applyAlignment="1">
      <alignment horizontal="center"/>
    </xf>
    <xf numFmtId="0" fontId="9" fillId="0" borderId="3" xfId="0" applyFont="1" applyFill="1" applyBorder="1" applyAlignment="1">
      <alignment horizontal="center"/>
    </xf>
    <xf numFmtId="3" fontId="9" fillId="0" borderId="4" xfId="0" applyNumberFormat="1" applyFont="1" applyFill="1" applyBorder="1" applyAlignment="1">
      <alignment horizontal="center" vertical="center"/>
    </xf>
    <xf numFmtId="49" fontId="9" fillId="7" borderId="5" xfId="0" applyNumberFormat="1" applyFont="1" applyFill="1" applyBorder="1" applyAlignment="1">
      <alignment horizontal="left" vertical="center"/>
    </xf>
    <xf numFmtId="3" fontId="9" fillId="7" borderId="6" xfId="0" applyNumberFormat="1" applyFont="1" applyFill="1" applyBorder="1" applyAlignment="1">
      <alignment horizontal="left" vertical="center"/>
    </xf>
    <xf numFmtId="3" fontId="9" fillId="0" borderId="4" xfId="0" applyNumberFormat="1" applyFont="1" applyFill="1" applyBorder="1" applyAlignment="1">
      <alignment horizontal="left" vertical="center"/>
    </xf>
    <xf numFmtId="3" fontId="9" fillId="0" borderId="0" xfId="0" applyNumberFormat="1" applyFont="1" applyFill="1" applyBorder="1" applyAlignment="1">
      <alignment horizontal="left" vertical="center"/>
    </xf>
    <xf numFmtId="3" fontId="10" fillId="0" borderId="0" xfId="0" applyNumberFormat="1" applyFont="1" applyFill="1" applyBorder="1" applyAlignment="1">
      <alignment horizontal="right"/>
    </xf>
    <xf numFmtId="3" fontId="10" fillId="0" borderId="7" xfId="0" applyNumberFormat="1" applyFont="1" applyFill="1" applyBorder="1" applyAlignment="1">
      <alignment horizontal="right"/>
    </xf>
    <xf numFmtId="3" fontId="10" fillId="0" borderId="4" xfId="0" applyNumberFormat="1" applyFont="1" applyFill="1" applyBorder="1" applyAlignment="1">
      <alignment horizontal="left" vertical="center"/>
    </xf>
    <xf numFmtId="3" fontId="10" fillId="0" borderId="4" xfId="0" applyNumberFormat="1" applyFont="1" applyFill="1" applyBorder="1" applyAlignment="1">
      <alignment vertical="center"/>
    </xf>
    <xf numFmtId="0" fontId="10" fillId="0" borderId="4" xfId="0" applyFont="1" applyBorder="1" applyAlignment="1">
      <alignment horizontal="center" vertical="center"/>
    </xf>
    <xf numFmtId="0" fontId="10" fillId="0" borderId="0" xfId="0" applyFont="1" applyBorder="1" applyAlignment="1">
      <alignment horizontal="justify"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10" fillId="0" borderId="10"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justify" vertical="center"/>
    </xf>
    <xf numFmtId="0" fontId="9" fillId="0" borderId="12" xfId="0" applyFont="1" applyBorder="1" applyAlignment="1">
      <alignment horizontal="center" vertical="center"/>
    </xf>
    <xf numFmtId="0" fontId="10" fillId="0" borderId="13" xfId="0" applyFont="1" applyBorder="1" applyAlignment="1">
      <alignment horizontal="center" vertical="center"/>
    </xf>
    <xf numFmtId="3" fontId="9" fillId="3" borderId="8" xfId="0" applyNumberFormat="1" applyFont="1" applyFill="1" applyBorder="1" applyAlignment="1">
      <alignment horizontal="center" vertical="center"/>
    </xf>
    <xf numFmtId="3" fontId="9" fillId="3" borderId="14" xfId="0" applyNumberFormat="1" applyFont="1" applyFill="1" applyBorder="1" applyAlignment="1">
      <alignment horizontal="justify" vertical="center"/>
    </xf>
    <xf numFmtId="3" fontId="11" fillId="3" borderId="14" xfId="0" applyNumberFormat="1" applyFont="1" applyFill="1" applyBorder="1" applyAlignment="1">
      <alignment horizontal="center" vertical="center"/>
    </xf>
    <xf numFmtId="3" fontId="11" fillId="3" borderId="10" xfId="0" applyNumberFormat="1" applyFont="1" applyFill="1" applyBorder="1" applyAlignment="1">
      <alignment horizontal="center" vertical="center"/>
    </xf>
    <xf numFmtId="3" fontId="10" fillId="0" borderId="4" xfId="0" applyNumberFormat="1" applyFont="1" applyBorder="1" applyAlignment="1">
      <alignment horizontal="center" vertical="center"/>
    </xf>
    <xf numFmtId="3" fontId="10" fillId="0" borderId="0" xfId="0" applyNumberFormat="1" applyFont="1" applyBorder="1" applyAlignment="1">
      <alignment horizontal="justify" vertical="center"/>
    </xf>
    <xf numFmtId="3" fontId="12" fillId="0" borderId="7" xfId="0" applyNumberFormat="1" applyFont="1" applyBorder="1" applyAlignment="1">
      <alignment horizontal="justify" vertical="center"/>
    </xf>
    <xf numFmtId="49" fontId="10" fillId="0" borderId="5" xfId="0" applyNumberFormat="1" applyFont="1" applyBorder="1" applyAlignment="1">
      <alignment horizontal="center" vertical="center"/>
    </xf>
    <xf numFmtId="3" fontId="10" fillId="0" borderId="15" xfId="0" applyNumberFormat="1" applyFont="1" applyBorder="1" applyAlignment="1">
      <alignment horizontal="justify" vertical="center"/>
    </xf>
    <xf numFmtId="3" fontId="10" fillId="0" borderId="6" xfId="0" applyNumberFormat="1" applyFont="1" applyBorder="1" applyAlignment="1">
      <alignment horizontal="justify" vertical="center"/>
    </xf>
    <xf numFmtId="3" fontId="10" fillId="0" borderId="6" xfId="0" applyNumberFormat="1" applyFont="1" applyBorder="1" applyAlignment="1">
      <alignment horizontal="right" vertical="center"/>
    </xf>
    <xf numFmtId="3" fontId="12" fillId="0" borderId="16" xfId="0" applyNumberFormat="1" applyFont="1" applyBorder="1" applyAlignment="1">
      <alignment horizontal="right" vertical="center"/>
    </xf>
    <xf numFmtId="49" fontId="10" fillId="0" borderId="4" xfId="0" applyNumberFormat="1" applyFont="1" applyBorder="1" applyAlignment="1">
      <alignment horizontal="center" vertical="center"/>
    </xf>
    <xf numFmtId="3" fontId="10" fillId="0" borderId="0" xfId="0" applyNumberFormat="1" applyFont="1" applyBorder="1" applyAlignment="1">
      <alignment horizontal="right" vertical="center"/>
    </xf>
    <xf numFmtId="3" fontId="12" fillId="0" borderId="7" xfId="0" applyNumberFormat="1" applyFont="1" applyBorder="1" applyAlignment="1">
      <alignment horizontal="right" vertical="center"/>
    </xf>
    <xf numFmtId="3" fontId="9" fillId="3" borderId="5" xfId="0" applyNumberFormat="1" applyFont="1" applyFill="1" applyBorder="1" applyAlignment="1">
      <alignment horizontal="center" vertical="center"/>
    </xf>
    <xf numFmtId="3" fontId="9" fillId="3" borderId="6" xfId="0" applyNumberFormat="1" applyFont="1" applyFill="1" applyBorder="1" applyAlignment="1">
      <alignment horizontal="justify" vertical="center"/>
    </xf>
    <xf numFmtId="3" fontId="9" fillId="3" borderId="6" xfId="0" applyNumberFormat="1" applyFont="1" applyFill="1" applyBorder="1" applyAlignment="1">
      <alignment horizontal="right" vertical="center"/>
    </xf>
    <xf numFmtId="3" fontId="9" fillId="3" borderId="16" xfId="0" applyNumberFormat="1" applyFont="1" applyFill="1" applyBorder="1" applyAlignment="1">
      <alignment horizontal="right" vertical="center"/>
    </xf>
    <xf numFmtId="3" fontId="10" fillId="0" borderId="16" xfId="0" applyNumberFormat="1" applyFont="1" applyBorder="1" applyAlignment="1">
      <alignment horizontal="right" vertical="center"/>
    </xf>
    <xf numFmtId="3" fontId="10" fillId="0" borderId="5" xfId="0" applyNumberFormat="1" applyFont="1" applyBorder="1" applyAlignment="1">
      <alignment horizontal="center" vertical="center"/>
    </xf>
    <xf numFmtId="3" fontId="10" fillId="0" borderId="15" xfId="0" applyNumberFormat="1" applyFont="1" applyBorder="1"/>
    <xf numFmtId="3" fontId="10" fillId="0" borderId="11" xfId="0" applyNumberFormat="1" applyFont="1" applyBorder="1" applyAlignment="1">
      <alignment horizontal="center" vertical="center"/>
    </xf>
    <xf numFmtId="3" fontId="10" fillId="0" borderId="12" xfId="0" applyNumberFormat="1" applyFont="1" applyBorder="1" applyAlignment="1">
      <alignment horizontal="justify" vertical="center"/>
    </xf>
    <xf numFmtId="3" fontId="10" fillId="0" borderId="12" xfId="0" applyNumberFormat="1" applyFont="1" applyBorder="1" applyAlignment="1">
      <alignment horizontal="right" vertical="center"/>
    </xf>
    <xf numFmtId="3" fontId="12" fillId="0" borderId="13" xfId="0" applyNumberFormat="1" applyFont="1" applyBorder="1" applyAlignment="1">
      <alignment horizontal="right" vertical="center"/>
    </xf>
    <xf numFmtId="0" fontId="10" fillId="0" borderId="0" xfId="0" applyFont="1" applyBorder="1" applyAlignment="1">
      <alignment horizontal="right" vertical="center"/>
    </xf>
    <xf numFmtId="0" fontId="10" fillId="0" borderId="7" xfId="0" applyFont="1" applyBorder="1" applyAlignment="1">
      <alignment horizontal="right" vertical="center"/>
    </xf>
    <xf numFmtId="0" fontId="10" fillId="0" borderId="15" xfId="0" applyFont="1" applyBorder="1" applyAlignment="1">
      <alignment horizontal="justify" vertical="center"/>
    </xf>
    <xf numFmtId="3" fontId="10" fillId="0" borderId="17" xfId="0" applyNumberFormat="1" applyFont="1" applyBorder="1" applyAlignment="1">
      <alignment horizontal="center" vertical="center"/>
    </xf>
    <xf numFmtId="3" fontId="10" fillId="0" borderId="18" xfId="0" applyNumberFormat="1" applyFont="1" applyBorder="1" applyAlignment="1">
      <alignment horizontal="justify" vertical="center"/>
    </xf>
    <xf numFmtId="3" fontId="10" fillId="0" borderId="18" xfId="0" applyNumberFormat="1" applyFont="1" applyBorder="1" applyAlignment="1">
      <alignment horizontal="right" vertical="center"/>
    </xf>
    <xf numFmtId="3" fontId="12" fillId="0" borderId="19" xfId="0" applyNumberFormat="1" applyFont="1" applyBorder="1" applyAlignment="1">
      <alignment horizontal="right" vertical="center"/>
    </xf>
    <xf numFmtId="3" fontId="10" fillId="0" borderId="20" xfId="0" applyNumberFormat="1" applyFont="1" applyBorder="1" applyAlignment="1">
      <alignment horizontal="center" vertical="center"/>
    </xf>
    <xf numFmtId="3" fontId="10" fillId="0" borderId="21" xfId="0" applyNumberFormat="1" applyFont="1" applyBorder="1" applyAlignment="1">
      <alignment horizontal="justify" vertical="center"/>
    </xf>
    <xf numFmtId="3" fontId="10" fillId="0" borderId="5" xfId="0" applyNumberFormat="1" applyFont="1" applyFill="1" applyBorder="1" applyAlignment="1">
      <alignment horizontal="center" vertical="center"/>
    </xf>
    <xf numFmtId="3" fontId="13" fillId="0" borderId="13" xfId="0" applyNumberFormat="1" applyFont="1" applyBorder="1" applyAlignment="1">
      <alignment horizontal="right" vertical="center"/>
    </xf>
    <xf numFmtId="3" fontId="10" fillId="0" borderId="7" xfId="0" applyNumberFormat="1" applyFont="1" applyBorder="1" applyAlignment="1">
      <alignment horizontal="right" vertical="center"/>
    </xf>
    <xf numFmtId="3" fontId="10" fillId="0" borderId="6" xfId="0" applyNumberFormat="1" applyFont="1" applyFill="1" applyBorder="1" applyAlignment="1">
      <alignment horizontal="justify" vertical="center"/>
    </xf>
    <xf numFmtId="3" fontId="10" fillId="0" borderId="22" xfId="0" applyNumberFormat="1" applyFont="1" applyBorder="1" applyAlignment="1">
      <alignment horizontal="justify" vertical="center"/>
    </xf>
    <xf numFmtId="3" fontId="10" fillId="0" borderId="23" xfId="0" applyNumberFormat="1" applyFont="1" applyBorder="1" applyAlignment="1">
      <alignment horizontal="center" vertical="center"/>
    </xf>
    <xf numFmtId="3" fontId="10" fillId="0" borderId="22" xfId="0" applyNumberFormat="1" applyFont="1" applyBorder="1" applyAlignment="1">
      <alignment horizontal="right" vertical="center"/>
    </xf>
    <xf numFmtId="3" fontId="12" fillId="0" borderId="24" xfId="0" applyNumberFormat="1" applyFont="1" applyBorder="1" applyAlignment="1">
      <alignment horizontal="right" vertical="center"/>
    </xf>
    <xf numFmtId="0" fontId="10" fillId="0" borderId="11" xfId="0" applyFont="1" applyBorder="1" applyAlignment="1">
      <alignment horizontal="center" vertical="center"/>
    </xf>
    <xf numFmtId="0" fontId="10" fillId="0" borderId="12" xfId="0" applyFont="1" applyBorder="1" applyAlignment="1">
      <alignment horizontal="justify" vertical="center"/>
    </xf>
    <xf numFmtId="0" fontId="10" fillId="0" borderId="5" xfId="0" applyFont="1" applyBorder="1" applyAlignment="1">
      <alignment horizontal="center" vertical="center"/>
    </xf>
    <xf numFmtId="0" fontId="10" fillId="0" borderId="6" xfId="0" applyFont="1" applyBorder="1" applyAlignment="1">
      <alignment horizontal="justify" vertical="center"/>
    </xf>
    <xf numFmtId="0" fontId="10" fillId="0" borderId="22" xfId="0" applyFont="1" applyBorder="1" applyAlignment="1">
      <alignment horizontal="justify" vertical="center"/>
    </xf>
    <xf numFmtId="3" fontId="10" fillId="0" borderId="25" xfId="0" applyNumberFormat="1" applyFont="1" applyBorder="1" applyAlignment="1">
      <alignment horizontal="justify" vertical="center"/>
    </xf>
    <xf numFmtId="3" fontId="10" fillId="0" borderId="13" xfId="0" applyNumberFormat="1" applyFont="1" applyBorder="1" applyAlignment="1">
      <alignment horizontal="right" vertical="center"/>
    </xf>
    <xf numFmtId="0" fontId="10" fillId="0" borderId="0" xfId="0" applyFont="1" applyBorder="1"/>
    <xf numFmtId="0" fontId="9" fillId="0" borderId="0" xfId="0" applyFont="1" applyBorder="1" applyAlignment="1">
      <alignment horizontal="center"/>
    </xf>
    <xf numFmtId="0" fontId="10" fillId="0" borderId="0" xfId="0" applyFont="1"/>
    <xf numFmtId="3" fontId="10" fillId="0" borderId="0" xfId="0" applyNumberFormat="1" applyFont="1" applyBorder="1"/>
    <xf numFmtId="0" fontId="14" fillId="0" borderId="0" xfId="0" applyFont="1"/>
    <xf numFmtId="4" fontId="15" fillId="0" borderId="0" xfId="0" applyNumberFormat="1" applyFont="1"/>
    <xf numFmtId="0" fontId="15" fillId="0" borderId="0" xfId="0" applyFont="1"/>
    <xf numFmtId="0" fontId="10" fillId="0" borderId="4" xfId="0" applyFont="1" applyBorder="1"/>
    <xf numFmtId="3" fontId="10" fillId="0" borderId="21" xfId="8" applyNumberFormat="1" applyFont="1" applyBorder="1" applyAlignment="1">
      <alignment horizontal="justify" vertical="center"/>
    </xf>
    <xf numFmtId="3" fontId="10" fillId="0" borderId="5" xfId="8" applyNumberFormat="1" applyFont="1" applyFill="1" applyBorder="1" applyAlignment="1">
      <alignment horizontal="center" vertical="center"/>
    </xf>
    <xf numFmtId="3" fontId="10" fillId="0" borderId="0" xfId="0" applyNumberFormat="1" applyFont="1"/>
    <xf numFmtId="3" fontId="9" fillId="8" borderId="6" xfId="0" applyNumberFormat="1" applyFont="1" applyFill="1" applyBorder="1" applyAlignment="1">
      <alignment horizontal="right" vertical="center"/>
    </xf>
    <xf numFmtId="3" fontId="15" fillId="0" borderId="0" xfId="0" applyNumberFormat="1" applyFont="1"/>
    <xf numFmtId="0" fontId="9" fillId="0" borderId="26" xfId="0" applyFont="1" applyBorder="1" applyAlignment="1">
      <alignment horizontal="center"/>
    </xf>
    <xf numFmtId="3" fontId="10" fillId="0" borderId="20" xfId="0" applyNumberFormat="1" applyFont="1" applyFill="1" applyBorder="1" applyAlignment="1">
      <alignment horizontal="center" vertical="center"/>
    </xf>
    <xf numFmtId="3" fontId="10" fillId="0" borderId="15" xfId="0" applyNumberFormat="1" applyFont="1" applyFill="1" applyBorder="1" applyAlignment="1">
      <alignment horizontal="justify" vertical="center"/>
    </xf>
    <xf numFmtId="0" fontId="9" fillId="0" borderId="14" xfId="0" applyFont="1" applyBorder="1" applyAlignment="1">
      <alignment horizontal="center" vertical="center"/>
    </xf>
    <xf numFmtId="37" fontId="12" fillId="0" borderId="16" xfId="0" applyNumberFormat="1" applyFont="1" applyFill="1" applyBorder="1" applyAlignment="1">
      <alignment horizontal="right" vertical="center"/>
    </xf>
    <xf numFmtId="3" fontId="9" fillId="9" borderId="2" xfId="0" applyNumberFormat="1" applyFont="1" applyFill="1" applyBorder="1" applyAlignment="1">
      <alignment horizontal="center" vertical="center"/>
    </xf>
    <xf numFmtId="3" fontId="9" fillId="9" borderId="27" xfId="0" applyNumberFormat="1" applyFont="1" applyFill="1" applyBorder="1" applyAlignment="1">
      <alignment horizontal="justify" vertical="center"/>
    </xf>
    <xf numFmtId="3" fontId="11" fillId="9" borderId="27" xfId="0" applyNumberFormat="1" applyFont="1" applyFill="1" applyBorder="1" applyAlignment="1">
      <alignment horizontal="right" vertical="center"/>
    </xf>
    <xf numFmtId="3" fontId="11" fillId="9" borderId="3" xfId="0" applyNumberFormat="1" applyFont="1" applyFill="1" applyBorder="1" applyAlignment="1">
      <alignment horizontal="right" vertical="center"/>
    </xf>
    <xf numFmtId="169" fontId="9" fillId="0" borderId="0" xfId="4" applyNumberFormat="1" applyFont="1" applyFill="1" applyBorder="1" applyAlignment="1">
      <alignment horizontal="center"/>
    </xf>
    <xf numFmtId="169" fontId="9" fillId="7" borderId="6" xfId="4" applyNumberFormat="1" applyFont="1" applyFill="1" applyBorder="1" applyAlignment="1">
      <alignment horizontal="right" vertical="center"/>
    </xf>
    <xf numFmtId="169" fontId="10" fillId="0" borderId="0" xfId="4" applyNumberFormat="1" applyFont="1" applyFill="1" applyBorder="1" applyAlignment="1">
      <alignment horizontal="right"/>
    </xf>
    <xf numFmtId="169" fontId="9" fillId="0" borderId="0" xfId="4" applyNumberFormat="1" applyFont="1" applyFill="1" applyBorder="1" applyAlignment="1">
      <alignment horizontal="right"/>
    </xf>
    <xf numFmtId="169" fontId="9" fillId="0" borderId="12" xfId="4" applyNumberFormat="1" applyFont="1" applyBorder="1" applyAlignment="1">
      <alignment horizontal="center" vertical="center"/>
    </xf>
    <xf numFmtId="169" fontId="11" fillId="3" borderId="14" xfId="4" applyNumberFormat="1" applyFont="1" applyFill="1" applyBorder="1" applyAlignment="1">
      <alignment horizontal="center" vertical="center"/>
    </xf>
    <xf numFmtId="169" fontId="10" fillId="0" borderId="0" xfId="4" applyNumberFormat="1" applyFont="1" applyBorder="1" applyAlignment="1">
      <alignment horizontal="justify" vertical="center"/>
    </xf>
    <xf numFmtId="169" fontId="10" fillId="0" borderId="15" xfId="4" applyNumberFormat="1" applyFont="1" applyBorder="1" applyAlignment="1">
      <alignment horizontal="right" vertical="center"/>
    </xf>
    <xf numFmtId="169" fontId="10" fillId="0" borderId="6" xfId="4" applyNumberFormat="1" applyFont="1" applyBorder="1" applyAlignment="1">
      <alignment horizontal="right" vertical="center"/>
    </xf>
    <xf numFmtId="169" fontId="10" fillId="0" borderId="0" xfId="4" applyNumberFormat="1" applyFont="1" applyBorder="1" applyAlignment="1">
      <alignment horizontal="right" vertical="center"/>
    </xf>
    <xf numFmtId="169" fontId="9" fillId="3" borderId="6" xfId="4" applyNumberFormat="1" applyFont="1" applyFill="1" applyBorder="1" applyAlignment="1">
      <alignment horizontal="right" vertical="center"/>
    </xf>
    <xf numFmtId="169" fontId="10" fillId="0" borderId="15" xfId="4" applyNumberFormat="1" applyFont="1" applyBorder="1"/>
    <xf numFmtId="169" fontId="10" fillId="0" borderId="12" xfId="4" applyNumberFormat="1" applyFont="1" applyBorder="1" applyAlignment="1">
      <alignment horizontal="right" vertical="center"/>
    </xf>
    <xf numFmtId="169" fontId="10" fillId="0" borderId="18" xfId="4" applyNumberFormat="1" applyFont="1" applyBorder="1" applyAlignment="1">
      <alignment horizontal="right" vertical="center"/>
    </xf>
    <xf numFmtId="169" fontId="10" fillId="0" borderId="22" xfId="4" applyNumberFormat="1" applyFont="1" applyBorder="1" applyAlignment="1">
      <alignment horizontal="right" vertical="center"/>
    </xf>
    <xf numFmtId="169" fontId="4" fillId="0" borderId="1" xfId="4" applyNumberFormat="1" applyFont="1" applyBorder="1" applyAlignment="1">
      <alignment horizontal="right" vertical="center"/>
    </xf>
    <xf numFmtId="49" fontId="45" fillId="7" borderId="5" xfId="0" applyNumberFormat="1" applyFont="1" applyFill="1" applyBorder="1" applyAlignment="1">
      <alignment horizontal="left" vertical="center"/>
    </xf>
    <xf numFmtId="3" fontId="45" fillId="7" borderId="6" xfId="0" applyNumberFormat="1" applyFont="1" applyFill="1" applyBorder="1" applyAlignment="1">
      <alignment horizontal="left" vertical="center"/>
    </xf>
    <xf numFmtId="169" fontId="45" fillId="7" borderId="6" xfId="4" applyNumberFormat="1" applyFont="1" applyFill="1" applyBorder="1" applyAlignment="1">
      <alignment horizontal="right" vertical="center"/>
    </xf>
    <xf numFmtId="3" fontId="9" fillId="0" borderId="6" xfId="0" applyNumberFormat="1" applyFont="1" applyFill="1" applyBorder="1" applyAlignment="1">
      <alignment horizontal="justify" vertical="center"/>
    </xf>
    <xf numFmtId="3" fontId="9" fillId="0" borderId="16" xfId="0" applyNumberFormat="1" applyFont="1" applyFill="1" applyBorder="1" applyAlignment="1">
      <alignment horizontal="right" vertical="center"/>
    </xf>
    <xf numFmtId="3" fontId="10" fillId="0" borderId="5" xfId="0" applyNumberFormat="1" applyFont="1" applyBorder="1" applyAlignment="1">
      <alignment horizontal="left" vertical="center"/>
    </xf>
    <xf numFmtId="0" fontId="6" fillId="0" borderId="0" xfId="0" applyFont="1"/>
    <xf numFmtId="0" fontId="3" fillId="0" borderId="0" xfId="0" applyFont="1" applyBorder="1" applyAlignment="1">
      <alignment horizontal="left"/>
    </xf>
    <xf numFmtId="169" fontId="3" fillId="0" borderId="0" xfId="4" applyNumberFormat="1" applyFont="1" applyBorder="1" applyAlignment="1">
      <alignment horizontal="right"/>
    </xf>
    <xf numFmtId="0" fontId="3" fillId="0" borderId="0" xfId="0" applyFont="1" applyBorder="1" applyAlignment="1">
      <alignment horizontal="right"/>
    </xf>
    <xf numFmtId="0" fontId="3" fillId="0" borderId="0" xfId="0" applyFont="1" applyAlignment="1">
      <alignment horizontal="right"/>
    </xf>
    <xf numFmtId="169" fontId="9" fillId="0" borderId="26" xfId="4" applyNumberFormat="1" applyFont="1" applyBorder="1" applyAlignment="1">
      <alignment horizontal="center"/>
    </xf>
    <xf numFmtId="169" fontId="6" fillId="0" borderId="0" xfId="4" applyNumberFormat="1" applyFont="1"/>
    <xf numFmtId="169" fontId="9" fillId="0" borderId="28" xfId="4" applyNumberFormat="1" applyFont="1" applyFill="1" applyBorder="1" applyAlignment="1">
      <alignment horizontal="center"/>
    </xf>
    <xf numFmtId="169" fontId="45" fillId="7" borderId="16" xfId="4" applyNumberFormat="1" applyFont="1" applyFill="1" applyBorder="1" applyAlignment="1">
      <alignment horizontal="right" vertical="center"/>
    </xf>
    <xf numFmtId="169" fontId="9" fillId="0" borderId="7" xfId="4" applyNumberFormat="1" applyFont="1" applyFill="1" applyBorder="1" applyAlignment="1">
      <alignment horizontal="center"/>
    </xf>
    <xf numFmtId="169" fontId="12" fillId="0" borderId="7" xfId="4" applyNumberFormat="1" applyFont="1" applyFill="1" applyBorder="1" applyAlignment="1">
      <alignment horizontal="right" vertical="center"/>
    </xf>
    <xf numFmtId="169" fontId="9" fillId="0" borderId="7" xfId="4" applyNumberFormat="1" applyFont="1" applyFill="1" applyBorder="1" applyAlignment="1">
      <alignment horizontal="right"/>
    </xf>
    <xf numFmtId="169" fontId="9" fillId="7" borderId="16" xfId="4" applyNumberFormat="1" applyFont="1" applyFill="1" applyBorder="1" applyAlignment="1">
      <alignment horizontal="right" vertical="center"/>
    </xf>
    <xf numFmtId="0" fontId="46" fillId="10" borderId="3" xfId="0" applyFont="1" applyFill="1" applyBorder="1" applyAlignment="1">
      <alignment horizontal="center" vertical="center"/>
    </xf>
    <xf numFmtId="0" fontId="47" fillId="10" borderId="2" xfId="0" applyFont="1" applyFill="1" applyBorder="1" applyAlignment="1">
      <alignment horizontal="center" vertical="center"/>
    </xf>
    <xf numFmtId="0" fontId="47" fillId="10" borderId="27" xfId="0" applyFont="1" applyFill="1" applyBorder="1" applyAlignment="1">
      <alignment horizontal="justify" vertical="center"/>
    </xf>
    <xf numFmtId="169" fontId="46" fillId="10" borderId="27" xfId="4" applyNumberFormat="1" applyFont="1" applyFill="1" applyBorder="1" applyAlignment="1">
      <alignment horizontal="center" vertical="center"/>
    </xf>
    <xf numFmtId="0" fontId="46" fillId="10" borderId="27" xfId="0" applyFont="1" applyFill="1" applyBorder="1" applyAlignment="1">
      <alignment horizontal="center" vertical="center"/>
    </xf>
    <xf numFmtId="0" fontId="48" fillId="11" borderId="2" xfId="0" applyFont="1" applyFill="1" applyBorder="1" applyAlignment="1">
      <alignment horizontal="center" vertical="center"/>
    </xf>
    <xf numFmtId="169" fontId="49" fillId="0" borderId="7" xfId="4" applyNumberFormat="1" applyFont="1" applyFill="1" applyBorder="1" applyAlignment="1">
      <alignment horizontal="right"/>
    </xf>
    <xf numFmtId="0" fontId="10" fillId="12" borderId="2" xfId="0" applyFont="1" applyFill="1" applyBorder="1" applyAlignment="1">
      <alignment horizontal="center" vertical="center"/>
    </xf>
    <xf numFmtId="0" fontId="10" fillId="12" borderId="27" xfId="0" applyFont="1" applyFill="1" applyBorder="1" applyAlignment="1">
      <alignment horizontal="justify" vertical="center"/>
    </xf>
    <xf numFmtId="169" fontId="9" fillId="12" borderId="27" xfId="4" applyNumberFormat="1" applyFont="1" applyFill="1" applyBorder="1" applyAlignment="1">
      <alignment horizontal="center" vertical="center"/>
    </xf>
    <xf numFmtId="0" fontId="9" fillId="12" borderId="27" xfId="0" applyFont="1" applyFill="1" applyBorder="1" applyAlignment="1">
      <alignment horizontal="center" vertical="center"/>
    </xf>
    <xf numFmtId="0" fontId="9" fillId="12" borderId="3" xfId="0" applyFont="1" applyFill="1" applyBorder="1" applyAlignment="1">
      <alignment horizontal="center" vertical="center"/>
    </xf>
    <xf numFmtId="169" fontId="11" fillId="9" borderId="27" xfId="4" applyNumberFormat="1" applyFont="1" applyFill="1" applyBorder="1" applyAlignment="1">
      <alignment horizontal="right" vertical="center"/>
    </xf>
    <xf numFmtId="169" fontId="11" fillId="9" borderId="3" xfId="4" applyNumberFormat="1" applyFont="1" applyFill="1" applyBorder="1" applyAlignment="1">
      <alignment horizontal="right" vertical="center"/>
    </xf>
    <xf numFmtId="3" fontId="9" fillId="9" borderId="29" xfId="0" applyNumberFormat="1" applyFont="1" applyFill="1" applyBorder="1" applyAlignment="1">
      <alignment horizontal="center" vertical="center"/>
    </xf>
    <xf numFmtId="169" fontId="11" fillId="9" borderId="27" xfId="4" applyNumberFormat="1" applyFont="1" applyFill="1" applyBorder="1" applyAlignment="1">
      <alignment horizontal="center" vertical="center"/>
    </xf>
    <xf numFmtId="3" fontId="11" fillId="9" borderId="27" xfId="0" applyNumberFormat="1" applyFont="1" applyFill="1" applyBorder="1" applyAlignment="1">
      <alignment horizontal="center" vertical="center"/>
    </xf>
    <xf numFmtId="3" fontId="11" fillId="9" borderId="3" xfId="0" applyNumberFormat="1" applyFont="1" applyFill="1" applyBorder="1" applyAlignment="1">
      <alignment horizontal="center" vertical="center"/>
    </xf>
    <xf numFmtId="49" fontId="9" fillId="8" borderId="5" xfId="0" applyNumberFormat="1" applyFont="1" applyFill="1" applyBorder="1" applyAlignment="1">
      <alignment horizontal="center" vertical="center"/>
    </xf>
    <xf numFmtId="3" fontId="9" fillId="8" borderId="6" xfId="0" applyNumberFormat="1" applyFont="1" applyFill="1" applyBorder="1" applyAlignment="1">
      <alignment horizontal="justify" vertical="center"/>
    </xf>
    <xf numFmtId="169" fontId="9" fillId="8" borderId="6" xfId="4" applyNumberFormat="1" applyFont="1" applyFill="1" applyBorder="1" applyAlignment="1">
      <alignment horizontal="right" vertical="center"/>
    </xf>
    <xf numFmtId="3" fontId="9" fillId="8" borderId="16" xfId="0" applyNumberFormat="1" applyFont="1" applyFill="1" applyBorder="1" applyAlignment="1">
      <alignment horizontal="right" vertical="center"/>
    </xf>
    <xf numFmtId="3" fontId="9" fillId="8" borderId="5" xfId="0" applyNumberFormat="1" applyFont="1" applyFill="1" applyBorder="1" applyAlignment="1">
      <alignment horizontal="center" vertical="center"/>
    </xf>
    <xf numFmtId="0" fontId="9" fillId="8" borderId="6" xfId="0" applyFont="1" applyFill="1" applyBorder="1"/>
    <xf numFmtId="3" fontId="9" fillId="8" borderId="8" xfId="0" applyNumberFormat="1" applyFont="1" applyFill="1" applyBorder="1" applyAlignment="1">
      <alignment horizontal="center" vertical="center"/>
    </xf>
    <xf numFmtId="3" fontId="9" fillId="8" borderId="14" xfId="0" applyNumberFormat="1" applyFont="1" applyFill="1" applyBorder="1" applyAlignment="1">
      <alignment horizontal="justify" vertical="center"/>
    </xf>
    <xf numFmtId="169" fontId="9" fillId="8" borderId="14" xfId="4" applyNumberFormat="1" applyFont="1" applyFill="1" applyBorder="1" applyAlignment="1">
      <alignment horizontal="right" vertical="center"/>
    </xf>
    <xf numFmtId="3" fontId="9" fillId="8" borderId="14" xfId="0" applyNumberFormat="1" applyFont="1" applyFill="1" applyBorder="1" applyAlignment="1">
      <alignment horizontal="right" vertical="center"/>
    </xf>
    <xf numFmtId="3" fontId="9" fillId="8" borderId="10" xfId="0" applyNumberFormat="1" applyFont="1" applyFill="1" applyBorder="1" applyAlignment="1">
      <alignment horizontal="right" vertical="center"/>
    </xf>
    <xf numFmtId="169" fontId="9" fillId="8" borderId="16" xfId="4" applyNumberFormat="1" applyFont="1" applyFill="1" applyBorder="1" applyAlignment="1">
      <alignment horizontal="right" vertical="center"/>
    </xf>
    <xf numFmtId="0" fontId="48" fillId="7" borderId="2" xfId="0" applyFont="1" applyFill="1" applyBorder="1" applyAlignment="1"/>
    <xf numFmtId="37" fontId="12" fillId="7" borderId="3" xfId="0" applyNumberFormat="1" applyFont="1" applyFill="1" applyBorder="1" applyAlignment="1">
      <alignment vertical="center"/>
    </xf>
    <xf numFmtId="169" fontId="9" fillId="0" borderId="24" xfId="4" applyNumberFormat="1" applyFont="1" applyFill="1" applyBorder="1" applyAlignment="1">
      <alignment horizontal="right"/>
    </xf>
    <xf numFmtId="37" fontId="12" fillId="0" borderId="7" xfId="0" applyNumberFormat="1" applyFont="1" applyFill="1" applyBorder="1" applyAlignment="1">
      <alignment horizontal="right" vertical="center"/>
    </xf>
    <xf numFmtId="169" fontId="9" fillId="0" borderId="19" xfId="4" applyNumberFormat="1" applyFont="1" applyFill="1" applyBorder="1" applyAlignment="1">
      <alignment horizontal="right"/>
    </xf>
    <xf numFmtId="0" fontId="9" fillId="0" borderId="26" xfId="0" applyFont="1" applyBorder="1" applyAlignment="1">
      <alignment vertical="center"/>
    </xf>
    <xf numFmtId="0" fontId="10" fillId="0" borderId="30" xfId="0" applyFont="1" applyBorder="1" applyAlignment="1">
      <alignment horizontal="center" vertical="center"/>
    </xf>
    <xf numFmtId="37" fontId="12" fillId="7" borderId="27" xfId="0" applyNumberFormat="1" applyFont="1" applyFill="1" applyBorder="1" applyAlignment="1">
      <alignment horizontal="center" vertical="center"/>
    </xf>
    <xf numFmtId="37" fontId="12" fillId="7" borderId="27" xfId="0" applyNumberFormat="1" applyFont="1" applyFill="1" applyBorder="1" applyAlignment="1">
      <alignment horizontal="right" vertical="center"/>
    </xf>
    <xf numFmtId="37" fontId="12" fillId="7" borderId="3" xfId="0" applyNumberFormat="1" applyFont="1" applyFill="1" applyBorder="1" applyAlignment="1">
      <alignment horizontal="right" vertical="center"/>
    </xf>
    <xf numFmtId="37" fontId="12" fillId="7" borderId="27" xfId="0" applyNumberFormat="1" applyFont="1" applyFill="1" applyBorder="1" applyAlignment="1">
      <alignment vertical="center"/>
    </xf>
    <xf numFmtId="0" fontId="10" fillId="0" borderId="0" xfId="0" applyFont="1" applyAlignment="1">
      <alignment horizontal="center"/>
    </xf>
    <xf numFmtId="0" fontId="10" fillId="0" borderId="0" xfId="0" applyFont="1" applyBorder="1" applyAlignment="1">
      <alignment horizontal="center" vertical="center"/>
    </xf>
    <xf numFmtId="3" fontId="9" fillId="13" borderId="15" xfId="0" applyNumberFormat="1" applyFont="1" applyFill="1" applyBorder="1" applyAlignment="1">
      <alignment horizontal="justify" vertical="center"/>
    </xf>
    <xf numFmtId="3" fontId="9" fillId="13" borderId="31" xfId="0" applyNumberFormat="1" applyFont="1" applyFill="1" applyBorder="1" applyAlignment="1">
      <alignment horizontal="right" vertical="center"/>
    </xf>
    <xf numFmtId="3" fontId="10" fillId="0" borderId="15" xfId="0" applyNumberFormat="1" applyFont="1" applyBorder="1" applyAlignment="1" applyProtection="1">
      <alignment horizontal="justify" vertical="center"/>
      <protection locked="0"/>
    </xf>
    <xf numFmtId="3" fontId="10" fillId="0" borderId="6" xfId="0" applyNumberFormat="1" applyFont="1" applyFill="1" applyBorder="1" applyAlignment="1" applyProtection="1">
      <alignment horizontal="justify" vertical="center"/>
      <protection locked="0"/>
    </xf>
    <xf numFmtId="3" fontId="10" fillId="0" borderId="15" xfId="0" applyNumberFormat="1" applyFont="1" applyBorder="1" applyAlignment="1">
      <alignment horizontal="justify" vertical="top"/>
    </xf>
    <xf numFmtId="3" fontId="10" fillId="0" borderId="22" xfId="0" applyNumberFormat="1" applyFont="1" applyBorder="1" applyAlignment="1" applyProtection="1">
      <alignment horizontal="justify" vertical="center"/>
      <protection locked="0"/>
    </xf>
    <xf numFmtId="3" fontId="9" fillId="0" borderId="18" xfId="0" applyNumberFormat="1" applyFont="1" applyFill="1" applyBorder="1" applyAlignment="1">
      <alignment horizontal="justify" vertical="center"/>
    </xf>
    <xf numFmtId="3" fontId="9" fillId="0" borderId="19" xfId="0" applyNumberFormat="1" applyFont="1" applyFill="1" applyBorder="1" applyAlignment="1">
      <alignment horizontal="right" vertical="center"/>
    </xf>
    <xf numFmtId="0" fontId="10" fillId="0" borderId="15" xfId="0" applyFont="1" applyBorder="1" applyAlignment="1" applyProtection="1">
      <alignment horizontal="justify" vertical="center"/>
      <protection locked="0"/>
    </xf>
    <xf numFmtId="3" fontId="10" fillId="0" borderId="22" xfId="0" applyNumberFormat="1" applyFont="1" applyFill="1" applyBorder="1" applyAlignment="1">
      <alignment horizontal="justify" vertical="center"/>
    </xf>
    <xf numFmtId="0" fontId="10" fillId="0" borderId="6" xfId="0" applyFont="1" applyFill="1" applyBorder="1" applyAlignment="1" applyProtection="1">
      <alignment horizontal="justify" vertical="center"/>
      <protection locked="0"/>
    </xf>
    <xf numFmtId="3" fontId="10" fillId="0" borderId="22" xfId="0" applyNumberFormat="1" applyFont="1" applyFill="1" applyBorder="1" applyAlignment="1" applyProtection="1">
      <alignment horizontal="justify" vertical="center"/>
      <protection locked="0"/>
    </xf>
    <xf numFmtId="3" fontId="9" fillId="8" borderId="6" xfId="0" applyNumberFormat="1" applyFont="1" applyFill="1" applyBorder="1" applyAlignment="1">
      <alignment horizontal="left" vertical="center"/>
    </xf>
    <xf numFmtId="3" fontId="10" fillId="0" borderId="31" xfId="0" applyNumberFormat="1" applyFont="1" applyBorder="1" applyAlignment="1">
      <alignment horizontal="right" vertical="center"/>
    </xf>
    <xf numFmtId="3" fontId="10" fillId="0" borderId="16" xfId="0" applyNumberFormat="1" applyFont="1" applyFill="1" applyBorder="1" applyAlignment="1">
      <alignment horizontal="right" vertical="center"/>
    </xf>
    <xf numFmtId="3" fontId="10" fillId="0" borderId="16" xfId="0" applyNumberFormat="1" applyFont="1" applyFill="1" applyBorder="1" applyAlignment="1" applyProtection="1">
      <alignment horizontal="right" vertical="center"/>
      <protection locked="0"/>
    </xf>
    <xf numFmtId="3" fontId="10" fillId="0" borderId="24" xfId="0" applyNumberFormat="1" applyFont="1" applyBorder="1" applyAlignment="1" applyProtection="1">
      <alignment horizontal="right" vertical="center"/>
      <protection locked="0"/>
    </xf>
    <xf numFmtId="3" fontId="10" fillId="0" borderId="24" xfId="0" applyNumberFormat="1" applyFont="1" applyFill="1" applyBorder="1" applyAlignment="1">
      <alignment horizontal="right" vertical="center"/>
    </xf>
    <xf numFmtId="3" fontId="10" fillId="0" borderId="24" xfId="0" applyNumberFormat="1" applyFont="1" applyFill="1" applyBorder="1" applyAlignment="1" applyProtection="1">
      <alignment horizontal="right" vertical="center"/>
      <protection locked="0"/>
    </xf>
    <xf numFmtId="3" fontId="9" fillId="13" borderId="32" xfId="0" applyNumberFormat="1" applyFont="1" applyFill="1" applyBorder="1" applyAlignment="1">
      <alignment horizontal="center" vertical="center"/>
    </xf>
    <xf numFmtId="3" fontId="9" fillId="9" borderId="27" xfId="0" applyNumberFormat="1" applyFont="1" applyFill="1" applyBorder="1" applyAlignment="1">
      <alignment horizontal="center" vertical="center"/>
    </xf>
    <xf numFmtId="37" fontId="12" fillId="7" borderId="3" xfId="0" applyNumberFormat="1" applyFont="1" applyFill="1" applyBorder="1" applyAlignment="1">
      <alignment horizontal="center" vertical="center"/>
    </xf>
    <xf numFmtId="3" fontId="9" fillId="2" borderId="2" xfId="0" applyNumberFormat="1" applyFont="1" applyFill="1" applyBorder="1" applyAlignment="1">
      <alignment horizontal="center" vertical="center"/>
    </xf>
    <xf numFmtId="170" fontId="11" fillId="2" borderId="3" xfId="0" applyNumberFormat="1" applyFont="1" applyFill="1" applyBorder="1" applyAlignment="1">
      <alignment horizontal="right" vertical="center"/>
    </xf>
    <xf numFmtId="169" fontId="11" fillId="9" borderId="3" xfId="4" applyNumberFormat="1" applyFont="1" applyFill="1" applyBorder="1" applyAlignment="1">
      <alignment horizontal="center" vertical="center"/>
    </xf>
    <xf numFmtId="3" fontId="10" fillId="0" borderId="4" xfId="0" applyNumberFormat="1" applyFont="1" applyFill="1" applyBorder="1" applyAlignment="1">
      <alignment horizontal="center" vertical="center"/>
    </xf>
    <xf numFmtId="170" fontId="10" fillId="0" borderId="0" xfId="4" applyNumberFormat="1" applyFont="1" applyFill="1" applyBorder="1"/>
    <xf numFmtId="170" fontId="18" fillId="2" borderId="3" xfId="0" applyNumberFormat="1" applyFont="1" applyFill="1" applyBorder="1" applyAlignment="1">
      <alignment horizontal="right" vertical="center"/>
    </xf>
    <xf numFmtId="0" fontId="10" fillId="0" borderId="14" xfId="0" applyFont="1" applyBorder="1"/>
    <xf numFmtId="169" fontId="9" fillId="0" borderId="26" xfId="4" applyNumberFormat="1" applyFont="1" applyBorder="1" applyAlignment="1">
      <alignment horizontal="center" vertical="center"/>
    </xf>
    <xf numFmtId="0" fontId="9" fillId="0" borderId="14" xfId="0" applyFont="1" applyBorder="1" applyAlignment="1">
      <alignment vertical="center"/>
    </xf>
    <xf numFmtId="3" fontId="9" fillId="9" borderId="2" xfId="0" applyNumberFormat="1" applyFont="1" applyFill="1" applyBorder="1" applyAlignment="1">
      <alignment horizontal="justify" vertical="center"/>
    </xf>
    <xf numFmtId="49" fontId="9" fillId="8" borderId="21" xfId="0" applyNumberFormat="1" applyFont="1" applyFill="1" applyBorder="1" applyAlignment="1">
      <alignment horizontal="center" vertical="center"/>
    </xf>
    <xf numFmtId="49" fontId="9" fillId="0" borderId="21" xfId="0" applyNumberFormat="1" applyFont="1" applyFill="1" applyBorder="1" applyAlignment="1">
      <alignment horizontal="center" vertical="center"/>
    </xf>
    <xf numFmtId="49" fontId="10" fillId="0" borderId="15" xfId="0" applyNumberFormat="1" applyFont="1" applyBorder="1" applyAlignment="1">
      <alignment horizontal="center" vertical="center"/>
    </xf>
    <xf numFmtId="49" fontId="10" fillId="0" borderId="21" xfId="0" applyNumberFormat="1" applyFont="1" applyFill="1" applyBorder="1" applyAlignment="1">
      <alignment horizontal="center" vertical="center"/>
    </xf>
    <xf numFmtId="49" fontId="10" fillId="0" borderId="15" xfId="0" applyNumberFormat="1" applyFont="1" applyBorder="1" applyAlignment="1" applyProtection="1">
      <alignment horizontal="center" vertical="center"/>
      <protection locked="0"/>
    </xf>
    <xf numFmtId="49" fontId="10" fillId="0" borderId="21" xfId="0" applyNumberFormat="1" applyFont="1" applyFill="1" applyBorder="1" applyAlignment="1" applyProtection="1">
      <alignment horizontal="center" vertical="center"/>
      <protection locked="0"/>
    </xf>
    <xf numFmtId="3" fontId="9" fillId="13" borderId="15" xfId="0" applyNumberFormat="1" applyFont="1" applyFill="1" applyBorder="1" applyAlignment="1">
      <alignment horizontal="center" vertical="center"/>
    </xf>
    <xf numFmtId="3" fontId="10" fillId="0" borderId="15" xfId="0" applyNumberFormat="1" applyFont="1" applyBorder="1" applyAlignment="1">
      <alignment horizontal="center" vertical="center"/>
    </xf>
    <xf numFmtId="3" fontId="10" fillId="0" borderId="21" xfId="0" applyNumberFormat="1" applyFont="1" applyFill="1" applyBorder="1" applyAlignment="1">
      <alignment horizontal="center" vertical="center"/>
    </xf>
    <xf numFmtId="3" fontId="10" fillId="0" borderId="15" xfId="0" applyNumberFormat="1" applyFont="1" applyBorder="1" applyAlignment="1" applyProtection="1">
      <alignment horizontal="center" vertical="center"/>
      <protection locked="0"/>
    </xf>
    <xf numFmtId="3" fontId="10" fillId="0" borderId="25" xfId="0" applyNumberFormat="1" applyFont="1" applyBorder="1" applyAlignment="1" applyProtection="1">
      <alignment horizontal="center" vertical="center"/>
      <protection locked="0"/>
    </xf>
    <xf numFmtId="3" fontId="9" fillId="9" borderId="33" xfId="0" applyNumberFormat="1" applyFont="1" applyFill="1" applyBorder="1" applyAlignment="1">
      <alignment horizontal="center" vertical="center"/>
    </xf>
    <xf numFmtId="3" fontId="9" fillId="0" borderId="34" xfId="0" applyNumberFormat="1" applyFont="1" applyFill="1" applyBorder="1" applyAlignment="1">
      <alignment horizontal="center" vertical="center"/>
    </xf>
    <xf numFmtId="3" fontId="10" fillId="0" borderId="21" xfId="0" applyNumberFormat="1" applyFont="1" applyFill="1" applyBorder="1" applyAlignment="1" applyProtection="1">
      <alignment horizontal="center" vertical="center"/>
      <protection locked="0"/>
    </xf>
    <xf numFmtId="3" fontId="10" fillId="0" borderId="15" xfId="0" applyNumberFormat="1" applyFont="1" applyFill="1" applyBorder="1" applyAlignment="1">
      <alignment horizontal="center" vertical="center"/>
    </xf>
    <xf numFmtId="3" fontId="10" fillId="0" borderId="15" xfId="0" applyNumberFormat="1" applyFont="1" applyFill="1" applyBorder="1" applyAlignment="1" applyProtection="1">
      <alignment horizontal="center" vertical="center"/>
      <protection locked="0"/>
    </xf>
    <xf numFmtId="3" fontId="10" fillId="0" borderId="25" xfId="0" applyNumberFormat="1" applyFont="1" applyFill="1" applyBorder="1" applyAlignment="1">
      <alignment horizontal="center" vertical="center"/>
    </xf>
    <xf numFmtId="3" fontId="10" fillId="0" borderId="21" xfId="0" applyNumberFormat="1" applyFont="1" applyBorder="1" applyAlignment="1">
      <alignment horizontal="center" vertical="center"/>
    </xf>
    <xf numFmtId="0" fontId="10" fillId="0" borderId="15" xfId="0" applyFont="1" applyBorder="1" applyAlignment="1" applyProtection="1">
      <alignment horizontal="center" vertical="center"/>
      <protection locked="0"/>
    </xf>
    <xf numFmtId="0" fontId="10" fillId="0" borderId="21" xfId="0" applyFont="1" applyFill="1" applyBorder="1" applyAlignment="1" applyProtection="1">
      <alignment horizontal="center" vertical="center"/>
      <protection locked="0"/>
    </xf>
    <xf numFmtId="3" fontId="10" fillId="0" borderId="25" xfId="0" applyNumberFormat="1" applyFont="1" applyFill="1" applyBorder="1" applyAlignment="1" applyProtection="1">
      <alignment horizontal="center" vertical="center"/>
      <protection locked="0"/>
    </xf>
    <xf numFmtId="49" fontId="9" fillId="0" borderId="35" xfId="0" applyNumberFormat="1" applyFont="1" applyFill="1" applyBorder="1" applyAlignment="1">
      <alignment horizontal="center" vertical="center"/>
    </xf>
    <xf numFmtId="3" fontId="9" fillId="0" borderId="12" xfId="0" applyNumberFormat="1" applyFont="1" applyFill="1" applyBorder="1" applyAlignment="1">
      <alignment horizontal="justify" vertical="center"/>
    </xf>
    <xf numFmtId="3" fontId="9" fillId="0" borderId="13" xfId="0" applyNumberFormat="1" applyFont="1" applyFill="1" applyBorder="1" applyAlignment="1">
      <alignment horizontal="right" vertical="center"/>
    </xf>
    <xf numFmtId="3" fontId="9" fillId="0" borderId="21" xfId="0" applyNumberFormat="1" applyFont="1" applyFill="1" applyBorder="1" applyAlignment="1">
      <alignment horizontal="center" vertical="center"/>
    </xf>
    <xf numFmtId="37" fontId="12" fillId="7" borderId="2" xfId="0" applyNumberFormat="1" applyFont="1" applyFill="1" applyBorder="1" applyAlignment="1">
      <alignment horizontal="center" vertical="center"/>
    </xf>
    <xf numFmtId="37" fontId="12" fillId="7" borderId="27" xfId="0" applyNumberFormat="1" applyFont="1" applyFill="1" applyBorder="1" applyAlignment="1">
      <alignment horizontal="center" vertical="center"/>
    </xf>
    <xf numFmtId="170" fontId="0" fillId="0" borderId="0" xfId="0" applyNumberFormat="1"/>
    <xf numFmtId="0" fontId="7" fillId="0" borderId="0" xfId="6" applyFont="1" applyBorder="1" applyAlignment="1">
      <alignment horizontal="center"/>
    </xf>
    <xf numFmtId="0" fontId="8" fillId="0" borderId="0" xfId="6" applyFont="1"/>
    <xf numFmtId="0" fontId="8" fillId="0" borderId="0" xfId="6" applyFont="1" applyBorder="1" applyAlignment="1">
      <alignment horizontal="center"/>
    </xf>
    <xf numFmtId="168" fontId="8" fillId="0" borderId="0" xfId="6" applyNumberFormat="1" applyFont="1" applyBorder="1" applyAlignment="1">
      <alignment horizontal="center"/>
    </xf>
    <xf numFmtId="3" fontId="8" fillId="0" borderId="0" xfId="6" applyNumberFormat="1" applyFont="1" applyBorder="1" applyAlignment="1">
      <alignment horizontal="center"/>
    </xf>
    <xf numFmtId="3" fontId="8" fillId="0" borderId="0" xfId="6" applyNumberFormat="1" applyFont="1"/>
    <xf numFmtId="0" fontId="8" fillId="0" borderId="0" xfId="6" applyFont="1" applyBorder="1"/>
    <xf numFmtId="3" fontId="8" fillId="0" borderId="0" xfId="6" applyNumberFormat="1" applyFont="1" applyBorder="1"/>
    <xf numFmtId="0" fontId="8" fillId="0" borderId="0" xfId="6" applyFont="1" applyFill="1" applyBorder="1"/>
    <xf numFmtId="0" fontId="50" fillId="14" borderId="0" xfId="6" applyFont="1" applyFill="1" applyBorder="1"/>
    <xf numFmtId="0" fontId="50" fillId="14" borderId="0" xfId="6" applyFont="1" applyFill="1" applyBorder="1" applyAlignment="1">
      <alignment horizontal="right"/>
    </xf>
    <xf numFmtId="3" fontId="50" fillId="14" borderId="0" xfId="6" applyNumberFormat="1" applyFont="1" applyFill="1" applyBorder="1"/>
    <xf numFmtId="0" fontId="51" fillId="14" borderId="0" xfId="6" applyFont="1" applyFill="1" applyBorder="1"/>
    <xf numFmtId="3" fontId="51" fillId="14" borderId="0" xfId="6" applyNumberFormat="1" applyFont="1" applyFill="1"/>
    <xf numFmtId="0" fontId="51" fillId="0" borderId="0" xfId="6" applyFont="1"/>
    <xf numFmtId="0" fontId="8" fillId="15" borderId="0" xfId="6" applyFont="1" applyFill="1" applyBorder="1"/>
    <xf numFmtId="0" fontId="7" fillId="15" borderId="0" xfId="6" applyFont="1" applyFill="1" applyBorder="1" applyAlignment="1">
      <alignment horizontal="right"/>
    </xf>
    <xf numFmtId="0" fontId="7" fillId="15" borderId="0" xfId="6" applyFont="1" applyFill="1" applyBorder="1"/>
    <xf numFmtId="3" fontId="7" fillId="15" borderId="0" xfId="6" applyNumberFormat="1" applyFont="1" applyFill="1" applyBorder="1"/>
    <xf numFmtId="3" fontId="8" fillId="15" borderId="0" xfId="6" applyNumberFormat="1" applyFont="1" applyFill="1"/>
    <xf numFmtId="0" fontId="8" fillId="0" borderId="0" xfId="6" applyFont="1" applyFill="1"/>
    <xf numFmtId="0" fontId="8" fillId="9" borderId="0" xfId="6" applyFont="1" applyFill="1" applyBorder="1"/>
    <xf numFmtId="0" fontId="7" fillId="9" borderId="0" xfId="6" applyFont="1" applyFill="1" applyBorder="1" applyAlignment="1">
      <alignment horizontal="right"/>
    </xf>
    <xf numFmtId="0" fontId="7" fillId="9" borderId="0" xfId="6" applyFont="1" applyFill="1" applyBorder="1"/>
    <xf numFmtId="3" fontId="7" fillId="9" borderId="0" xfId="6" applyNumberFormat="1" applyFont="1" applyFill="1"/>
    <xf numFmtId="0" fontId="19" fillId="9" borderId="0" xfId="6" applyFont="1" applyFill="1" applyBorder="1"/>
    <xf numFmtId="0" fontId="7" fillId="13" borderId="0" xfId="6" applyFont="1" applyFill="1" applyBorder="1"/>
    <xf numFmtId="0" fontId="7" fillId="13" borderId="0" xfId="6" applyFont="1" applyFill="1" applyBorder="1" applyAlignment="1">
      <alignment horizontal="right"/>
    </xf>
    <xf numFmtId="3" fontId="7" fillId="13" borderId="0" xfId="6" applyNumberFormat="1" applyFont="1" applyFill="1"/>
    <xf numFmtId="0" fontId="7" fillId="16" borderId="0" xfId="6" applyFont="1" applyFill="1" applyBorder="1"/>
    <xf numFmtId="0" fontId="7" fillId="0" borderId="0" xfId="6" applyFont="1"/>
    <xf numFmtId="0" fontId="19" fillId="0" borderId="0" xfId="6" applyFont="1" applyBorder="1" applyAlignment="1">
      <alignment horizontal="right"/>
    </xf>
    <xf numFmtId="0" fontId="19" fillId="0" borderId="0" xfId="6" applyFont="1" applyBorder="1"/>
    <xf numFmtId="3" fontId="19" fillId="0" borderId="0" xfId="6" applyNumberFormat="1" applyFont="1"/>
    <xf numFmtId="0" fontId="8" fillId="0" borderId="0" xfId="6" applyFont="1" applyBorder="1" applyAlignment="1">
      <alignment horizontal="right"/>
    </xf>
    <xf numFmtId="0" fontId="7" fillId="0" borderId="0" xfId="6" applyFont="1" applyBorder="1" applyAlignment="1">
      <alignment horizontal="right"/>
    </xf>
    <xf numFmtId="3" fontId="7" fillId="13" borderId="0" xfId="6" applyNumberFormat="1" applyFont="1" applyFill="1" applyBorder="1"/>
    <xf numFmtId="0" fontId="7" fillId="0" borderId="0" xfId="6" applyFont="1" applyFill="1" applyBorder="1" applyAlignment="1">
      <alignment horizontal="right"/>
    </xf>
    <xf numFmtId="0" fontId="8" fillId="0" borderId="0" xfId="6" applyFont="1" applyFill="1" applyBorder="1" applyAlignment="1">
      <alignment horizontal="right"/>
    </xf>
    <xf numFmtId="0" fontId="7" fillId="0" borderId="0" xfId="6" applyFont="1" applyBorder="1"/>
    <xf numFmtId="0" fontId="8" fillId="0" borderId="26" xfId="6" applyFont="1" applyBorder="1"/>
    <xf numFmtId="3" fontId="8" fillId="0" borderId="26" xfId="6" applyNumberFormat="1" applyFont="1" applyBorder="1"/>
    <xf numFmtId="0" fontId="8" fillId="0" borderId="26" xfId="6" applyFont="1" applyFill="1" applyBorder="1" applyAlignment="1">
      <alignment horizontal="right"/>
    </xf>
    <xf numFmtId="0" fontId="8" fillId="0" borderId="26" xfId="6" applyFont="1" applyBorder="1" applyAlignment="1">
      <alignment horizontal="right"/>
    </xf>
    <xf numFmtId="0" fontId="7" fillId="0" borderId="0" xfId="6" applyFont="1" applyFill="1" applyBorder="1"/>
    <xf numFmtId="0" fontId="19" fillId="0" borderId="0" xfId="6" applyFont="1" applyFill="1" applyBorder="1"/>
    <xf numFmtId="0" fontId="7" fillId="16" borderId="0" xfId="6" applyFont="1" applyFill="1" applyBorder="1" applyAlignment="1">
      <alignment horizontal="right"/>
    </xf>
    <xf numFmtId="3" fontId="7" fillId="16" borderId="0" xfId="6" applyNumberFormat="1" applyFont="1" applyFill="1"/>
    <xf numFmtId="0" fontId="50" fillId="14" borderId="0" xfId="6" applyFont="1" applyFill="1" applyBorder="1" applyAlignment="1">
      <alignment horizontal="center"/>
    </xf>
    <xf numFmtId="0" fontId="7" fillId="16" borderId="0" xfId="6" applyFont="1" applyFill="1" applyBorder="1" applyAlignment="1">
      <alignment horizontal="center"/>
    </xf>
    <xf numFmtId="0" fontId="8" fillId="0" borderId="26" xfId="6" applyFont="1" applyFill="1" applyBorder="1"/>
    <xf numFmtId="49" fontId="7" fillId="0" borderId="0" xfId="6" applyNumberFormat="1" applyFont="1" applyBorder="1"/>
    <xf numFmtId="3" fontId="7" fillId="0" borderId="0" xfId="6" applyNumberFormat="1" applyFont="1"/>
    <xf numFmtId="3" fontId="8" fillId="0" borderId="0" xfId="6" applyNumberFormat="1" applyFont="1" applyFill="1" applyAlignment="1">
      <alignment horizontal="right"/>
    </xf>
    <xf numFmtId="3" fontId="8" fillId="0" borderId="0" xfId="6" applyNumberFormat="1" applyFont="1" applyFill="1" applyBorder="1"/>
    <xf numFmtId="3" fontId="7" fillId="0" borderId="0" xfId="6" applyNumberFormat="1" applyFont="1" applyBorder="1"/>
    <xf numFmtId="0" fontId="8" fillId="17" borderId="0" xfId="6" applyFont="1" applyFill="1" applyBorder="1" applyAlignment="1">
      <alignment horizontal="right"/>
    </xf>
    <xf numFmtId="0" fontId="8" fillId="17" borderId="0" xfId="6" applyFont="1" applyFill="1" applyBorder="1"/>
    <xf numFmtId="3" fontId="8" fillId="17" borderId="0" xfId="6" applyNumberFormat="1" applyFont="1" applyFill="1"/>
    <xf numFmtId="0" fontId="8" fillId="0" borderId="0" xfId="6" applyFont="1" applyBorder="1" applyAlignment="1">
      <alignment horizontal="left"/>
    </xf>
    <xf numFmtId="0" fontId="7" fillId="13" borderId="0" xfId="6" applyFont="1" applyFill="1" applyBorder="1" applyAlignment="1">
      <alignment horizontal="left"/>
    </xf>
    <xf numFmtId="167" fontId="7" fillId="18" borderId="36" xfId="6" applyNumberFormat="1" applyFont="1" applyFill="1" applyBorder="1" applyAlignment="1">
      <alignment horizontal="center" vertical="center" wrapText="1"/>
    </xf>
    <xf numFmtId="0" fontId="7" fillId="8" borderId="22" xfId="6" applyFont="1" applyFill="1" applyBorder="1" applyAlignment="1">
      <alignment horizontal="center" vertical="center"/>
    </xf>
    <xf numFmtId="0" fontId="7" fillId="8" borderId="22" xfId="6" applyFont="1" applyFill="1" applyBorder="1" applyAlignment="1">
      <alignment horizontal="center"/>
    </xf>
    <xf numFmtId="0" fontId="7" fillId="8" borderId="26" xfId="6" applyFont="1" applyFill="1" applyBorder="1" applyAlignment="1">
      <alignment horizontal="center" vertical="center"/>
    </xf>
    <xf numFmtId="3" fontId="7" fillId="18" borderId="37" xfId="6" applyNumberFormat="1" applyFont="1" applyFill="1" applyBorder="1" applyAlignment="1">
      <alignment horizontal="center" vertical="center" wrapText="1"/>
    </xf>
    <xf numFmtId="0" fontId="7" fillId="8" borderId="26" xfId="6" applyFont="1" applyFill="1" applyBorder="1" applyAlignment="1">
      <alignment horizontal="center"/>
    </xf>
    <xf numFmtId="0" fontId="50" fillId="19" borderId="0" xfId="6" applyFont="1" applyFill="1" applyAlignment="1">
      <alignment vertical="center"/>
    </xf>
    <xf numFmtId="3" fontId="50" fillId="19" borderId="0" xfId="6" applyNumberFormat="1" applyFont="1" applyFill="1" applyAlignment="1">
      <alignment vertical="center"/>
    </xf>
    <xf numFmtId="0" fontId="51" fillId="0" borderId="0" xfId="6" applyFont="1" applyAlignment="1">
      <alignment horizontal="center" vertical="center"/>
    </xf>
    <xf numFmtId="0" fontId="50" fillId="10" borderId="0" xfId="6" applyFont="1" applyFill="1" applyBorder="1" applyAlignment="1">
      <alignment horizontal="center" vertical="center"/>
    </xf>
    <xf numFmtId="3" fontId="50" fillId="10" borderId="0" xfId="6" applyNumberFormat="1" applyFont="1" applyFill="1" applyBorder="1" applyAlignment="1">
      <alignment horizontal="center" vertical="center"/>
    </xf>
    <xf numFmtId="0" fontId="51" fillId="10" borderId="0" xfId="6" applyFont="1" applyFill="1" applyBorder="1" applyAlignment="1">
      <alignment horizontal="center" vertical="center"/>
    </xf>
    <xf numFmtId="3" fontId="51" fillId="10" borderId="0" xfId="6" applyNumberFormat="1" applyFont="1" applyFill="1" applyAlignment="1">
      <alignment horizontal="center" vertical="center"/>
    </xf>
    <xf numFmtId="0" fontId="50" fillId="10" borderId="0" xfId="6" applyFont="1" applyFill="1" applyBorder="1" applyAlignment="1">
      <alignment vertical="center"/>
    </xf>
    <xf numFmtId="3" fontId="50" fillId="10" borderId="0" xfId="6" applyNumberFormat="1" applyFont="1" applyFill="1" applyBorder="1" applyAlignment="1">
      <alignment vertical="center"/>
    </xf>
    <xf numFmtId="0" fontId="51" fillId="10" borderId="0" xfId="6" applyFont="1" applyFill="1" applyBorder="1" applyAlignment="1">
      <alignment vertical="center"/>
    </xf>
    <xf numFmtId="0" fontId="51" fillId="0" borderId="0" xfId="6" applyFont="1" applyAlignment="1">
      <alignment vertical="center"/>
    </xf>
    <xf numFmtId="0" fontId="51" fillId="0" borderId="0" xfId="6" applyFont="1" applyFill="1" applyAlignment="1">
      <alignment vertical="center"/>
    </xf>
    <xf numFmtId="0" fontId="50" fillId="20" borderId="0" xfId="6" applyFont="1" applyFill="1" applyAlignment="1">
      <alignment vertical="center"/>
    </xf>
    <xf numFmtId="3" fontId="50" fillId="20" borderId="0" xfId="6" applyNumberFormat="1" applyFont="1" applyFill="1" applyAlignment="1">
      <alignment vertical="center"/>
    </xf>
    <xf numFmtId="0" fontId="7" fillId="13" borderId="0" xfId="6" applyFont="1" applyFill="1" applyBorder="1" applyAlignment="1">
      <alignment horizontal="right" vertical="center"/>
    </xf>
    <xf numFmtId="3" fontId="8" fillId="0" borderId="0" xfId="6" applyNumberFormat="1" applyFont="1" applyAlignment="1">
      <alignment horizontal="right"/>
    </xf>
    <xf numFmtId="3" fontId="7" fillId="13" borderId="0" xfId="6" applyNumberFormat="1" applyFont="1" applyFill="1" applyAlignment="1">
      <alignment horizontal="right"/>
    </xf>
    <xf numFmtId="3" fontId="7" fillId="13" borderId="0" xfId="6" applyNumberFormat="1" applyFont="1" applyFill="1" applyAlignment="1">
      <alignment horizontal="left"/>
    </xf>
    <xf numFmtId="3" fontId="7" fillId="15" borderId="0" xfId="6" applyNumberFormat="1" applyFont="1" applyFill="1"/>
    <xf numFmtId="3" fontId="50" fillId="10" borderId="0" xfId="6" applyNumberFormat="1" applyFont="1" applyFill="1" applyAlignment="1">
      <alignment vertical="center"/>
    </xf>
    <xf numFmtId="0" fontId="7" fillId="0" borderId="0" xfId="6" applyFont="1" applyFill="1" applyBorder="1" applyAlignment="1">
      <alignment horizontal="center"/>
    </xf>
    <xf numFmtId="0" fontId="7" fillId="0" borderId="0" xfId="6" applyFont="1" applyFill="1" applyAlignment="1">
      <alignment horizontal="center"/>
    </xf>
    <xf numFmtId="3" fontId="8" fillId="0" borderId="0" xfId="6" applyNumberFormat="1" applyFont="1" applyFill="1"/>
    <xf numFmtId="3" fontId="7" fillId="0" borderId="0" xfId="6" applyNumberFormat="1" applyFont="1" applyFill="1" applyBorder="1" applyAlignment="1">
      <alignment horizontal="center" vertical="center" wrapText="1"/>
    </xf>
    <xf numFmtId="3" fontId="51" fillId="0" borderId="0" xfId="6" applyNumberFormat="1" applyFont="1" applyFill="1" applyAlignment="1">
      <alignment horizontal="center" vertical="center"/>
    </xf>
    <xf numFmtId="3" fontId="7" fillId="0" borderId="0" xfId="6" applyNumberFormat="1" applyFont="1" applyFill="1"/>
    <xf numFmtId="3" fontId="19" fillId="0" borderId="0" xfId="6" applyNumberFormat="1" applyFont="1" applyFill="1"/>
    <xf numFmtId="3" fontId="7" fillId="0" borderId="0" xfId="6" applyNumberFormat="1" applyFont="1" applyFill="1" applyBorder="1"/>
    <xf numFmtId="3" fontId="51" fillId="0" borderId="0" xfId="6" applyNumberFormat="1" applyFont="1" applyFill="1"/>
    <xf numFmtId="3" fontId="50" fillId="0" borderId="0" xfId="6" applyNumberFormat="1" applyFont="1" applyFill="1" applyAlignment="1">
      <alignment vertical="center"/>
    </xf>
    <xf numFmtId="0" fontId="52" fillId="0" borderId="0" xfId="0" applyFont="1"/>
    <xf numFmtId="3" fontId="8" fillId="15" borderId="0" xfId="6" applyNumberFormat="1" applyFont="1" applyFill="1" applyBorder="1"/>
    <xf numFmtId="0" fontId="7" fillId="13" borderId="0" xfId="6" applyFont="1" applyFill="1" applyBorder="1" applyAlignment="1">
      <alignment horizontal="left"/>
    </xf>
    <xf numFmtId="0" fontId="21" fillId="0" borderId="0" xfId="0" applyFont="1" applyAlignment="1">
      <alignment horizontal="left" vertical="top" wrapText="1"/>
    </xf>
    <xf numFmtId="0" fontId="22" fillId="0" borderId="0" xfId="0" applyFont="1" applyAlignment="1">
      <alignment horizontal="left" vertical="top" wrapText="1"/>
    </xf>
    <xf numFmtId="0" fontId="23" fillId="0" borderId="0" xfId="0" applyFont="1" applyAlignment="1">
      <alignment horizontal="left" vertical="top" wrapText="1"/>
    </xf>
    <xf numFmtId="171" fontId="20" fillId="0" borderId="0" xfId="0" applyNumberFormat="1" applyFont="1" applyAlignment="1">
      <alignment horizontal="right" vertical="top"/>
    </xf>
    <xf numFmtId="171" fontId="23" fillId="0" borderId="0" xfId="0" applyNumberFormat="1" applyFont="1" applyAlignment="1">
      <alignment horizontal="right" vertical="top"/>
    </xf>
    <xf numFmtId="0" fontId="15" fillId="0" borderId="0" xfId="0" applyFont="1" applyProtection="1">
      <protection locked="0"/>
    </xf>
    <xf numFmtId="0" fontId="15" fillId="0" borderId="0" xfId="0" applyFont="1" applyFill="1" applyProtection="1">
      <protection locked="0"/>
    </xf>
    <xf numFmtId="0" fontId="15" fillId="0" borderId="0" xfId="0" applyFont="1" applyProtection="1"/>
    <xf numFmtId="0" fontId="15" fillId="0" borderId="0" xfId="0" applyFont="1" applyFill="1" applyProtection="1"/>
    <xf numFmtId="0" fontId="21" fillId="0" borderId="15" xfId="0" applyFont="1" applyBorder="1" applyAlignment="1">
      <alignment horizontal="center" vertical="center" wrapText="1"/>
    </xf>
    <xf numFmtId="0" fontId="21" fillId="21" borderId="15" xfId="0" applyFont="1" applyFill="1" applyBorder="1" applyAlignment="1">
      <alignment horizontal="center" vertical="center" wrapText="1"/>
    </xf>
    <xf numFmtId="0" fontId="15" fillId="0" borderId="0" xfId="0" applyFont="1" applyAlignment="1" applyProtection="1">
      <alignment horizontal="center" vertical="center"/>
      <protection locked="0"/>
    </xf>
    <xf numFmtId="0" fontId="21" fillId="19" borderId="15" xfId="0" applyFont="1" applyFill="1" applyBorder="1" applyAlignment="1">
      <alignment horizontal="center" vertical="center" wrapText="1"/>
    </xf>
    <xf numFmtId="0" fontId="53" fillId="22" borderId="0" xfId="0" applyFont="1" applyFill="1" applyAlignment="1">
      <alignment horizontal="left" vertical="top" wrapText="1"/>
    </xf>
    <xf numFmtId="171" fontId="53" fillId="22" borderId="0" xfId="0" applyNumberFormat="1" applyFont="1" applyFill="1" applyAlignment="1">
      <alignment horizontal="right" vertical="top"/>
    </xf>
    <xf numFmtId="0" fontId="53" fillId="23" borderId="0" xfId="0" applyFont="1" applyFill="1" applyAlignment="1">
      <alignment horizontal="left" vertical="top" wrapText="1"/>
    </xf>
    <xf numFmtId="4" fontId="53" fillId="23" borderId="0" xfId="0" applyNumberFormat="1" applyFont="1" applyFill="1"/>
    <xf numFmtId="0" fontId="21" fillId="17" borderId="15" xfId="0" applyFont="1" applyFill="1" applyBorder="1" applyAlignment="1">
      <alignment horizontal="center" vertical="center" wrapText="1"/>
    </xf>
    <xf numFmtId="0" fontId="21" fillId="24" borderId="15" xfId="0" applyFont="1" applyFill="1" applyBorder="1" applyAlignment="1">
      <alignment horizontal="center" vertical="center" wrapText="1"/>
    </xf>
    <xf numFmtId="171" fontId="20" fillId="24" borderId="0" xfId="0" applyNumberFormat="1" applyFont="1" applyFill="1" applyAlignment="1">
      <alignment horizontal="right" vertical="top"/>
    </xf>
    <xf numFmtId="171" fontId="20" fillId="25" borderId="0" xfId="0" applyNumberFormat="1" applyFont="1" applyFill="1" applyAlignment="1">
      <alignment horizontal="right" vertical="top"/>
    </xf>
    <xf numFmtId="49" fontId="24" fillId="0" borderId="0" xfId="0" applyNumberFormat="1" applyFont="1"/>
    <xf numFmtId="0" fontId="25" fillId="0" borderId="0" xfId="0" applyFont="1" applyAlignment="1">
      <alignment horizontal="center"/>
    </xf>
    <xf numFmtId="0" fontId="24" fillId="0" borderId="0" xfId="0" applyFont="1"/>
    <xf numFmtId="0" fontId="25" fillId="0" borderId="0" xfId="0" applyFont="1" applyBorder="1" applyAlignment="1">
      <alignment horizontal="center"/>
    </xf>
    <xf numFmtId="169" fontId="26" fillId="0" borderId="0" xfId="4" applyNumberFormat="1" applyFont="1" applyBorder="1" applyAlignment="1">
      <alignment horizontal="center"/>
    </xf>
    <xf numFmtId="0" fontId="27" fillId="0" borderId="0" xfId="0" applyFont="1"/>
    <xf numFmtId="169" fontId="27" fillId="0" borderId="0" xfId="4" applyNumberFormat="1" applyFont="1"/>
    <xf numFmtId="0" fontId="26" fillId="0" borderId="0" xfId="0" applyFont="1"/>
    <xf numFmtId="49" fontId="27" fillId="0" borderId="0" xfId="4" applyNumberFormat="1" applyFont="1" applyAlignment="1">
      <alignment horizontal="right"/>
    </xf>
    <xf numFmtId="169" fontId="27" fillId="0" borderId="0" xfId="4" applyNumberFormat="1" applyFont="1" applyAlignment="1">
      <alignment horizontal="right" vertical="center"/>
    </xf>
    <xf numFmtId="169" fontId="27" fillId="0" borderId="0" xfId="4" applyNumberFormat="1" applyFont="1" applyAlignment="1">
      <alignment vertical="center"/>
    </xf>
    <xf numFmtId="0" fontId="25" fillId="0" borderId="0" xfId="0" applyFont="1" applyBorder="1"/>
    <xf numFmtId="0" fontId="24" fillId="0" borderId="0" xfId="0" applyFont="1" applyBorder="1"/>
    <xf numFmtId="169" fontId="27" fillId="0" borderId="0" xfId="4" applyNumberFormat="1" applyFont="1" applyBorder="1"/>
    <xf numFmtId="0" fontId="24" fillId="0" borderId="1" xfId="0" applyFont="1" applyBorder="1"/>
    <xf numFmtId="169" fontId="27" fillId="0" borderId="1" xfId="4" applyNumberFormat="1" applyFont="1" applyBorder="1"/>
    <xf numFmtId="3" fontId="25" fillId="0" borderId="0" xfId="0" applyNumberFormat="1" applyFont="1" applyBorder="1" applyAlignment="1">
      <alignment horizontal="center"/>
    </xf>
    <xf numFmtId="0" fontId="28" fillId="0" borderId="0" xfId="0" applyFont="1" applyFill="1" applyBorder="1" applyAlignment="1">
      <alignment horizontal="center"/>
    </xf>
    <xf numFmtId="3" fontId="28" fillId="0" borderId="0" xfId="0" applyNumberFormat="1" applyFont="1" applyFill="1" applyBorder="1" applyAlignment="1">
      <alignment horizontal="center"/>
    </xf>
    <xf numFmtId="49" fontId="54" fillId="10" borderId="38" xfId="0" applyNumberFormat="1" applyFont="1" applyFill="1" applyBorder="1"/>
    <xf numFmtId="0" fontId="55" fillId="10" borderId="38" xfId="0" applyFont="1" applyFill="1" applyBorder="1" applyAlignment="1">
      <alignment horizontal="left" vertical="center"/>
    </xf>
    <xf numFmtId="4" fontId="55" fillId="10" borderId="38" xfId="0" applyNumberFormat="1" applyFont="1" applyFill="1" applyBorder="1" applyAlignment="1">
      <alignment horizontal="right" vertical="center"/>
    </xf>
    <xf numFmtId="4" fontId="56" fillId="10" borderId="38" xfId="0" applyNumberFormat="1" applyFont="1" applyFill="1" applyBorder="1" applyAlignment="1">
      <alignment horizontal="right" vertical="center"/>
    </xf>
    <xf numFmtId="3" fontId="24" fillId="0" borderId="0" xfId="0" applyNumberFormat="1" applyFont="1"/>
    <xf numFmtId="4" fontId="24" fillId="0" borderId="0" xfId="0" applyNumberFormat="1" applyFont="1"/>
    <xf numFmtId="4" fontId="28" fillId="0" borderId="0" xfId="0" applyNumberFormat="1" applyFont="1" applyFill="1" applyBorder="1" applyAlignment="1">
      <alignment horizontal="center"/>
    </xf>
    <xf numFmtId="49" fontId="25" fillId="12" borderId="0" xfId="0" applyNumberFormat="1" applyFont="1" applyFill="1"/>
    <xf numFmtId="0" fontId="25" fillId="12" borderId="0" xfId="0" applyFont="1" applyFill="1" applyBorder="1" applyAlignment="1">
      <alignment horizontal="left"/>
    </xf>
    <xf numFmtId="4" fontId="25" fillId="12" borderId="0" xfId="0" applyNumberFormat="1" applyFont="1" applyFill="1" applyBorder="1" applyAlignment="1">
      <alignment horizontal="center"/>
    </xf>
    <xf numFmtId="49" fontId="25" fillId="0" borderId="0" xfId="0" applyNumberFormat="1" applyFont="1"/>
    <xf numFmtId="0" fontId="29" fillId="0" borderId="0" xfId="0" applyFont="1" applyFill="1" applyBorder="1" applyAlignment="1">
      <alignment horizontal="left"/>
    </xf>
    <xf numFmtId="4" fontId="25" fillId="0" borderId="0" xfId="0" applyNumberFormat="1" applyFont="1" applyFill="1" applyBorder="1" applyAlignment="1">
      <alignment horizontal="center"/>
    </xf>
    <xf numFmtId="49" fontId="25" fillId="8" borderId="0" xfId="0" applyNumberFormat="1" applyFont="1" applyFill="1"/>
    <xf numFmtId="0" fontId="25" fillId="8" borderId="0" xfId="0" applyFont="1" applyFill="1" applyBorder="1" applyAlignment="1">
      <alignment horizontal="left"/>
    </xf>
    <xf numFmtId="4" fontId="25" fillId="8" borderId="0" xfId="0" applyNumberFormat="1" applyFont="1" applyFill="1" applyBorder="1" applyAlignment="1">
      <alignment horizontal="center"/>
    </xf>
    <xf numFmtId="4" fontId="25" fillId="8" borderId="0" xfId="0" applyNumberFormat="1" applyFont="1" applyFill="1" applyBorder="1" applyAlignment="1">
      <alignment horizontal="right"/>
    </xf>
    <xf numFmtId="0" fontId="25" fillId="0" borderId="0" xfId="0" applyFont="1" applyFill="1" applyBorder="1" applyAlignment="1">
      <alignment horizontal="left"/>
    </xf>
    <xf numFmtId="4" fontId="25" fillId="0" borderId="0" xfId="0" applyNumberFormat="1" applyFont="1" applyFill="1" applyBorder="1" applyAlignment="1">
      <alignment horizontal="right"/>
    </xf>
    <xf numFmtId="0" fontId="25" fillId="0" borderId="0" xfId="0" applyFont="1" applyFill="1" applyBorder="1"/>
    <xf numFmtId="4" fontId="25" fillId="0" borderId="0" xfId="0" applyNumberFormat="1" applyFont="1" applyFill="1" applyBorder="1"/>
    <xf numFmtId="49" fontId="24" fillId="0" borderId="0" xfId="0" applyNumberFormat="1" applyFont="1" applyAlignment="1">
      <alignment horizontal="left"/>
    </xf>
    <xf numFmtId="0" fontId="30" fillId="0" borderId="0" xfId="0" applyFont="1" applyFill="1" applyBorder="1"/>
    <xf numFmtId="0" fontId="24" fillId="0" borderId="0" xfId="0" applyFont="1" applyFill="1" applyBorder="1"/>
    <xf numFmtId="4" fontId="24" fillId="26" borderId="0" xfId="0" applyNumberFormat="1" applyFont="1" applyFill="1" applyBorder="1" applyAlignment="1">
      <alignment horizontal="right"/>
    </xf>
    <xf numFmtId="4" fontId="24" fillId="0" borderId="0" xfId="0" applyNumberFormat="1" applyFont="1" applyFill="1" applyBorder="1" applyAlignment="1">
      <alignment horizontal="right"/>
    </xf>
    <xf numFmtId="4" fontId="24" fillId="8" borderId="0" xfId="0" applyNumberFormat="1" applyFont="1" applyFill="1" applyBorder="1" applyAlignment="1">
      <alignment horizontal="right"/>
    </xf>
    <xf numFmtId="4" fontId="25" fillId="8" borderId="0" xfId="0" applyNumberFormat="1" applyFont="1" applyFill="1" applyBorder="1"/>
    <xf numFmtId="49" fontId="25" fillId="27" borderId="0" xfId="0" applyNumberFormat="1" applyFont="1" applyFill="1"/>
    <xf numFmtId="0" fontId="25" fillId="27" borderId="0" xfId="0" applyFont="1" applyFill="1" applyBorder="1" applyAlignment="1">
      <alignment horizontal="left"/>
    </xf>
    <xf numFmtId="4" fontId="25" fillId="27" borderId="0" xfId="0" applyNumberFormat="1" applyFont="1" applyFill="1" applyBorder="1" applyAlignment="1">
      <alignment horizontal="right"/>
    </xf>
    <xf numFmtId="4" fontId="24" fillId="27" borderId="0" xfId="0" applyNumberFormat="1" applyFont="1" applyFill="1" applyBorder="1"/>
    <xf numFmtId="49" fontId="25" fillId="0" borderId="0" xfId="0" applyNumberFormat="1" applyFont="1" applyFill="1"/>
    <xf numFmtId="4" fontId="24" fillId="0" borderId="0" xfId="0" applyNumberFormat="1" applyFont="1" applyFill="1" applyBorder="1"/>
    <xf numFmtId="0" fontId="24" fillId="25" borderId="0" xfId="0" applyFont="1" applyFill="1"/>
    <xf numFmtId="4" fontId="24" fillId="8" borderId="0" xfId="0" applyNumberFormat="1" applyFont="1" applyFill="1" applyBorder="1"/>
    <xf numFmtId="49" fontId="31" fillId="0" borderId="0" xfId="0" applyNumberFormat="1" applyFont="1"/>
    <xf numFmtId="0" fontId="31" fillId="0" borderId="0" xfId="0" applyFont="1" applyFill="1" applyBorder="1"/>
    <xf numFmtId="4" fontId="31" fillId="0" borderId="0" xfId="0" applyNumberFormat="1" applyFont="1" applyFill="1" applyBorder="1"/>
    <xf numFmtId="49" fontId="25" fillId="16" borderId="0" xfId="0" applyNumberFormat="1" applyFont="1" applyFill="1"/>
    <xf numFmtId="0" fontId="25" fillId="16" borderId="0" xfId="0" applyFont="1" applyFill="1" applyBorder="1" applyAlignment="1">
      <alignment vertical="center"/>
    </xf>
    <xf numFmtId="4" fontId="25" fillId="16" borderId="0" xfId="0" applyNumberFormat="1" applyFont="1" applyFill="1" applyBorder="1" applyAlignment="1">
      <alignment horizontal="right"/>
    </xf>
    <xf numFmtId="4" fontId="25" fillId="16" borderId="0" xfId="0" applyNumberFormat="1" applyFont="1" applyFill="1" applyBorder="1"/>
    <xf numFmtId="49" fontId="24" fillId="0" borderId="0" xfId="0" applyNumberFormat="1" applyFont="1" applyFill="1"/>
    <xf numFmtId="0" fontId="24" fillId="0" borderId="0" xfId="0" applyFont="1" applyFill="1" applyBorder="1" applyAlignment="1">
      <alignment horizontal="left"/>
    </xf>
    <xf numFmtId="4" fontId="24" fillId="28" borderId="0" xfId="0" applyNumberFormat="1" applyFont="1" applyFill="1" applyBorder="1"/>
    <xf numFmtId="0" fontId="24" fillId="0" borderId="0" xfId="0" applyFont="1" applyFill="1"/>
    <xf numFmtId="3" fontId="24" fillId="0" borderId="0" xfId="0" applyNumberFormat="1" applyFont="1" applyFill="1" applyBorder="1"/>
    <xf numFmtId="3" fontId="24" fillId="28" borderId="0" xfId="0" applyNumberFormat="1" applyFont="1" applyFill="1" applyBorder="1"/>
    <xf numFmtId="3" fontId="24" fillId="17" borderId="0" xfId="0" applyNumberFormat="1" applyFont="1" applyFill="1" applyBorder="1"/>
    <xf numFmtId="49" fontId="24" fillId="0" borderId="1" xfId="0" applyNumberFormat="1" applyFont="1" applyBorder="1"/>
    <xf numFmtId="0" fontId="32" fillId="0" borderId="1" xfId="0" applyFont="1" applyFill="1" applyBorder="1"/>
    <xf numFmtId="4" fontId="32" fillId="0" borderId="1" xfId="0" applyNumberFormat="1" applyFont="1" applyFill="1" applyBorder="1"/>
    <xf numFmtId="4" fontId="57" fillId="0" borderId="0" xfId="0" applyNumberFormat="1" applyFont="1"/>
    <xf numFmtId="168" fontId="24" fillId="0" borderId="0" xfId="0" applyNumberFormat="1" applyFont="1"/>
    <xf numFmtId="0" fontId="32" fillId="0" borderId="0" xfId="0" applyFont="1"/>
    <xf numFmtId="0" fontId="33" fillId="0" borderId="0" xfId="0" applyFont="1" applyAlignment="1">
      <alignment horizontal="center"/>
    </xf>
    <xf numFmtId="3" fontId="32" fillId="0" borderId="0" xfId="0" applyNumberFormat="1" applyFont="1"/>
    <xf numFmtId="0" fontId="56" fillId="10" borderId="39" xfId="0" applyFont="1" applyFill="1" applyBorder="1" applyAlignment="1">
      <alignment horizontal="center" vertical="center"/>
    </xf>
    <xf numFmtId="3" fontId="56" fillId="10" borderId="39" xfId="0" applyNumberFormat="1" applyFont="1" applyFill="1" applyBorder="1" applyAlignment="1">
      <alignment horizontal="center" vertical="center"/>
    </xf>
    <xf numFmtId="0" fontId="24" fillId="0" borderId="4" xfId="0" applyFont="1" applyBorder="1"/>
    <xf numFmtId="3" fontId="24" fillId="0" borderId="0" xfId="0" applyNumberFormat="1" applyFont="1" applyBorder="1"/>
    <xf numFmtId="3" fontId="24" fillId="0" borderId="7" xfId="0" applyNumberFormat="1" applyFont="1" applyBorder="1"/>
    <xf numFmtId="0" fontId="25" fillId="8" borderId="5" xfId="0" applyFont="1" applyFill="1" applyBorder="1" applyAlignment="1">
      <alignment horizontal="left" vertical="center"/>
    </xf>
    <xf numFmtId="166" fontId="25" fillId="8" borderId="16" xfId="0" applyNumberFormat="1" applyFont="1" applyFill="1" applyBorder="1" applyAlignment="1">
      <alignment horizontal="center"/>
    </xf>
    <xf numFmtId="3" fontId="24" fillId="0" borderId="4" xfId="0" applyNumberFormat="1" applyFont="1" applyBorder="1" applyAlignment="1">
      <alignment vertical="center"/>
    </xf>
    <xf numFmtId="3" fontId="24" fillId="0" borderId="0" xfId="0" applyNumberFormat="1" applyFont="1" applyBorder="1" applyAlignment="1">
      <alignment vertical="center"/>
    </xf>
    <xf numFmtId="166" fontId="24" fillId="0" borderId="7" xfId="11" applyNumberFormat="1" applyFont="1" applyBorder="1" applyAlignment="1">
      <alignment horizontal="center" vertical="center"/>
    </xf>
    <xf numFmtId="0" fontId="24" fillId="0" borderId="4" xfId="0" applyFont="1" applyBorder="1" applyAlignment="1">
      <alignment horizontal="justify" vertical="center"/>
    </xf>
    <xf numFmtId="0" fontId="24" fillId="0" borderId="4" xfId="0" applyFont="1" applyFill="1" applyBorder="1"/>
    <xf numFmtId="10" fontId="24" fillId="0" borderId="0" xfId="0" applyNumberFormat="1" applyFont="1"/>
    <xf numFmtId="0" fontId="25" fillId="13" borderId="5" xfId="0" applyFont="1" applyFill="1" applyBorder="1" applyAlignment="1">
      <alignment vertical="center"/>
    </xf>
    <xf numFmtId="166" fontId="25" fillId="13" borderId="16" xfId="0" applyNumberFormat="1" applyFont="1" applyFill="1" applyBorder="1" applyAlignment="1">
      <alignment horizontal="center" vertical="center"/>
    </xf>
    <xf numFmtId="0" fontId="24" fillId="0" borderId="4" xfId="0" applyFont="1" applyBorder="1" applyAlignment="1">
      <alignment vertical="center"/>
    </xf>
    <xf numFmtId="0" fontId="25" fillId="8" borderId="5" xfId="0" applyFont="1" applyFill="1" applyBorder="1" applyAlignment="1">
      <alignment horizontal="left"/>
    </xf>
    <xf numFmtId="166" fontId="25" fillId="8" borderId="16" xfId="0" applyNumberFormat="1" applyFont="1" applyFill="1" applyBorder="1" applyAlignment="1">
      <alignment horizontal="center" vertical="center"/>
    </xf>
    <xf numFmtId="0" fontId="56" fillId="10" borderId="5" xfId="0" applyFont="1" applyFill="1" applyBorder="1" applyAlignment="1">
      <alignment horizontal="center" vertical="center"/>
    </xf>
    <xf numFmtId="166" fontId="56" fillId="10" borderId="16" xfId="0" applyNumberFormat="1" applyFont="1" applyFill="1" applyBorder="1" applyAlignment="1">
      <alignment horizontal="center" vertical="center"/>
    </xf>
    <xf numFmtId="0" fontId="27" fillId="0" borderId="29" xfId="0" applyFont="1" applyBorder="1"/>
    <xf numFmtId="3" fontId="27" fillId="0" borderId="26" xfId="0" applyNumberFormat="1" applyFont="1" applyBorder="1"/>
    <xf numFmtId="3" fontId="27" fillId="0" borderId="30" xfId="0" applyNumberFormat="1" applyFont="1" applyBorder="1"/>
    <xf numFmtId="0" fontId="32" fillId="0" borderId="40" xfId="0" applyFont="1" applyBorder="1"/>
    <xf numFmtId="3" fontId="32" fillId="0" borderId="40" xfId="0" applyNumberFormat="1" applyFont="1" applyBorder="1"/>
    <xf numFmtId="0" fontId="56" fillId="10" borderId="2" xfId="0" applyFont="1" applyFill="1" applyBorder="1" applyAlignment="1">
      <alignment horizontal="center" vertical="center"/>
    </xf>
    <xf numFmtId="3" fontId="56" fillId="10" borderId="27" xfId="0" applyNumberFormat="1" applyFont="1" applyFill="1" applyBorder="1" applyAlignment="1">
      <alignment horizontal="center" vertical="center" wrapText="1"/>
    </xf>
    <xf numFmtId="0" fontId="56" fillId="10" borderId="3" xfId="0" applyFont="1" applyFill="1" applyBorder="1" applyAlignment="1">
      <alignment horizontal="center" vertical="center"/>
    </xf>
    <xf numFmtId="0" fontId="25" fillId="0" borderId="4" xfId="0" applyFont="1" applyBorder="1"/>
    <xf numFmtId="0" fontId="24" fillId="0" borderId="7" xfId="0" applyFont="1" applyBorder="1"/>
    <xf numFmtId="0" fontId="25" fillId="0" borderId="4" xfId="0" applyFont="1" applyFill="1" applyBorder="1" applyAlignment="1">
      <alignment horizontal="left" vertical="center"/>
    </xf>
    <xf numFmtId="3" fontId="25" fillId="0" borderId="0" xfId="0" applyNumberFormat="1" applyFont="1" applyFill="1" applyBorder="1" applyAlignment="1">
      <alignment horizontal="left" vertical="center"/>
    </xf>
    <xf numFmtId="0" fontId="25" fillId="0" borderId="7" xfId="0" applyFont="1" applyFill="1" applyBorder="1" applyAlignment="1">
      <alignment horizontal="left" vertical="center"/>
    </xf>
    <xf numFmtId="3" fontId="24" fillId="0" borderId="20" xfId="0" applyNumberFormat="1" applyFont="1" applyBorder="1" applyAlignment="1">
      <alignment vertical="center"/>
    </xf>
    <xf numFmtId="3" fontId="24" fillId="0" borderId="15" xfId="0" applyNumberFormat="1" applyFont="1" applyBorder="1" applyAlignment="1">
      <alignment vertical="center"/>
    </xf>
    <xf numFmtId="0" fontId="24" fillId="0" borderId="31" xfId="0" applyFont="1" applyBorder="1" applyAlignment="1">
      <alignment horizontal="justify" vertical="center" wrapText="1"/>
    </xf>
    <xf numFmtId="4" fontId="24" fillId="0" borderId="15" xfId="0" applyNumberFormat="1" applyFont="1" applyBorder="1" applyAlignment="1">
      <alignment vertical="center"/>
    </xf>
    <xf numFmtId="0" fontId="24" fillId="0" borderId="15" xfId="0" applyFont="1" applyBorder="1" applyAlignment="1">
      <alignment horizontal="justify" vertical="center" wrapText="1"/>
    </xf>
    <xf numFmtId="0" fontId="24" fillId="0" borderId="7" xfId="0" applyFont="1" applyBorder="1" applyAlignment="1">
      <alignment horizontal="justify" vertical="center" wrapText="1"/>
    </xf>
    <xf numFmtId="0" fontId="24" fillId="0" borderId="31" xfId="0" applyFont="1" applyBorder="1" applyAlignment="1">
      <alignment horizontal="justify" vertical="center"/>
    </xf>
    <xf numFmtId="0" fontId="24" fillId="0" borderId="7" xfId="0" applyFont="1" applyBorder="1" applyAlignment="1">
      <alignment horizontal="justify" vertical="center"/>
    </xf>
    <xf numFmtId="0" fontId="25" fillId="0" borderId="17" xfId="0" applyFont="1" applyFill="1" applyBorder="1" applyAlignment="1">
      <alignment horizontal="left" vertical="center"/>
    </xf>
    <xf numFmtId="3" fontId="25" fillId="0" borderId="18" xfId="0" applyNumberFormat="1" applyFont="1" applyFill="1" applyBorder="1" applyAlignment="1">
      <alignment horizontal="left" vertical="center"/>
    </xf>
    <xf numFmtId="0" fontId="25" fillId="0" borderId="19" xfId="0" applyFont="1" applyFill="1" applyBorder="1" applyAlignment="1">
      <alignment horizontal="left" vertical="center"/>
    </xf>
    <xf numFmtId="49" fontId="24" fillId="0" borderId="41" xfId="0" applyNumberFormat="1" applyFont="1" applyFill="1" applyBorder="1" applyAlignment="1">
      <alignment vertical="center"/>
    </xf>
    <xf numFmtId="3" fontId="24" fillId="0" borderId="42" xfId="0" applyNumberFormat="1" applyFont="1" applyBorder="1" applyAlignment="1">
      <alignment vertical="center"/>
    </xf>
    <xf numFmtId="49" fontId="24" fillId="0" borderId="4" xfId="0" applyNumberFormat="1" applyFont="1" applyFill="1" applyBorder="1" applyAlignment="1">
      <alignment vertical="center"/>
    </xf>
    <xf numFmtId="3" fontId="24" fillId="0" borderId="15" xfId="0" applyNumberFormat="1" applyFont="1" applyFill="1" applyBorder="1" applyAlignment="1">
      <alignment horizontal="right" vertical="center"/>
    </xf>
    <xf numFmtId="0" fontId="24" fillId="0" borderId="31" xfId="0" applyFont="1" applyFill="1" applyBorder="1" applyAlignment="1">
      <alignment horizontal="justify" vertical="center" wrapText="1"/>
    </xf>
    <xf numFmtId="3" fontId="24" fillId="0" borderId="41" xfId="0" applyNumberFormat="1" applyFont="1" applyBorder="1" applyAlignment="1">
      <alignment vertical="center"/>
    </xf>
    <xf numFmtId="4" fontId="24" fillId="0" borderId="42" xfId="0" applyNumberFormat="1" applyFont="1" applyFill="1" applyBorder="1" applyAlignment="1">
      <alignment horizontal="right" vertical="center"/>
    </xf>
    <xf numFmtId="0" fontId="24" fillId="0" borderId="43" xfId="0" applyFont="1" applyFill="1" applyBorder="1" applyAlignment="1">
      <alignment horizontal="justify" vertical="center" wrapText="1"/>
    </xf>
    <xf numFmtId="3" fontId="24" fillId="0" borderId="18" xfId="0" applyNumberFormat="1" applyFont="1" applyBorder="1" applyAlignment="1">
      <alignment vertical="center"/>
    </xf>
    <xf numFmtId="3" fontId="24" fillId="0" borderId="44" xfId="0" applyNumberFormat="1" applyFont="1" applyFill="1" applyBorder="1" applyAlignment="1">
      <alignment horizontal="right" vertical="center"/>
    </xf>
    <xf numFmtId="0" fontId="24" fillId="0" borderId="21" xfId="0" applyFont="1" applyBorder="1"/>
    <xf numFmtId="3" fontId="24" fillId="0" borderId="32" xfId="0" applyNumberFormat="1" applyFont="1" applyBorder="1"/>
    <xf numFmtId="0" fontId="56" fillId="10" borderId="2" xfId="0" applyFont="1" applyFill="1" applyBorder="1" applyAlignment="1">
      <alignment vertical="center"/>
    </xf>
    <xf numFmtId="4" fontId="56" fillId="10" borderId="27" xfId="0" applyNumberFormat="1" applyFont="1" applyFill="1" applyBorder="1" applyAlignment="1">
      <alignment vertical="center"/>
    </xf>
    <xf numFmtId="0" fontId="24" fillId="0" borderId="29" xfId="0" applyFont="1" applyBorder="1"/>
    <xf numFmtId="3" fontId="24" fillId="0" borderId="26" xfId="0" applyNumberFormat="1" applyFont="1" applyBorder="1"/>
    <xf numFmtId="0" fontId="24" fillId="0" borderId="30" xfId="0" applyFont="1" applyBorder="1"/>
    <xf numFmtId="0" fontId="58" fillId="0" borderId="1" xfId="0" applyFont="1" applyBorder="1"/>
    <xf numFmtId="169" fontId="26" fillId="0" borderId="0" xfId="4" applyNumberFormat="1" applyFont="1"/>
    <xf numFmtId="4" fontId="27" fillId="0" borderId="0" xfId="0" applyNumberFormat="1" applyFont="1"/>
    <xf numFmtId="0" fontId="32" fillId="10" borderId="45" xfId="0" applyFont="1" applyFill="1" applyBorder="1"/>
    <xf numFmtId="0" fontId="27" fillId="10" borderId="28" xfId="0" applyFont="1" applyFill="1" applyBorder="1"/>
    <xf numFmtId="0" fontId="32" fillId="0" borderId="4" xfId="0" applyFont="1" applyBorder="1"/>
    <xf numFmtId="0" fontId="27" fillId="0" borderId="0" xfId="0" applyFont="1" applyBorder="1" applyAlignment="1">
      <alignment horizontal="center"/>
    </xf>
    <xf numFmtId="169" fontId="27" fillId="0" borderId="0" xfId="4" applyNumberFormat="1" applyFont="1" applyBorder="1" applyAlignment="1">
      <alignment horizontal="center"/>
    </xf>
    <xf numFmtId="0" fontId="27" fillId="0" borderId="7" xfId="0" applyFont="1" applyBorder="1"/>
    <xf numFmtId="0" fontId="32" fillId="11" borderId="4" xfId="0" applyFont="1" applyFill="1" applyBorder="1"/>
    <xf numFmtId="0" fontId="36" fillId="11" borderId="0" xfId="0" applyFont="1" applyFill="1" applyBorder="1" applyAlignment="1">
      <alignment horizontal="center" vertical="center"/>
    </xf>
    <xf numFmtId="0" fontId="37" fillId="11" borderId="0" xfId="0" applyFont="1" applyFill="1" applyBorder="1" applyAlignment="1">
      <alignment horizontal="center" vertical="center"/>
    </xf>
    <xf numFmtId="0" fontId="38" fillId="11" borderId="7" xfId="0" applyFont="1" applyFill="1" applyBorder="1"/>
    <xf numFmtId="0" fontId="27" fillId="0" borderId="0" xfId="0" applyFont="1" applyBorder="1"/>
    <xf numFmtId="3" fontId="27" fillId="0" borderId="0" xfId="0" applyNumberFormat="1" applyFont="1" applyBorder="1"/>
    <xf numFmtId="0" fontId="32" fillId="10" borderId="5" xfId="0" applyFont="1" applyFill="1" applyBorder="1"/>
    <xf numFmtId="0" fontId="59" fillId="10" borderId="6" xfId="0" applyFont="1" applyFill="1" applyBorder="1" applyAlignment="1">
      <alignment horizontal="center" vertical="center"/>
    </xf>
    <xf numFmtId="3" fontId="60" fillId="10" borderId="6" xfId="0" applyNumberFormat="1" applyFont="1" applyFill="1" applyBorder="1" applyAlignment="1">
      <alignment horizontal="right" vertical="center"/>
    </xf>
    <xf numFmtId="0" fontId="61" fillId="10" borderId="16" xfId="0" applyFont="1" applyFill="1" applyBorder="1"/>
    <xf numFmtId="0" fontId="32" fillId="0" borderId="5" xfId="0" applyFont="1" applyBorder="1"/>
    <xf numFmtId="0" fontId="27" fillId="0" borderId="6" xfId="0" applyFont="1" applyBorder="1" applyAlignment="1">
      <alignment horizontal="justify" vertical="center"/>
    </xf>
    <xf numFmtId="4" fontId="27" fillId="0" borderId="6" xfId="0" applyNumberFormat="1" applyFont="1" applyBorder="1" applyAlignment="1">
      <alignment vertical="center"/>
    </xf>
    <xf numFmtId="4" fontId="27" fillId="0" borderId="6" xfId="0" applyNumberFormat="1" applyFont="1" applyBorder="1" applyAlignment="1">
      <alignment horizontal="right" vertical="center"/>
    </xf>
    <xf numFmtId="3" fontId="27" fillId="0" borderId="6" xfId="0" applyNumberFormat="1" applyFont="1" applyBorder="1" applyAlignment="1">
      <alignment horizontal="right" vertical="center"/>
    </xf>
    <xf numFmtId="169" fontId="27" fillId="0" borderId="6" xfId="4" applyNumberFormat="1" applyFont="1" applyBorder="1" applyAlignment="1">
      <alignment horizontal="justify" vertical="center"/>
    </xf>
    <xf numFmtId="169" fontId="27" fillId="0" borderId="6" xfId="4" applyNumberFormat="1" applyFont="1" applyBorder="1" applyAlignment="1">
      <alignment horizontal="right" vertical="center"/>
    </xf>
    <xf numFmtId="0" fontId="27" fillId="0" borderId="16" xfId="0" applyFont="1" applyBorder="1"/>
    <xf numFmtId="0" fontId="27" fillId="0" borderId="0" xfId="0" applyFont="1" applyBorder="1" applyAlignment="1">
      <alignment horizontal="justify" vertical="center"/>
    </xf>
    <xf numFmtId="4" fontId="27" fillId="0" borderId="0" xfId="0" applyNumberFormat="1" applyFont="1" applyBorder="1" applyAlignment="1">
      <alignment horizontal="justify" vertical="center"/>
    </xf>
    <xf numFmtId="4" fontId="27" fillId="0" borderId="0" xfId="0" applyNumberFormat="1" applyFont="1" applyBorder="1" applyAlignment="1">
      <alignment vertical="center"/>
    </xf>
    <xf numFmtId="3" fontId="27" fillId="0" borderId="0" xfId="0" applyNumberFormat="1" applyFont="1" applyBorder="1" applyAlignment="1">
      <alignment horizontal="justify" vertical="center"/>
    </xf>
    <xf numFmtId="169" fontId="27" fillId="0" borderId="0" xfId="4" applyNumberFormat="1" applyFont="1" applyBorder="1" applyAlignment="1">
      <alignment horizontal="justify" vertical="center"/>
    </xf>
    <xf numFmtId="3" fontId="27" fillId="0" borderId="0" xfId="0" applyNumberFormat="1" applyFont="1" applyBorder="1" applyAlignment="1">
      <alignment horizontal="right" vertical="center"/>
    </xf>
    <xf numFmtId="169" fontId="27" fillId="0" borderId="0" xfId="4" applyNumberFormat="1" applyFont="1" applyBorder="1" applyAlignment="1">
      <alignment horizontal="right" vertical="center"/>
    </xf>
    <xf numFmtId="4" fontId="27" fillId="0" borderId="6" xfId="0" applyNumberFormat="1" applyFont="1" applyBorder="1" applyAlignment="1">
      <alignment horizontal="justify" vertical="center"/>
    </xf>
    <xf numFmtId="0" fontId="27" fillId="0" borderId="6" xfId="0" applyFont="1" applyBorder="1" applyAlignment="1">
      <alignment horizontal="right" vertical="center"/>
    </xf>
    <xf numFmtId="0" fontId="32" fillId="8" borderId="5" xfId="0" applyFont="1" applyFill="1" applyBorder="1"/>
    <xf numFmtId="0" fontId="37" fillId="8" borderId="6" xfId="0" applyFont="1" applyFill="1" applyBorder="1" applyAlignment="1">
      <alignment horizontal="center" vertical="center"/>
    </xf>
    <xf numFmtId="4" fontId="37" fillId="8" borderId="6" xfId="0" applyNumberFormat="1" applyFont="1" applyFill="1" applyBorder="1" applyAlignment="1">
      <alignment vertical="center"/>
    </xf>
    <xf numFmtId="4" fontId="37" fillId="8" borderId="6" xfId="4" applyNumberFormat="1" applyFont="1" applyFill="1" applyBorder="1" applyAlignment="1">
      <alignment horizontal="right" vertical="center"/>
    </xf>
    <xf numFmtId="3" fontId="37" fillId="8" borderId="6" xfId="4" applyNumberFormat="1" applyFont="1" applyFill="1" applyBorder="1" applyAlignment="1">
      <alignment horizontal="right" vertical="center"/>
    </xf>
    <xf numFmtId="169" fontId="37" fillId="8" borderId="6" xfId="4" applyNumberFormat="1" applyFont="1" applyFill="1" applyBorder="1" applyAlignment="1">
      <alignment horizontal="center" vertical="center"/>
    </xf>
    <xf numFmtId="169" fontId="26" fillId="8" borderId="6" xfId="4" applyNumberFormat="1" applyFont="1" applyFill="1" applyBorder="1" applyAlignment="1">
      <alignment horizontal="right" vertical="center"/>
    </xf>
    <xf numFmtId="3" fontId="26" fillId="8" borderId="6" xfId="0" applyNumberFormat="1" applyFont="1" applyFill="1" applyBorder="1" applyAlignment="1">
      <alignment horizontal="right" vertical="center"/>
    </xf>
    <xf numFmtId="0" fontId="27" fillId="8" borderId="16" xfId="0" applyFont="1" applyFill="1" applyBorder="1"/>
    <xf numFmtId="4" fontId="27" fillId="0" borderId="0" xfId="0" applyNumberFormat="1" applyFont="1" applyBorder="1"/>
    <xf numFmtId="4" fontId="27" fillId="0" borderId="0" xfId="0" applyNumberFormat="1" applyFont="1" applyBorder="1" applyAlignment="1"/>
    <xf numFmtId="3" fontId="27" fillId="0" borderId="0" xfId="0" applyNumberFormat="1" applyFont="1" applyBorder="1" applyAlignment="1">
      <alignment horizontal="right"/>
    </xf>
    <xf numFmtId="0" fontId="24" fillId="0" borderId="5" xfId="0" applyFont="1" applyBorder="1"/>
    <xf numFmtId="0" fontId="27" fillId="0" borderId="6" xfId="0" applyFont="1" applyFill="1" applyBorder="1" applyAlignment="1">
      <alignment horizontal="justify" vertical="center"/>
    </xf>
    <xf numFmtId="4" fontId="27" fillId="0" borderId="6" xfId="0" applyNumberFormat="1" applyFont="1" applyFill="1" applyBorder="1" applyAlignment="1">
      <alignment vertical="center"/>
    </xf>
    <xf numFmtId="4" fontId="27" fillId="0" borderId="6" xfId="0" applyNumberFormat="1" applyFont="1" applyFill="1" applyBorder="1" applyAlignment="1">
      <alignment horizontal="justify" vertical="center"/>
    </xf>
    <xf numFmtId="4" fontId="27" fillId="0" borderId="6" xfId="0" applyNumberFormat="1" applyFont="1" applyFill="1" applyBorder="1" applyAlignment="1">
      <alignment horizontal="right" vertical="center"/>
    </xf>
    <xf numFmtId="3" fontId="27" fillId="0" borderId="6" xfId="0" applyNumberFormat="1" applyFont="1" applyFill="1" applyBorder="1" applyAlignment="1">
      <alignment horizontal="right" vertical="center"/>
    </xf>
    <xf numFmtId="169" fontId="27" fillId="0" borderId="6" xfId="4" applyNumberFormat="1" applyFont="1" applyFill="1" applyBorder="1" applyAlignment="1">
      <alignment horizontal="justify" vertical="center"/>
    </xf>
    <xf numFmtId="169" fontId="27" fillId="0" borderId="6" xfId="4" applyNumberFormat="1" applyFont="1" applyFill="1" applyBorder="1" applyAlignment="1">
      <alignment horizontal="right" vertical="center"/>
    </xf>
    <xf numFmtId="0" fontId="26" fillId="0" borderId="16" xfId="0" applyFont="1" applyFill="1" applyBorder="1"/>
    <xf numFmtId="4" fontId="27" fillId="0" borderId="0" xfId="0" applyNumberFormat="1" applyFont="1" applyAlignment="1"/>
    <xf numFmtId="3" fontId="27" fillId="0" borderId="0" xfId="0" applyNumberFormat="1" applyFont="1"/>
    <xf numFmtId="0" fontId="27" fillId="0" borderId="19" xfId="0" applyFont="1" applyBorder="1"/>
    <xf numFmtId="0" fontId="33" fillId="0" borderId="5" xfId="0" applyFont="1" applyFill="1" applyBorder="1"/>
    <xf numFmtId="3" fontId="27" fillId="0" borderId="6" xfId="0" applyNumberFormat="1" applyFont="1" applyFill="1" applyBorder="1" applyAlignment="1">
      <alignment horizontal="justify" vertical="center"/>
    </xf>
    <xf numFmtId="0" fontId="32" fillId="6" borderId="5" xfId="0" applyFont="1" applyFill="1" applyBorder="1"/>
    <xf numFmtId="0" fontId="26" fillId="6" borderId="6" xfId="0" applyFont="1" applyFill="1" applyBorder="1" applyAlignment="1">
      <alignment horizontal="center" vertical="center"/>
    </xf>
    <xf numFmtId="4" fontId="26" fillId="6" borderId="6" xfId="0" applyNumberFormat="1" applyFont="1" applyFill="1" applyBorder="1" applyAlignment="1">
      <alignment horizontal="center" vertical="center"/>
    </xf>
    <xf numFmtId="4" fontId="26" fillId="6" borderId="6" xfId="0" applyNumberFormat="1" applyFont="1" applyFill="1" applyBorder="1" applyAlignment="1">
      <alignment vertical="center"/>
    </xf>
    <xf numFmtId="3" fontId="26" fillId="6" borderId="6" xfId="0" applyNumberFormat="1" applyFont="1" applyFill="1" applyBorder="1" applyAlignment="1">
      <alignment horizontal="center" vertical="center"/>
    </xf>
    <xf numFmtId="169" fontId="26" fillId="6" borderId="6" xfId="4" applyNumberFormat="1" applyFont="1" applyFill="1" applyBorder="1" applyAlignment="1">
      <alignment horizontal="center" vertical="center"/>
    </xf>
    <xf numFmtId="3" fontId="26" fillId="6" borderId="6" xfId="0" applyNumberFormat="1" applyFont="1" applyFill="1" applyBorder="1" applyAlignment="1">
      <alignment horizontal="right" vertical="center"/>
    </xf>
    <xf numFmtId="0" fontId="27" fillId="6" borderId="16" xfId="0" applyFont="1" applyFill="1" applyBorder="1"/>
    <xf numFmtId="0" fontId="32" fillId="0" borderId="23" xfId="0" applyFont="1" applyBorder="1"/>
    <xf numFmtId="0" fontId="27" fillId="0" borderId="22" xfId="0" applyFont="1" applyBorder="1" applyAlignment="1">
      <alignment horizontal="left" vertical="center"/>
    </xf>
    <xf numFmtId="4" fontId="27" fillId="0" borderId="22" xfId="0" applyNumberFormat="1" applyFont="1" applyBorder="1" applyAlignment="1">
      <alignment horizontal="left" vertical="center"/>
    </xf>
    <xf numFmtId="4" fontId="27" fillId="0" borderId="22" xfId="0" applyNumberFormat="1" applyFont="1" applyBorder="1" applyAlignment="1">
      <alignment vertical="center"/>
    </xf>
    <xf numFmtId="3" fontId="27" fillId="0" borderId="22" xfId="0" applyNumberFormat="1" applyFont="1" applyBorder="1" applyAlignment="1">
      <alignment horizontal="left" vertical="center"/>
    </xf>
    <xf numFmtId="169" fontId="27" fillId="0" borderId="22" xfId="4" applyNumberFormat="1" applyFont="1" applyBorder="1" applyAlignment="1">
      <alignment horizontal="left" vertical="center"/>
    </xf>
    <xf numFmtId="3" fontId="27" fillId="0" borderId="22" xfId="0" applyNumberFormat="1" applyFont="1" applyBorder="1" applyAlignment="1">
      <alignment horizontal="right" vertical="center"/>
    </xf>
    <xf numFmtId="3" fontId="27" fillId="0" borderId="22" xfId="0" applyNumberFormat="1" applyFont="1" applyBorder="1"/>
    <xf numFmtId="0" fontId="27" fillId="0" borderId="24" xfId="0" applyFont="1" applyBorder="1"/>
    <xf numFmtId="0" fontId="32" fillId="0" borderId="17" xfId="0" applyFont="1" applyBorder="1"/>
    <xf numFmtId="0" fontId="27" fillId="0" borderId="18" xfId="0" applyFont="1" applyBorder="1" applyAlignment="1">
      <alignment horizontal="left" vertical="center"/>
    </xf>
    <xf numFmtId="4" fontId="27" fillId="0" borderId="18" xfId="0" applyNumberFormat="1" applyFont="1" applyBorder="1" applyAlignment="1">
      <alignment horizontal="left" vertical="center"/>
    </xf>
    <xf numFmtId="4" fontId="27" fillId="0" borderId="18" xfId="0" applyNumberFormat="1" applyFont="1" applyBorder="1" applyAlignment="1">
      <alignment vertical="center"/>
    </xf>
    <xf numFmtId="3" fontId="27" fillId="0" borderId="18" xfId="0" applyNumberFormat="1" applyFont="1" applyBorder="1" applyAlignment="1">
      <alignment horizontal="left" vertical="center"/>
    </xf>
    <xf numFmtId="169" fontId="27" fillId="0" borderId="18" xfId="4" applyNumberFormat="1" applyFont="1" applyBorder="1" applyAlignment="1">
      <alignment horizontal="left" vertical="center"/>
    </xf>
    <xf numFmtId="3" fontId="27" fillId="0" borderId="18" xfId="0" applyNumberFormat="1" applyFont="1" applyBorder="1" applyAlignment="1">
      <alignment horizontal="right" vertical="center"/>
    </xf>
    <xf numFmtId="0" fontId="27" fillId="0" borderId="18" xfId="0" applyFont="1" applyBorder="1"/>
    <xf numFmtId="3" fontId="27" fillId="0" borderId="18" xfId="0" applyNumberFormat="1" applyFont="1" applyBorder="1"/>
    <xf numFmtId="0" fontId="59" fillId="10" borderId="6" xfId="0" applyFont="1" applyFill="1" applyBorder="1" applyAlignment="1">
      <alignment vertical="center"/>
    </xf>
    <xf numFmtId="4" fontId="60" fillId="10" borderId="6" xfId="0" applyNumberFormat="1" applyFont="1" applyFill="1" applyBorder="1" applyAlignment="1">
      <alignment vertical="center"/>
    </xf>
    <xf numFmtId="3" fontId="60" fillId="10" borderId="6" xfId="0" applyNumberFormat="1" applyFont="1" applyFill="1" applyBorder="1" applyAlignment="1">
      <alignment vertical="center"/>
    </xf>
    <xf numFmtId="0" fontId="32" fillId="0" borderId="29" xfId="0" applyFont="1" applyBorder="1"/>
    <xf numFmtId="0" fontId="27" fillId="0" borderId="26" xfId="0" applyFont="1" applyBorder="1"/>
    <xf numFmtId="169" fontId="27" fillId="0" borderId="26" xfId="4" applyNumberFormat="1" applyFont="1" applyBorder="1"/>
    <xf numFmtId="0" fontId="27" fillId="0" borderId="30" xfId="0" applyFont="1" applyBorder="1"/>
    <xf numFmtId="4" fontId="32" fillId="0" borderId="0" xfId="0" applyNumberFormat="1" applyFont="1"/>
    <xf numFmtId="169" fontId="32" fillId="0" borderId="0" xfId="4" applyNumberFormat="1" applyFont="1"/>
    <xf numFmtId="0" fontId="32" fillId="0" borderId="0" xfId="0" applyFont="1" applyBorder="1"/>
    <xf numFmtId="9" fontId="32" fillId="0" borderId="0" xfId="0" applyNumberFormat="1" applyFont="1" applyAlignment="1">
      <alignment horizontal="center"/>
    </xf>
    <xf numFmtId="9" fontId="27" fillId="0" borderId="0" xfId="0" applyNumberFormat="1" applyFont="1" applyBorder="1" applyAlignment="1">
      <alignment horizontal="center"/>
    </xf>
    <xf numFmtId="9" fontId="27" fillId="0" borderId="0" xfId="0" applyNumberFormat="1" applyFont="1" applyAlignment="1">
      <alignment horizontal="center"/>
    </xf>
    <xf numFmtId="0" fontId="54" fillId="10" borderId="46" xfId="0" applyFont="1" applyFill="1" applyBorder="1"/>
    <xf numFmtId="4" fontId="55" fillId="10" borderId="46" xfId="0" applyNumberFormat="1" applyFont="1" applyFill="1" applyBorder="1" applyAlignment="1">
      <alignment horizontal="center"/>
    </xf>
    <xf numFmtId="9" fontId="55" fillId="10" borderId="46" xfId="0" applyNumberFormat="1" applyFont="1" applyFill="1" applyBorder="1" applyAlignment="1">
      <alignment horizontal="center"/>
    </xf>
    <xf numFmtId="0" fontId="55" fillId="10" borderId="46" xfId="0" applyFont="1" applyFill="1" applyBorder="1" applyAlignment="1">
      <alignment horizontal="center"/>
    </xf>
    <xf numFmtId="0" fontId="54" fillId="10" borderId="47" xfId="0" applyFont="1" applyFill="1" applyBorder="1"/>
    <xf numFmtId="4" fontId="55" fillId="10" borderId="47" xfId="0" applyNumberFormat="1" applyFont="1" applyFill="1" applyBorder="1" applyAlignment="1">
      <alignment horizontal="center"/>
    </xf>
    <xf numFmtId="9" fontId="55" fillId="10" borderId="47" xfId="0" applyNumberFormat="1" applyFont="1" applyFill="1" applyBorder="1" applyAlignment="1">
      <alignment horizontal="center"/>
    </xf>
    <xf numFmtId="0" fontId="55" fillId="10" borderId="47" xfId="0" applyFont="1" applyFill="1" applyBorder="1" applyAlignment="1">
      <alignment horizontal="center"/>
    </xf>
    <xf numFmtId="0" fontId="54" fillId="10" borderId="48" xfId="0" applyFont="1" applyFill="1" applyBorder="1"/>
    <xf numFmtId="4" fontId="55" fillId="10" borderId="48" xfId="0" applyNumberFormat="1" applyFont="1" applyFill="1" applyBorder="1" applyAlignment="1">
      <alignment horizontal="center"/>
    </xf>
    <xf numFmtId="9" fontId="54" fillId="10" borderId="48" xfId="0" applyNumberFormat="1" applyFont="1" applyFill="1" applyBorder="1" applyAlignment="1">
      <alignment horizontal="center"/>
    </xf>
    <xf numFmtId="0" fontId="55" fillId="10" borderId="48" xfId="0" applyFont="1" applyFill="1" applyBorder="1" applyAlignment="1">
      <alignment horizontal="center"/>
    </xf>
    <xf numFmtId="0" fontId="54" fillId="10" borderId="48" xfId="0" applyFont="1" applyFill="1" applyBorder="1" applyAlignment="1">
      <alignment horizontal="center"/>
    </xf>
    <xf numFmtId="0" fontId="39" fillId="9" borderId="6" xfId="0" applyFont="1" applyFill="1" applyBorder="1" applyAlignment="1">
      <alignment vertical="center"/>
    </xf>
    <xf numFmtId="0" fontId="39" fillId="9" borderId="16" xfId="0" applyFont="1" applyFill="1" applyBorder="1" applyAlignment="1">
      <alignment vertical="center"/>
    </xf>
    <xf numFmtId="0" fontId="27" fillId="0" borderId="4" xfId="0" applyFont="1" applyBorder="1"/>
    <xf numFmtId="4" fontId="27" fillId="0" borderId="7" xfId="0" applyNumberFormat="1" applyFont="1" applyBorder="1"/>
    <xf numFmtId="0" fontId="26" fillId="8" borderId="2" xfId="0" applyFont="1" applyFill="1" applyBorder="1" applyAlignment="1">
      <alignment horizontal="center" vertical="center"/>
    </xf>
    <xf numFmtId="4" fontId="26" fillId="8" borderId="27" xfId="0" applyNumberFormat="1" applyFont="1" applyFill="1" applyBorder="1" applyAlignment="1">
      <alignment vertical="center"/>
    </xf>
    <xf numFmtId="166" fontId="26" fillId="8" borderId="27" xfId="0" applyNumberFormat="1" applyFont="1" applyFill="1" applyBorder="1" applyAlignment="1">
      <alignment horizontal="center" vertical="center"/>
    </xf>
    <xf numFmtId="166" fontId="26" fillId="8" borderId="27" xfId="0" applyNumberFormat="1" applyFont="1" applyFill="1" applyBorder="1" applyAlignment="1">
      <alignment vertical="center"/>
    </xf>
    <xf numFmtId="166" fontId="26" fillId="8" borderId="3" xfId="0" applyNumberFormat="1" applyFont="1" applyFill="1" applyBorder="1" applyAlignment="1">
      <alignment horizontal="center" vertical="center"/>
    </xf>
    <xf numFmtId="0" fontId="32" fillId="0" borderId="0" xfId="0" applyFont="1" applyFill="1"/>
    <xf numFmtId="166" fontId="27" fillId="0" borderId="0" xfId="0" applyNumberFormat="1" applyFont="1" applyBorder="1" applyAlignment="1">
      <alignment horizontal="center"/>
    </xf>
    <xf numFmtId="166" fontId="27" fillId="0" borderId="0" xfId="0" applyNumberFormat="1" applyFont="1" applyBorder="1"/>
    <xf numFmtId="166" fontId="27" fillId="0" borderId="7" xfId="0" applyNumberFormat="1" applyFont="1" applyBorder="1"/>
    <xf numFmtId="0" fontId="27" fillId="0" borderId="4" xfId="0" applyFont="1" applyBorder="1" applyAlignment="1">
      <alignment horizontal="justify" vertical="center"/>
    </xf>
    <xf numFmtId="4" fontId="27" fillId="25" borderId="0" xfId="0" applyNumberFormat="1" applyFont="1" applyFill="1" applyBorder="1" applyAlignment="1">
      <alignment horizontal="right" vertical="center"/>
    </xf>
    <xf numFmtId="166" fontId="27" fillId="25" borderId="0" xfId="0" applyNumberFormat="1" applyFont="1" applyFill="1" applyBorder="1" applyAlignment="1">
      <alignment horizontal="center" vertical="center"/>
    </xf>
    <xf numFmtId="166" fontId="27" fillId="0" borderId="0" xfId="0" applyNumberFormat="1" applyFont="1" applyBorder="1" applyAlignment="1">
      <alignment horizontal="center" vertical="center"/>
    </xf>
    <xf numFmtId="166" fontId="27" fillId="0" borderId="7" xfId="0" applyNumberFormat="1" applyFont="1" applyBorder="1" applyAlignment="1">
      <alignment horizontal="center" vertical="center"/>
    </xf>
    <xf numFmtId="4" fontId="27" fillId="25" borderId="0" xfId="4" applyNumberFormat="1" applyFont="1" applyFill="1" applyBorder="1" applyAlignment="1">
      <alignment horizontal="right" vertical="center"/>
    </xf>
    <xf numFmtId="4" fontId="27" fillId="0" borderId="0" xfId="0" applyNumberFormat="1" applyFont="1" applyBorder="1" applyAlignment="1">
      <alignment horizontal="right" vertical="center"/>
    </xf>
    <xf numFmtId="4" fontId="27" fillId="0" borderId="0" xfId="0" applyNumberFormat="1" applyFont="1" applyFill="1" applyBorder="1" applyAlignment="1">
      <alignment horizontal="right" vertical="center"/>
    </xf>
    <xf numFmtId="0" fontId="27" fillId="0" borderId="17" xfId="0" applyFont="1" applyBorder="1"/>
    <xf numFmtId="4" fontId="27" fillId="0" borderId="18" xfId="0" applyNumberFormat="1" applyFont="1" applyBorder="1"/>
    <xf numFmtId="166" fontId="27" fillId="0" borderId="18" xfId="0" applyNumberFormat="1" applyFont="1" applyBorder="1" applyAlignment="1">
      <alignment horizontal="center"/>
    </xf>
    <xf numFmtId="4" fontId="27" fillId="0" borderId="18" xfId="0" applyNumberFormat="1" applyFont="1" applyFill="1" applyBorder="1"/>
    <xf numFmtId="166" fontId="27" fillId="0" borderId="18" xfId="0" applyNumberFormat="1" applyFont="1" applyBorder="1"/>
    <xf numFmtId="166" fontId="27" fillId="0" borderId="19" xfId="0" applyNumberFormat="1" applyFont="1" applyBorder="1"/>
    <xf numFmtId="0" fontId="26" fillId="8" borderId="17" xfId="0" applyFont="1" applyFill="1" applyBorder="1" applyAlignment="1">
      <alignment horizontal="center" vertical="center"/>
    </xf>
    <xf numFmtId="4" fontId="26" fillId="8" borderId="18" xfId="0" applyNumberFormat="1" applyFont="1" applyFill="1" applyBorder="1" applyAlignment="1">
      <alignment horizontal="right" vertical="center"/>
    </xf>
    <xf numFmtId="166" fontId="26" fillId="8" borderId="18" xfId="0" applyNumberFormat="1" applyFont="1" applyFill="1" applyBorder="1" applyAlignment="1">
      <alignment horizontal="center" vertical="center"/>
    </xf>
    <xf numFmtId="4" fontId="26" fillId="8" borderId="18" xfId="0" applyNumberFormat="1" applyFont="1" applyFill="1" applyBorder="1" applyAlignment="1">
      <alignment vertical="center"/>
    </xf>
    <xf numFmtId="166" fontId="26" fillId="8" borderId="19" xfId="0" applyNumberFormat="1" applyFont="1" applyFill="1" applyBorder="1" applyAlignment="1">
      <alignment horizontal="center" vertical="center"/>
    </xf>
    <xf numFmtId="4" fontId="27" fillId="0" borderId="0" xfId="0" applyNumberFormat="1" applyFont="1" applyFill="1" applyBorder="1"/>
    <xf numFmtId="4" fontId="27" fillId="25" borderId="0" xfId="0" applyNumberFormat="1" applyFont="1" applyFill="1" applyBorder="1"/>
    <xf numFmtId="0" fontId="60" fillId="10" borderId="5" xfId="0" applyFont="1" applyFill="1" applyBorder="1" applyAlignment="1">
      <alignment horizontal="center" vertical="center"/>
    </xf>
    <xf numFmtId="4" fontId="60" fillId="10" borderId="6" xfId="0" applyNumberFormat="1" applyFont="1" applyFill="1" applyBorder="1" applyAlignment="1">
      <alignment horizontal="right" vertical="center"/>
    </xf>
    <xf numFmtId="166" fontId="60" fillId="10" borderId="6" xfId="0" applyNumberFormat="1" applyFont="1" applyFill="1" applyBorder="1" applyAlignment="1">
      <alignment horizontal="right" vertical="center"/>
    </xf>
    <xf numFmtId="166" fontId="60" fillId="10" borderId="16" xfId="0" applyNumberFormat="1" applyFont="1" applyFill="1" applyBorder="1" applyAlignment="1">
      <alignment horizontal="right" vertical="center"/>
    </xf>
    <xf numFmtId="4" fontId="27" fillId="0" borderId="26" xfId="0" applyNumberFormat="1" applyFont="1" applyBorder="1"/>
    <xf numFmtId="9" fontId="27" fillId="0" borderId="26" xfId="0" applyNumberFormat="1" applyFont="1" applyBorder="1" applyAlignment="1">
      <alignment horizontal="center"/>
    </xf>
    <xf numFmtId="166" fontId="27" fillId="0" borderId="26" xfId="0" applyNumberFormat="1" applyFont="1" applyBorder="1"/>
    <xf numFmtId="4" fontId="27" fillId="0" borderId="30" xfId="0" applyNumberFormat="1" applyFont="1" applyBorder="1"/>
    <xf numFmtId="0" fontId="33" fillId="0" borderId="0" xfId="0" applyFont="1"/>
    <xf numFmtId="0" fontId="55" fillId="10" borderId="49" xfId="0" applyFont="1" applyFill="1" applyBorder="1" applyAlignment="1">
      <alignment horizontal="center" vertical="center"/>
    </xf>
    <xf numFmtId="3" fontId="55" fillId="10" borderId="50" xfId="0" applyNumberFormat="1" applyFont="1" applyFill="1" applyBorder="1" applyAlignment="1">
      <alignment horizontal="center" vertical="center"/>
    </xf>
    <xf numFmtId="0" fontId="55" fillId="10" borderId="50" xfId="0" applyFont="1" applyFill="1" applyBorder="1" applyAlignment="1">
      <alignment horizontal="center" vertical="center"/>
    </xf>
    <xf numFmtId="0" fontId="55" fillId="10" borderId="51" xfId="0" applyFont="1" applyFill="1" applyBorder="1" applyAlignment="1">
      <alignment horizontal="center" vertical="center"/>
    </xf>
    <xf numFmtId="0" fontId="55" fillId="10" borderId="52" xfId="0" applyFont="1" applyFill="1" applyBorder="1" applyAlignment="1">
      <alignment horizontal="center" vertical="center"/>
    </xf>
    <xf numFmtId="9" fontId="55" fillId="10" borderId="53" xfId="0" applyNumberFormat="1" applyFont="1" applyFill="1" applyBorder="1" applyAlignment="1">
      <alignment horizontal="center" vertical="center"/>
    </xf>
    <xf numFmtId="0" fontId="55" fillId="10" borderId="53" xfId="0" applyFont="1" applyFill="1" applyBorder="1" applyAlignment="1">
      <alignment horizontal="center" vertical="center"/>
    </xf>
    <xf numFmtId="0" fontId="55" fillId="10" borderId="54" xfId="0" applyFont="1" applyFill="1" applyBorder="1" applyAlignment="1">
      <alignment horizontal="center" vertical="center"/>
    </xf>
    <xf numFmtId="0" fontId="27" fillId="0" borderId="8" xfId="0" applyFont="1" applyBorder="1" applyAlignment="1"/>
    <xf numFmtId="0" fontId="26" fillId="9" borderId="5" xfId="0" applyFont="1" applyFill="1" applyBorder="1" applyAlignment="1">
      <alignment vertical="center"/>
    </xf>
    <xf numFmtId="0" fontId="26" fillId="3" borderId="4" xfId="0" applyFont="1" applyFill="1" applyBorder="1"/>
    <xf numFmtId="0" fontId="26" fillId="0" borderId="4" xfId="0" applyFont="1" applyBorder="1"/>
    <xf numFmtId="49" fontId="24" fillId="0" borderId="4" xfId="0" applyNumberFormat="1" applyFont="1" applyBorder="1" applyAlignment="1">
      <alignment vertical="center"/>
    </xf>
    <xf numFmtId="3" fontId="26" fillId="8" borderId="5" xfId="0" applyNumberFormat="1" applyFont="1" applyFill="1" applyBorder="1" applyAlignment="1">
      <alignment horizontal="justify" vertical="center"/>
    </xf>
    <xf numFmtId="4" fontId="26" fillId="8" borderId="6" xfId="0" applyNumberFormat="1" applyFont="1" applyFill="1" applyBorder="1" applyAlignment="1">
      <alignment horizontal="right" vertical="center"/>
    </xf>
    <xf numFmtId="3" fontId="27" fillId="0" borderId="4" xfId="0" applyNumberFormat="1" applyFont="1" applyBorder="1" applyAlignment="1">
      <alignment horizontal="justify" vertical="center"/>
    </xf>
    <xf numFmtId="3" fontId="27" fillId="0" borderId="17" xfId="0" applyNumberFormat="1" applyFont="1" applyBorder="1" applyAlignment="1">
      <alignment horizontal="justify" vertical="center"/>
    </xf>
    <xf numFmtId="4" fontId="27" fillId="0" borderId="18" xfId="0" applyNumberFormat="1" applyFont="1" applyBorder="1" applyAlignment="1">
      <alignment horizontal="right" vertical="center"/>
    </xf>
    <xf numFmtId="4" fontId="27" fillId="0" borderId="0" xfId="0" applyNumberFormat="1" applyFont="1" applyBorder="1" applyAlignment="1">
      <alignment horizontal="right"/>
    </xf>
    <xf numFmtId="3" fontId="24" fillId="0" borderId="4" xfId="0" applyNumberFormat="1" applyFont="1" applyBorder="1" applyAlignment="1">
      <alignment horizontal="justify" vertical="center"/>
    </xf>
    <xf numFmtId="3" fontId="24" fillId="0" borderId="4" xfId="8" applyNumberFormat="1" applyFont="1" applyBorder="1" applyAlignment="1">
      <alignment horizontal="justify" vertical="center"/>
    </xf>
    <xf numFmtId="3" fontId="25" fillId="8" borderId="5" xfId="0" applyNumberFormat="1" applyFont="1" applyFill="1" applyBorder="1" applyAlignment="1">
      <alignment horizontal="justify"/>
    </xf>
    <xf numFmtId="3" fontId="24" fillId="0" borderId="4" xfId="0" applyNumberFormat="1" applyFont="1" applyBorder="1" applyAlignment="1">
      <alignment horizontal="justify"/>
    </xf>
    <xf numFmtId="3" fontId="27" fillId="0" borderId="5" xfId="0" applyNumberFormat="1" applyFont="1" applyBorder="1" applyAlignment="1">
      <alignment horizontal="justify" vertical="center"/>
    </xf>
    <xf numFmtId="3" fontId="26" fillId="9" borderId="5" xfId="0" applyNumberFormat="1" applyFont="1" applyFill="1" applyBorder="1" applyAlignment="1">
      <alignment horizontal="justify" vertical="center"/>
    </xf>
    <xf numFmtId="4" fontId="26" fillId="9" borderId="6" xfId="0" applyNumberFormat="1" applyFont="1" applyFill="1" applyBorder="1" applyAlignment="1">
      <alignment horizontal="right" vertical="center"/>
    </xf>
    <xf numFmtId="3" fontId="27" fillId="0" borderId="23" xfId="0" applyNumberFormat="1" applyFont="1" applyBorder="1" applyAlignment="1">
      <alignment horizontal="justify" vertical="center"/>
    </xf>
    <xf numFmtId="4" fontId="27" fillId="0" borderId="22" xfId="0" applyNumberFormat="1" applyFont="1" applyBorder="1" applyAlignment="1">
      <alignment horizontal="right" vertical="center"/>
    </xf>
    <xf numFmtId="3" fontId="24" fillId="0" borderId="4" xfId="0" applyNumberFormat="1" applyFont="1" applyFill="1" applyBorder="1" applyAlignment="1">
      <alignment horizontal="justify" vertical="center"/>
    </xf>
    <xf numFmtId="3" fontId="27" fillId="0" borderId="4" xfId="0" applyNumberFormat="1" applyFont="1" applyFill="1" applyBorder="1" applyAlignment="1">
      <alignment horizontal="justify" vertical="center"/>
    </xf>
    <xf numFmtId="0" fontId="27" fillId="0" borderId="17" xfId="0" applyFont="1" applyBorder="1" applyAlignment="1">
      <alignment horizontal="justify" vertical="center"/>
    </xf>
    <xf numFmtId="0" fontId="55" fillId="10" borderId="2" xfId="0" applyFont="1" applyFill="1" applyBorder="1" applyAlignment="1">
      <alignment horizontal="center" vertical="center"/>
    </xf>
    <xf numFmtId="4" fontId="55" fillId="10" borderId="27" xfId="0" applyNumberFormat="1" applyFont="1" applyFill="1" applyBorder="1" applyAlignment="1">
      <alignment horizontal="right" vertical="center"/>
    </xf>
    <xf numFmtId="0" fontId="27" fillId="0" borderId="55" xfId="0" applyFont="1" applyBorder="1"/>
    <xf numFmtId="3" fontId="25" fillId="0" borderId="1" xfId="0" applyNumberFormat="1" applyFont="1" applyBorder="1" applyAlignment="1"/>
    <xf numFmtId="3" fontId="25" fillId="0" borderId="0" xfId="0" applyNumberFormat="1" applyFont="1" applyAlignment="1">
      <alignment horizontal="center"/>
    </xf>
    <xf numFmtId="4" fontId="25" fillId="0" borderId="0" xfId="0" applyNumberFormat="1" applyFont="1" applyAlignment="1">
      <alignment horizontal="center"/>
    </xf>
    <xf numFmtId="9" fontId="25" fillId="0" borderId="0" xfId="0" applyNumberFormat="1" applyFont="1" applyAlignment="1">
      <alignment horizontal="center"/>
    </xf>
    <xf numFmtId="9" fontId="24" fillId="0" borderId="0" xfId="0" applyNumberFormat="1" applyFont="1" applyAlignment="1">
      <alignment horizontal="center"/>
    </xf>
    <xf numFmtId="0" fontId="56" fillId="10" borderId="49" xfId="0" applyFont="1" applyFill="1" applyBorder="1"/>
    <xf numFmtId="4" fontId="56" fillId="10" borderId="50" xfId="0" applyNumberFormat="1" applyFont="1" applyFill="1" applyBorder="1" applyAlignment="1">
      <alignment horizontal="center"/>
    </xf>
    <xf numFmtId="9" fontId="56" fillId="10" borderId="50" xfId="0" applyNumberFormat="1" applyFont="1" applyFill="1" applyBorder="1" applyAlignment="1">
      <alignment horizontal="center"/>
    </xf>
    <xf numFmtId="4" fontId="56" fillId="10" borderId="56" xfId="0" applyNumberFormat="1" applyFont="1" applyFill="1" applyBorder="1" applyAlignment="1">
      <alignment horizontal="center"/>
    </xf>
    <xf numFmtId="0" fontId="56" fillId="10" borderId="52" xfId="0" applyFont="1" applyFill="1" applyBorder="1" applyAlignment="1">
      <alignment horizontal="center"/>
    </xf>
    <xf numFmtId="4" fontId="56" fillId="10" borderId="53" xfId="0" applyNumberFormat="1" applyFont="1" applyFill="1" applyBorder="1" applyAlignment="1">
      <alignment horizontal="center"/>
    </xf>
    <xf numFmtId="9" fontId="56" fillId="10" borderId="53" xfId="0" applyNumberFormat="1" applyFont="1" applyFill="1" applyBorder="1" applyAlignment="1">
      <alignment horizontal="center"/>
    </xf>
    <xf numFmtId="0" fontId="56" fillId="10" borderId="53" xfId="0" applyFont="1" applyFill="1" applyBorder="1" applyAlignment="1">
      <alignment horizontal="center"/>
    </xf>
    <xf numFmtId="0" fontId="56" fillId="10" borderId="54" xfId="0" applyFont="1" applyFill="1" applyBorder="1" applyAlignment="1">
      <alignment horizontal="center"/>
    </xf>
    <xf numFmtId="0" fontId="56" fillId="10" borderId="57" xfId="0" applyFont="1" applyFill="1" applyBorder="1"/>
    <xf numFmtId="9" fontId="56" fillId="10" borderId="58" xfId="0" applyNumberFormat="1" applyFont="1" applyFill="1" applyBorder="1" applyAlignment="1">
      <alignment horizontal="center"/>
    </xf>
    <xf numFmtId="0" fontId="24" fillId="0" borderId="8" xfId="0" applyFont="1" applyBorder="1" applyAlignment="1"/>
    <xf numFmtId="0" fontId="25" fillId="29" borderId="5" xfId="0" applyFont="1" applyFill="1" applyBorder="1" applyAlignment="1">
      <alignment vertical="center"/>
    </xf>
    <xf numFmtId="0" fontId="32" fillId="0" borderId="0" xfId="0" applyFont="1" applyAlignment="1">
      <alignment vertical="center"/>
    </xf>
    <xf numFmtId="0" fontId="25" fillId="3" borderId="4" xfId="0" applyFont="1" applyFill="1" applyBorder="1"/>
    <xf numFmtId="4" fontId="25" fillId="3" borderId="0" xfId="0" applyNumberFormat="1" applyFont="1" applyFill="1" applyBorder="1"/>
    <xf numFmtId="4" fontId="25" fillId="0" borderId="0" xfId="0" applyNumberFormat="1" applyFont="1" applyBorder="1"/>
    <xf numFmtId="9" fontId="25" fillId="0" borderId="0" xfId="0" applyNumberFormat="1" applyFont="1" applyBorder="1" applyAlignment="1">
      <alignment horizontal="center"/>
    </xf>
    <xf numFmtId="4" fontId="24" fillId="0" borderId="0" xfId="0" applyNumberFormat="1" applyFont="1" applyBorder="1"/>
    <xf numFmtId="9" fontId="24" fillId="0" borderId="0" xfId="0" applyNumberFormat="1" applyFont="1" applyBorder="1" applyAlignment="1">
      <alignment horizontal="center"/>
    </xf>
    <xf numFmtId="4" fontId="25" fillId="29" borderId="6" xfId="0" applyNumberFormat="1" applyFont="1" applyFill="1" applyBorder="1" applyAlignment="1">
      <alignment horizontal="right" vertical="center"/>
    </xf>
    <xf numFmtId="166" fontId="25" fillId="29" borderId="6" xfId="0" applyNumberFormat="1" applyFont="1" applyFill="1" applyBorder="1" applyAlignment="1">
      <alignment horizontal="center" vertical="center"/>
    </xf>
    <xf numFmtId="166" fontId="25" fillId="29" borderId="16" xfId="0" applyNumberFormat="1" applyFont="1" applyFill="1" applyBorder="1" applyAlignment="1">
      <alignment horizontal="center" vertical="center"/>
    </xf>
    <xf numFmtId="4" fontId="24" fillId="0" borderId="0" xfId="0" applyNumberFormat="1" applyFont="1" applyBorder="1" applyAlignment="1">
      <alignment horizontal="right" vertical="center"/>
    </xf>
    <xf numFmtId="3" fontId="25" fillId="8" borderId="5" xfId="0" applyNumberFormat="1" applyFont="1" applyFill="1" applyBorder="1" applyAlignment="1">
      <alignment horizontal="justify" vertical="center"/>
    </xf>
    <xf numFmtId="4" fontId="25" fillId="8" borderId="6" xfId="0" applyNumberFormat="1" applyFont="1" applyFill="1" applyBorder="1" applyAlignment="1">
      <alignment horizontal="right" vertical="center"/>
    </xf>
    <xf numFmtId="3" fontId="24" fillId="0" borderId="17" xfId="0" applyNumberFormat="1" applyFont="1" applyBorder="1" applyAlignment="1">
      <alignment horizontal="justify" vertical="center"/>
    </xf>
    <xf numFmtId="4" fontId="24" fillId="0" borderId="18" xfId="0" applyNumberFormat="1" applyFont="1" applyBorder="1" applyAlignment="1">
      <alignment horizontal="right" vertical="center"/>
    </xf>
    <xf numFmtId="3" fontId="24" fillId="0" borderId="29" xfId="0" applyNumberFormat="1" applyFont="1" applyBorder="1" applyAlignment="1">
      <alignment horizontal="justify" vertical="center"/>
    </xf>
    <xf numFmtId="4" fontId="24" fillId="0" borderId="26" xfId="0" applyNumberFormat="1" applyFont="1" applyBorder="1" applyAlignment="1">
      <alignment horizontal="right" vertical="center"/>
    </xf>
    <xf numFmtId="3" fontId="25" fillId="8" borderId="17" xfId="0" applyNumberFormat="1" applyFont="1" applyFill="1" applyBorder="1" applyAlignment="1">
      <alignment horizontal="justify" vertical="center"/>
    </xf>
    <xf numFmtId="4" fontId="25" fillId="8" borderId="18" xfId="0" applyNumberFormat="1" applyFont="1" applyFill="1" applyBorder="1" applyAlignment="1">
      <alignment horizontal="right" vertical="center"/>
    </xf>
    <xf numFmtId="4" fontId="24" fillId="0" borderId="0" xfId="0" applyNumberFormat="1" applyFont="1" applyBorder="1" applyAlignment="1">
      <alignment horizontal="right"/>
    </xf>
    <xf numFmtId="4" fontId="25" fillId="8" borderId="6" xfId="0" applyNumberFormat="1" applyFont="1" applyFill="1" applyBorder="1" applyAlignment="1">
      <alignment horizontal="right"/>
    </xf>
    <xf numFmtId="3" fontId="24" fillId="0" borderId="23" xfId="0" applyNumberFormat="1" applyFont="1" applyBorder="1" applyAlignment="1">
      <alignment horizontal="justify"/>
    </xf>
    <xf numFmtId="4" fontId="24" fillId="0" borderId="22" xfId="0" applyNumberFormat="1" applyFont="1" applyBorder="1" applyAlignment="1">
      <alignment horizontal="right"/>
    </xf>
    <xf numFmtId="3" fontId="24" fillId="0" borderId="4" xfId="0" applyNumberFormat="1" applyFont="1" applyBorder="1" applyAlignment="1"/>
    <xf numFmtId="3" fontId="25" fillId="29" borderId="5" xfId="0" applyNumberFormat="1" applyFont="1" applyFill="1" applyBorder="1" applyAlignment="1">
      <alignment horizontal="justify" vertical="center"/>
    </xf>
    <xf numFmtId="3" fontId="24" fillId="0" borderId="23" xfId="0" applyNumberFormat="1" applyFont="1" applyBorder="1" applyAlignment="1">
      <alignment horizontal="justify" vertical="center"/>
    </xf>
    <xf numFmtId="4" fontId="24" fillId="0" borderId="22" xfId="0" applyNumberFormat="1" applyFont="1" applyBorder="1" applyAlignment="1">
      <alignment horizontal="right" vertical="center"/>
    </xf>
    <xf numFmtId="0" fontId="24" fillId="0" borderId="29" xfId="0" applyFont="1" applyBorder="1" applyAlignment="1">
      <alignment horizontal="justify" vertical="center"/>
    </xf>
    <xf numFmtId="0" fontId="24" fillId="0" borderId="23" xfId="0" applyFont="1" applyBorder="1" applyAlignment="1">
      <alignment horizontal="justify" vertical="center"/>
    </xf>
    <xf numFmtId="0" fontId="24" fillId="0" borderId="17" xfId="0" applyFont="1" applyBorder="1" applyAlignment="1">
      <alignment horizontal="justify" vertical="center"/>
    </xf>
    <xf numFmtId="4" fontId="56" fillId="10" borderId="27" xfId="0" applyNumberFormat="1" applyFont="1" applyFill="1" applyBorder="1" applyAlignment="1">
      <alignment horizontal="right" vertical="center"/>
    </xf>
    <xf numFmtId="4" fontId="24" fillId="0" borderId="26" xfId="0" applyNumberFormat="1" applyFont="1" applyBorder="1"/>
    <xf numFmtId="9" fontId="24" fillId="0" borderId="26" xfId="0" applyNumberFormat="1" applyFont="1" applyBorder="1" applyAlignment="1">
      <alignment horizontal="center"/>
    </xf>
    <xf numFmtId="0" fontId="24" fillId="0" borderId="26" xfId="0" applyFont="1" applyBorder="1"/>
    <xf numFmtId="4" fontId="24" fillId="0" borderId="60" xfId="0" applyNumberFormat="1" applyFont="1" applyBorder="1"/>
    <xf numFmtId="166" fontId="26" fillId="9" borderId="6" xfId="0" applyNumberFormat="1" applyFont="1" applyFill="1" applyBorder="1" applyAlignment="1">
      <alignment horizontal="center" vertical="center"/>
    </xf>
    <xf numFmtId="166" fontId="26" fillId="9" borderId="16" xfId="0" applyNumberFormat="1" applyFont="1" applyFill="1" applyBorder="1" applyAlignment="1">
      <alignment horizontal="center" vertical="center"/>
    </xf>
    <xf numFmtId="166" fontId="26" fillId="8" borderId="6" xfId="0" applyNumberFormat="1" applyFont="1" applyFill="1" applyBorder="1" applyAlignment="1">
      <alignment horizontal="center"/>
    </xf>
    <xf numFmtId="166" fontId="26" fillId="8" borderId="16" xfId="0" applyNumberFormat="1" applyFont="1" applyFill="1" applyBorder="1" applyAlignment="1">
      <alignment horizontal="center"/>
    </xf>
    <xf numFmtId="166" fontId="27" fillId="0" borderId="22" xfId="0" applyNumberFormat="1" applyFont="1" applyBorder="1" applyAlignment="1">
      <alignment horizontal="center"/>
    </xf>
    <xf numFmtId="4" fontId="27" fillId="0" borderId="22" xfId="0" applyNumberFormat="1" applyFont="1" applyBorder="1" applyAlignment="1">
      <alignment horizontal="right"/>
    </xf>
    <xf numFmtId="166" fontId="26" fillId="0" borderId="0" xfId="0" applyNumberFormat="1" applyFont="1" applyBorder="1" applyAlignment="1">
      <alignment horizontal="center"/>
    </xf>
    <xf numFmtId="0" fontId="31" fillId="0" borderId="0" xfId="0" applyFont="1"/>
    <xf numFmtId="0" fontId="32" fillId="0" borderId="0" xfId="0" applyFont="1" applyBorder="1" applyAlignment="1">
      <alignment horizontal="left"/>
    </xf>
    <xf numFmtId="4" fontId="32" fillId="0" borderId="0" xfId="4" applyNumberFormat="1" applyFont="1" applyBorder="1" applyAlignment="1">
      <alignment horizontal="right"/>
    </xf>
    <xf numFmtId="4" fontId="32" fillId="0" borderId="0" xfId="0" applyNumberFormat="1" applyFont="1" applyBorder="1" applyAlignment="1">
      <alignment horizontal="right"/>
    </xf>
    <xf numFmtId="4" fontId="32" fillId="0" borderId="0" xfId="0" applyNumberFormat="1" applyFont="1" applyAlignment="1">
      <alignment horizontal="right"/>
    </xf>
    <xf numFmtId="4" fontId="25" fillId="0" borderId="26" xfId="4" applyNumberFormat="1" applyFont="1" applyBorder="1" applyAlignment="1">
      <alignment horizontal="center"/>
    </xf>
    <xf numFmtId="0" fontId="62" fillId="10" borderId="2" xfId="0" applyFont="1" applyFill="1" applyBorder="1" applyAlignment="1">
      <alignment horizontal="center" vertical="center"/>
    </xf>
    <xf numFmtId="0" fontId="62" fillId="10" borderId="27" xfId="0" applyFont="1" applyFill="1" applyBorder="1" applyAlignment="1">
      <alignment horizontal="justify" vertical="center"/>
    </xf>
    <xf numFmtId="4" fontId="56" fillId="10" borderId="27" xfId="4" applyNumberFormat="1" applyFont="1" applyFill="1" applyBorder="1" applyAlignment="1">
      <alignment horizontal="center" vertical="center" wrapText="1"/>
    </xf>
    <xf numFmtId="4" fontId="56" fillId="10" borderId="27" xfId="0" applyNumberFormat="1" applyFont="1" applyFill="1" applyBorder="1" applyAlignment="1">
      <alignment horizontal="center" vertical="center"/>
    </xf>
    <xf numFmtId="4" fontId="56" fillId="10" borderId="3" xfId="0" applyNumberFormat="1" applyFont="1" applyFill="1" applyBorder="1" applyAlignment="1">
      <alignment horizontal="center" vertical="center"/>
    </xf>
    <xf numFmtId="3" fontId="25" fillId="0" borderId="2" xfId="0" applyNumberFormat="1" applyFont="1" applyFill="1" applyBorder="1" applyAlignment="1">
      <alignment horizontal="center" vertical="center"/>
    </xf>
    <xf numFmtId="3" fontId="25" fillId="0" borderId="0" xfId="0" applyNumberFormat="1" applyFont="1" applyFill="1" applyBorder="1" applyAlignment="1">
      <alignment vertical="center"/>
    </xf>
    <xf numFmtId="4" fontId="25" fillId="0" borderId="0" xfId="4" applyNumberFormat="1" applyFont="1" applyFill="1" applyBorder="1" applyAlignment="1">
      <alignment horizontal="center"/>
    </xf>
    <xf numFmtId="4" fontId="25" fillId="0" borderId="3" xfId="0" applyNumberFormat="1" applyFont="1" applyFill="1" applyBorder="1" applyAlignment="1">
      <alignment horizontal="center"/>
    </xf>
    <xf numFmtId="4" fontId="63" fillId="7" borderId="27" xfId="0" applyNumberFormat="1" applyFont="1" applyFill="1" applyBorder="1" applyAlignment="1">
      <alignment vertical="center"/>
    </xf>
    <xf numFmtId="4" fontId="63" fillId="7" borderId="3" xfId="0" applyNumberFormat="1" applyFont="1" applyFill="1" applyBorder="1" applyAlignment="1">
      <alignment vertical="center"/>
    </xf>
    <xf numFmtId="3" fontId="25" fillId="0" borderId="4" xfId="0" applyNumberFormat="1" applyFont="1" applyFill="1" applyBorder="1" applyAlignment="1">
      <alignment horizontal="center" vertical="center"/>
    </xf>
    <xf numFmtId="4" fontId="25" fillId="0" borderId="28" xfId="4" applyNumberFormat="1" applyFont="1" applyFill="1" applyBorder="1" applyAlignment="1">
      <alignment horizontal="center"/>
    </xf>
    <xf numFmtId="49" fontId="64" fillId="7" borderId="5" xfId="0" applyNumberFormat="1" applyFont="1" applyFill="1" applyBorder="1" applyAlignment="1">
      <alignment horizontal="left" vertical="center"/>
    </xf>
    <xf numFmtId="3" fontId="64" fillId="7" borderId="6" xfId="0" applyNumberFormat="1" applyFont="1" applyFill="1" applyBorder="1" applyAlignment="1">
      <alignment horizontal="left" vertical="center"/>
    </xf>
    <xf numFmtId="4" fontId="64" fillId="7" borderId="6" xfId="4" applyNumberFormat="1" applyFont="1" applyFill="1" applyBorder="1" applyAlignment="1">
      <alignment horizontal="right" vertical="center"/>
    </xf>
    <xf numFmtId="4" fontId="64" fillId="7" borderId="16" xfId="4" applyNumberFormat="1" applyFont="1" applyFill="1" applyBorder="1" applyAlignment="1">
      <alignment horizontal="right" vertical="center"/>
    </xf>
    <xf numFmtId="4" fontId="25" fillId="0" borderId="7" xfId="4" applyNumberFormat="1" applyFont="1" applyFill="1" applyBorder="1" applyAlignment="1">
      <alignment horizontal="center"/>
    </xf>
    <xf numFmtId="4" fontId="24" fillId="0" borderId="0" xfId="4" applyNumberFormat="1" applyFont="1" applyFill="1" applyBorder="1" applyAlignment="1">
      <alignment horizontal="right"/>
    </xf>
    <xf numFmtId="4" fontId="40" fillId="0" borderId="7" xfId="0" applyNumberFormat="1" applyFont="1" applyFill="1" applyBorder="1" applyAlignment="1">
      <alignment horizontal="right" vertical="center"/>
    </xf>
    <xf numFmtId="3" fontId="25" fillId="0" borderId="4" xfId="0" applyNumberFormat="1" applyFont="1" applyFill="1" applyBorder="1" applyAlignment="1">
      <alignment horizontal="left" vertical="center"/>
    </xf>
    <xf numFmtId="4" fontId="25" fillId="0" borderId="24" xfId="4" applyNumberFormat="1" applyFont="1" applyFill="1" applyBorder="1" applyAlignment="1">
      <alignment horizontal="right"/>
    </xf>
    <xf numFmtId="4" fontId="63" fillId="0" borderId="7" xfId="0" applyNumberFormat="1" applyFont="1" applyFill="1" applyBorder="1" applyAlignment="1">
      <alignment horizontal="right" vertical="center"/>
    </xf>
    <xf numFmtId="37" fontId="24" fillId="0" borderId="0" xfId="0" applyNumberFormat="1" applyFont="1"/>
    <xf numFmtId="172" fontId="24" fillId="0" borderId="0" xfId="0" applyNumberFormat="1" applyFont="1"/>
    <xf numFmtId="3" fontId="24" fillId="0" borderId="4" xfId="0" applyNumberFormat="1" applyFont="1" applyFill="1" applyBorder="1" applyAlignment="1">
      <alignment vertical="center"/>
    </xf>
    <xf numFmtId="4" fontId="25" fillId="0" borderId="19" xfId="4" applyNumberFormat="1" applyFont="1" applyFill="1" applyBorder="1" applyAlignment="1">
      <alignment horizontal="right"/>
    </xf>
    <xf numFmtId="49" fontId="25" fillId="7" borderId="5" xfId="0" applyNumberFormat="1" applyFont="1" applyFill="1" applyBorder="1" applyAlignment="1">
      <alignment horizontal="left" vertical="center"/>
    </xf>
    <xf numFmtId="3" fontId="25" fillId="7" borderId="6" xfId="0" applyNumberFormat="1" applyFont="1" applyFill="1" applyBorder="1" applyAlignment="1">
      <alignment horizontal="left" vertical="center"/>
    </xf>
    <xf numFmtId="4" fontId="25" fillId="7" borderId="6" xfId="4" applyNumberFormat="1" applyFont="1" applyFill="1" applyBorder="1" applyAlignment="1">
      <alignment horizontal="right" vertical="center"/>
    </xf>
    <xf numFmtId="4" fontId="25" fillId="7" borderId="16" xfId="4" applyNumberFormat="1" applyFont="1" applyFill="1" applyBorder="1" applyAlignment="1">
      <alignment horizontal="right" vertical="center"/>
    </xf>
    <xf numFmtId="4" fontId="25" fillId="0" borderId="0" xfId="4" applyNumberFormat="1" applyFont="1" applyFill="1" applyBorder="1" applyAlignment="1">
      <alignment horizontal="right"/>
    </xf>
    <xf numFmtId="4" fontId="25" fillId="0" borderId="7" xfId="4" applyNumberFormat="1" applyFont="1" applyFill="1" applyBorder="1" applyAlignment="1">
      <alignment horizontal="right"/>
    </xf>
    <xf numFmtId="4" fontId="40" fillId="0" borderId="7" xfId="4" applyNumberFormat="1" applyFont="1" applyFill="1" applyBorder="1" applyAlignment="1">
      <alignment horizontal="right" vertical="center"/>
    </xf>
    <xf numFmtId="4" fontId="24" fillId="0" borderId="7" xfId="0" applyNumberFormat="1" applyFont="1" applyFill="1" applyBorder="1" applyAlignment="1">
      <alignment horizontal="right"/>
    </xf>
    <xf numFmtId="4" fontId="63" fillId="7" borderId="27" xfId="0" applyNumberFormat="1" applyFont="1" applyFill="1" applyBorder="1" applyAlignment="1">
      <alignment horizontal="right" vertical="center"/>
    </xf>
    <xf numFmtId="4" fontId="63" fillId="7" borderId="3" xfId="0" applyNumberFormat="1" applyFont="1" applyFill="1" applyBorder="1" applyAlignment="1">
      <alignment horizontal="right" vertical="center"/>
    </xf>
    <xf numFmtId="0" fontId="24" fillId="0" borderId="4" xfId="0" applyFont="1" applyBorder="1" applyAlignment="1">
      <alignment horizontal="center" vertical="center"/>
    </xf>
    <xf numFmtId="0" fontId="24" fillId="0" borderId="0" xfId="0" applyFont="1" applyBorder="1" applyAlignment="1">
      <alignment horizontal="justify" vertical="center"/>
    </xf>
    <xf numFmtId="4" fontId="25" fillId="0" borderId="26" xfId="0" applyNumberFormat="1" applyFont="1" applyBorder="1" applyAlignment="1">
      <alignment vertical="center"/>
    </xf>
    <xf numFmtId="4" fontId="24" fillId="0" borderId="30" xfId="0" applyNumberFormat="1" applyFont="1" applyBorder="1" applyAlignment="1">
      <alignment horizontal="center" vertical="center"/>
    </xf>
    <xf numFmtId="0" fontId="24" fillId="12" borderId="2" xfId="0" applyFont="1" applyFill="1" applyBorder="1" applyAlignment="1">
      <alignment horizontal="center" vertical="center"/>
    </xf>
    <xf numFmtId="0" fontId="24" fillId="12" borderId="27" xfId="0" applyFont="1" applyFill="1" applyBorder="1" applyAlignment="1">
      <alignment horizontal="justify" vertical="center"/>
    </xf>
    <xf numFmtId="4" fontId="25" fillId="12" borderId="27" xfId="4" applyNumberFormat="1" applyFont="1" applyFill="1" applyBorder="1" applyAlignment="1">
      <alignment horizontal="center" vertical="center"/>
    </xf>
    <xf numFmtId="4" fontId="25" fillId="12" borderId="27" xfId="0" applyNumberFormat="1" applyFont="1" applyFill="1" applyBorder="1" applyAlignment="1">
      <alignment horizontal="center" vertical="center"/>
    </xf>
    <xf numFmtId="4" fontId="25" fillId="12" borderId="3" xfId="0" applyNumberFormat="1" applyFont="1" applyFill="1" applyBorder="1" applyAlignment="1">
      <alignment horizontal="center" vertical="center"/>
    </xf>
    <xf numFmtId="0" fontId="25" fillId="0" borderId="8" xfId="0" applyFont="1" applyBorder="1" applyAlignment="1">
      <alignment horizontal="center" vertical="center"/>
    </xf>
    <xf numFmtId="0" fontId="25" fillId="0" borderId="9" xfId="0" applyFont="1" applyBorder="1" applyAlignment="1">
      <alignment horizontal="center" vertical="center"/>
    </xf>
    <xf numFmtId="4" fontId="24" fillId="0" borderId="10" xfId="0" applyNumberFormat="1" applyFont="1" applyBorder="1" applyAlignment="1">
      <alignment horizontal="center" vertical="center"/>
    </xf>
    <xf numFmtId="0" fontId="25" fillId="0" borderId="11" xfId="0" applyFont="1" applyBorder="1" applyAlignment="1">
      <alignment horizontal="center" vertical="center"/>
    </xf>
    <xf numFmtId="0" fontId="25" fillId="0" borderId="12" xfId="0" applyFont="1" applyBorder="1" applyAlignment="1">
      <alignment horizontal="justify" vertical="center"/>
    </xf>
    <xf numFmtId="4" fontId="25" fillId="0" borderId="12" xfId="4" applyNumberFormat="1" applyFont="1" applyBorder="1" applyAlignment="1">
      <alignment horizontal="center" vertical="center"/>
    </xf>
    <xf numFmtId="4" fontId="25" fillId="0" borderId="12" xfId="0" applyNumberFormat="1" applyFont="1" applyBorder="1" applyAlignment="1">
      <alignment horizontal="center" vertical="center"/>
    </xf>
    <xf numFmtId="4" fontId="24" fillId="0" borderId="13" xfId="0" applyNumberFormat="1" applyFont="1" applyBorder="1" applyAlignment="1">
      <alignment horizontal="center" vertical="center"/>
    </xf>
    <xf numFmtId="3" fontId="25" fillId="9" borderId="29" xfId="0" applyNumberFormat="1" applyFont="1" applyFill="1" applyBorder="1" applyAlignment="1">
      <alignment horizontal="center" vertical="center"/>
    </xf>
    <xf numFmtId="3" fontId="25" fillId="9" borderId="27" xfId="0" applyNumberFormat="1" applyFont="1" applyFill="1" applyBorder="1" applyAlignment="1">
      <alignment horizontal="justify" vertical="center"/>
    </xf>
    <xf numFmtId="4" fontId="41" fillId="9" borderId="27" xfId="4" applyNumberFormat="1" applyFont="1" applyFill="1" applyBorder="1" applyAlignment="1">
      <alignment horizontal="center" vertical="center"/>
    </xf>
    <xf numFmtId="4" fontId="41" fillId="9" borderId="3" xfId="0" applyNumberFormat="1" applyFont="1" applyFill="1" applyBorder="1" applyAlignment="1">
      <alignment horizontal="center" vertical="center"/>
    </xf>
    <xf numFmtId="3" fontId="25" fillId="13" borderId="20" xfId="0" applyNumberFormat="1" applyFont="1" applyFill="1" applyBorder="1" applyAlignment="1">
      <alignment horizontal="center" vertical="center"/>
    </xf>
    <xf numFmtId="3" fontId="25" fillId="13" borderId="15" xfId="0" applyNumberFormat="1" applyFont="1" applyFill="1" applyBorder="1" applyAlignment="1">
      <alignment horizontal="justify" vertical="center"/>
    </xf>
    <xf numFmtId="4" fontId="25" fillId="13" borderId="15" xfId="0" applyNumberFormat="1" applyFont="1" applyFill="1" applyBorder="1" applyAlignment="1">
      <alignment horizontal="right" vertical="center"/>
    </xf>
    <xf numFmtId="4" fontId="25" fillId="13" borderId="31" xfId="0" applyNumberFormat="1" applyFont="1" applyFill="1" applyBorder="1" applyAlignment="1">
      <alignment horizontal="right" vertical="center"/>
    </xf>
    <xf numFmtId="3" fontId="25" fillId="0" borderId="5" xfId="0" applyNumberFormat="1" applyFont="1" applyFill="1" applyBorder="1" applyAlignment="1">
      <alignment horizontal="center" vertical="center"/>
    </xf>
    <xf numFmtId="3" fontId="25" fillId="0" borderId="6" xfId="0" applyNumberFormat="1" applyFont="1" applyFill="1" applyBorder="1" applyAlignment="1">
      <alignment horizontal="justify" vertical="center"/>
    </xf>
    <xf numFmtId="4" fontId="25" fillId="0" borderId="6" xfId="0" applyNumberFormat="1" applyFont="1" applyFill="1" applyBorder="1" applyAlignment="1">
      <alignment horizontal="right" vertical="center"/>
    </xf>
    <xf numFmtId="4" fontId="25" fillId="0" borderId="16" xfId="0" applyNumberFormat="1" applyFont="1" applyFill="1" applyBorder="1" applyAlignment="1">
      <alignment horizontal="right" vertical="center"/>
    </xf>
    <xf numFmtId="49" fontId="25" fillId="8" borderId="5" xfId="0" applyNumberFormat="1" applyFont="1" applyFill="1" applyBorder="1" applyAlignment="1">
      <alignment horizontal="center" vertical="center"/>
    </xf>
    <xf numFmtId="3" fontId="25" fillId="8" borderId="6" xfId="0" applyNumberFormat="1" applyFont="1" applyFill="1" applyBorder="1" applyAlignment="1">
      <alignment horizontal="justify" vertical="center"/>
    </xf>
    <xf numFmtId="4" fontId="25" fillId="8" borderId="6" xfId="4" applyNumberFormat="1" applyFont="1" applyFill="1" applyBorder="1" applyAlignment="1">
      <alignment horizontal="right" vertical="center"/>
    </xf>
    <xf numFmtId="4" fontId="25" fillId="8" borderId="16" xfId="0" applyNumberFormat="1" applyFont="1" applyFill="1" applyBorder="1" applyAlignment="1">
      <alignment horizontal="right" vertical="center"/>
    </xf>
    <xf numFmtId="49" fontId="25" fillId="0" borderId="5" xfId="0" applyNumberFormat="1" applyFont="1" applyFill="1" applyBorder="1" applyAlignment="1">
      <alignment horizontal="center" vertical="center"/>
    </xf>
    <xf numFmtId="49" fontId="24" fillId="0" borderId="20" xfId="0" applyNumberFormat="1" applyFont="1" applyBorder="1" applyAlignment="1">
      <alignment horizontal="center" vertical="center"/>
    </xf>
    <xf numFmtId="3" fontId="24" fillId="0" borderId="15" xfId="0" applyNumberFormat="1" applyFont="1" applyBorder="1" applyAlignment="1">
      <alignment horizontal="justify" vertical="center"/>
    </xf>
    <xf numFmtId="4" fontId="24" fillId="0" borderId="15" xfId="0" applyNumberFormat="1" applyFont="1" applyBorder="1" applyAlignment="1">
      <alignment horizontal="right" vertical="center"/>
    </xf>
    <xf numFmtId="4" fontId="24" fillId="0" borderId="31" xfId="0" applyNumberFormat="1" applyFont="1" applyBorder="1" applyAlignment="1">
      <alignment horizontal="right" vertical="center"/>
    </xf>
    <xf numFmtId="49" fontId="24" fillId="0" borderId="5" xfId="0" applyNumberFormat="1" applyFont="1" applyFill="1" applyBorder="1" applyAlignment="1">
      <alignment horizontal="center" vertical="center"/>
    </xf>
    <xf numFmtId="3" fontId="24" fillId="0" borderId="6" xfId="0" applyNumberFormat="1" applyFont="1" applyFill="1" applyBorder="1" applyAlignment="1">
      <alignment horizontal="justify" vertical="center"/>
    </xf>
    <xf numFmtId="4" fontId="24" fillId="0" borderId="6" xfId="0" applyNumberFormat="1" applyFont="1" applyFill="1" applyBorder="1" applyAlignment="1">
      <alignment horizontal="right" vertical="center"/>
    </xf>
    <xf numFmtId="4" fontId="24" fillId="0" borderId="16" xfId="0" applyNumberFormat="1" applyFont="1" applyFill="1" applyBorder="1" applyAlignment="1">
      <alignment horizontal="right" vertical="center"/>
    </xf>
    <xf numFmtId="49" fontId="24" fillId="0" borderId="20" xfId="0" applyNumberFormat="1" applyFont="1" applyBorder="1" applyAlignment="1" applyProtection="1">
      <alignment horizontal="center" vertical="center"/>
      <protection locked="0"/>
    </xf>
    <xf numFmtId="3" fontId="24" fillId="0" borderId="15" xfId="0" applyNumberFormat="1" applyFont="1" applyBorder="1" applyAlignment="1" applyProtection="1">
      <alignment horizontal="justify" vertical="center"/>
      <protection locked="0"/>
    </xf>
    <xf numFmtId="49" fontId="24" fillId="0" borderId="5" xfId="0" applyNumberFormat="1" applyFont="1" applyFill="1" applyBorder="1" applyAlignment="1" applyProtection="1">
      <alignment horizontal="center" vertical="center"/>
      <protection locked="0"/>
    </xf>
    <xf numFmtId="3" fontId="24" fillId="0" borderId="6" xfId="0" applyNumberFormat="1" applyFont="1" applyFill="1" applyBorder="1" applyAlignment="1" applyProtection="1">
      <alignment horizontal="justify" vertical="center"/>
      <protection locked="0"/>
    </xf>
    <xf numFmtId="4" fontId="24" fillId="0" borderId="6" xfId="0" applyNumberFormat="1" applyFont="1" applyFill="1" applyBorder="1" applyAlignment="1" applyProtection="1">
      <alignment horizontal="right" vertical="center"/>
      <protection locked="0"/>
    </xf>
    <xf numFmtId="4" fontId="24" fillId="0" borderId="16" xfId="0" applyNumberFormat="1" applyFont="1" applyFill="1" applyBorder="1" applyAlignment="1" applyProtection="1">
      <alignment horizontal="right" vertical="center"/>
      <protection locked="0"/>
    </xf>
    <xf numFmtId="4" fontId="25" fillId="0" borderId="0" xfId="0" applyNumberFormat="1" applyFont="1" applyFill="1" applyBorder="1" applyAlignment="1">
      <alignment horizontal="right" vertical="center"/>
    </xf>
    <xf numFmtId="4" fontId="24" fillId="0" borderId="16" xfId="0" applyNumberFormat="1" applyFont="1" applyBorder="1" applyAlignment="1">
      <alignment horizontal="right" vertical="center"/>
    </xf>
    <xf numFmtId="3" fontId="24" fillId="0" borderId="20" xfId="0" applyNumberFormat="1" applyFont="1" applyBorder="1" applyAlignment="1">
      <alignment horizontal="center" vertical="center"/>
    </xf>
    <xf numFmtId="3" fontId="24" fillId="0" borderId="5" xfId="0" applyNumberFormat="1" applyFont="1" applyFill="1" applyBorder="1" applyAlignment="1">
      <alignment horizontal="center" vertical="center"/>
    </xf>
    <xf numFmtId="3" fontId="25" fillId="8" borderId="6" xfId="0" applyNumberFormat="1" applyFont="1" applyFill="1" applyBorder="1" applyAlignment="1">
      <alignment horizontal="left" vertical="center"/>
    </xf>
    <xf numFmtId="3" fontId="24" fillId="0" borderId="15" xfId="0" applyNumberFormat="1" applyFont="1" applyBorder="1" applyAlignment="1">
      <alignment horizontal="justify" vertical="top"/>
    </xf>
    <xf numFmtId="3" fontId="24" fillId="0" borderId="20" xfId="0" applyNumberFormat="1" applyFont="1" applyBorder="1" applyAlignment="1" applyProtection="1">
      <alignment horizontal="center" vertical="center"/>
      <protection locked="0"/>
    </xf>
    <xf numFmtId="3" fontId="24" fillId="0" borderId="23" xfId="0" applyNumberFormat="1" applyFont="1" applyBorder="1" applyAlignment="1" applyProtection="1">
      <alignment horizontal="center" vertical="center"/>
      <protection locked="0"/>
    </xf>
    <xf numFmtId="3" fontId="24" fillId="0" borderId="22" xfId="0" applyNumberFormat="1" applyFont="1" applyBorder="1" applyAlignment="1" applyProtection="1">
      <alignment horizontal="justify" vertical="center"/>
      <protection locked="0"/>
    </xf>
    <xf numFmtId="4" fontId="24" fillId="0" borderId="22" xfId="0" applyNumberFormat="1" applyFont="1" applyBorder="1" applyAlignment="1" applyProtection="1">
      <alignment horizontal="right" vertical="center"/>
      <protection locked="0"/>
    </xf>
    <xf numFmtId="4" fontId="24" fillId="0" borderId="24" xfId="0" applyNumberFormat="1" applyFont="1" applyBorder="1" applyAlignment="1" applyProtection="1">
      <alignment horizontal="right" vertical="center"/>
      <protection locked="0"/>
    </xf>
    <xf numFmtId="3" fontId="25" fillId="9" borderId="2" xfId="0" applyNumberFormat="1" applyFont="1" applyFill="1" applyBorder="1" applyAlignment="1">
      <alignment horizontal="center" vertical="center"/>
    </xf>
    <xf numFmtId="4" fontId="41" fillId="9" borderId="27" xfId="4" applyNumberFormat="1" applyFont="1" applyFill="1" applyBorder="1" applyAlignment="1">
      <alignment horizontal="right" vertical="center"/>
    </xf>
    <xf numFmtId="4" fontId="41" fillId="9" borderId="27" xfId="0" applyNumberFormat="1" applyFont="1" applyFill="1" applyBorder="1" applyAlignment="1">
      <alignment horizontal="right" vertical="center"/>
    </xf>
    <xf numFmtId="4" fontId="41" fillId="9" borderId="3" xfId="0" applyNumberFormat="1" applyFont="1" applyFill="1" applyBorder="1" applyAlignment="1">
      <alignment horizontal="right" vertical="center"/>
    </xf>
    <xf numFmtId="3" fontId="25" fillId="0" borderId="17" xfId="0" applyNumberFormat="1" applyFont="1" applyFill="1" applyBorder="1" applyAlignment="1">
      <alignment horizontal="center" vertical="center"/>
    </xf>
    <xf numFmtId="3" fontId="25" fillId="0" borderId="18" xfId="0" applyNumberFormat="1" applyFont="1" applyFill="1" applyBorder="1" applyAlignment="1">
      <alignment horizontal="justify" vertical="center"/>
    </xf>
    <xf numFmtId="4" fontId="25" fillId="0" borderId="18" xfId="0" applyNumberFormat="1" applyFont="1" applyFill="1" applyBorder="1" applyAlignment="1">
      <alignment horizontal="right" vertical="center"/>
    </xf>
    <xf numFmtId="4" fontId="25" fillId="0" borderId="19" xfId="0" applyNumberFormat="1" applyFont="1" applyFill="1" applyBorder="1" applyAlignment="1">
      <alignment horizontal="right" vertical="center"/>
    </xf>
    <xf numFmtId="3" fontId="24" fillId="21" borderId="20" xfId="0" applyNumberFormat="1" applyFont="1" applyFill="1" applyBorder="1" applyAlignment="1">
      <alignment horizontal="center" vertical="center"/>
    </xf>
    <xf numFmtId="3" fontId="24" fillId="0" borderId="5" xfId="0" applyNumberFormat="1" applyFont="1" applyFill="1" applyBorder="1" applyAlignment="1" applyProtection="1">
      <alignment horizontal="center" vertical="center"/>
      <protection locked="0"/>
    </xf>
    <xf numFmtId="0" fontId="24" fillId="0" borderId="15" xfId="0" applyFont="1" applyBorder="1" applyAlignment="1" applyProtection="1">
      <alignment horizontal="justify" vertical="center"/>
      <protection locked="0"/>
    </xf>
    <xf numFmtId="3" fontId="24" fillId="0" borderId="20" xfId="0" applyNumberFormat="1" applyFont="1" applyFill="1" applyBorder="1" applyAlignment="1">
      <alignment horizontal="center" vertical="center"/>
    </xf>
    <xf numFmtId="3" fontId="24" fillId="0" borderId="20" xfId="0" applyNumberFormat="1" applyFont="1" applyFill="1" applyBorder="1" applyAlignment="1" applyProtection="1">
      <alignment horizontal="center" vertical="center"/>
      <protection locked="0"/>
    </xf>
    <xf numFmtId="3" fontId="24" fillId="0" borderId="23" xfId="0" applyNumberFormat="1" applyFont="1" applyFill="1" applyBorder="1" applyAlignment="1">
      <alignment horizontal="center" vertical="center"/>
    </xf>
    <xf numFmtId="3" fontId="24" fillId="0" borderId="22" xfId="0" applyNumberFormat="1" applyFont="1" applyFill="1" applyBorder="1" applyAlignment="1">
      <alignment horizontal="justify" vertical="center"/>
    </xf>
    <xf numFmtId="4" fontId="24" fillId="0" borderId="22" xfId="0" applyNumberFormat="1" applyFont="1" applyFill="1" applyBorder="1" applyAlignment="1">
      <alignment horizontal="right" vertical="center"/>
    </xf>
    <xf numFmtId="4" fontId="24" fillId="0" borderId="24" xfId="0" applyNumberFormat="1" applyFont="1" applyFill="1" applyBorder="1" applyAlignment="1">
      <alignment horizontal="right" vertical="center"/>
    </xf>
    <xf numFmtId="3" fontId="24" fillId="0" borderId="15" xfId="0" applyNumberFormat="1" applyFont="1" applyFill="1" applyBorder="1" applyAlignment="1">
      <alignment horizontal="justify" vertical="center"/>
    </xf>
    <xf numFmtId="3" fontId="24" fillId="0" borderId="23" xfId="0" applyNumberFormat="1" applyFont="1" applyBorder="1" applyAlignment="1">
      <alignment horizontal="center" vertical="center"/>
    </xf>
    <xf numFmtId="4" fontId="24" fillId="0" borderId="24" xfId="0" applyNumberFormat="1" applyFont="1" applyBorder="1" applyAlignment="1">
      <alignment horizontal="right" vertical="center"/>
    </xf>
    <xf numFmtId="3" fontId="24" fillId="0" borderId="5" xfId="0" applyNumberFormat="1" applyFont="1" applyBorder="1" applyAlignment="1">
      <alignment horizontal="center" vertical="center"/>
    </xf>
    <xf numFmtId="3" fontId="24" fillId="0" borderId="6" xfId="0" applyNumberFormat="1" applyFont="1" applyBorder="1" applyAlignment="1">
      <alignment horizontal="justify" vertical="center"/>
    </xf>
    <xf numFmtId="4" fontId="24" fillId="0" borderId="6" xfId="0" applyNumberFormat="1" applyFont="1" applyBorder="1" applyAlignment="1">
      <alignment horizontal="right" vertical="center"/>
    </xf>
    <xf numFmtId="4" fontId="41" fillId="9" borderId="3" xfId="4" applyNumberFormat="1" applyFont="1" applyFill="1" applyBorder="1" applyAlignment="1">
      <alignment horizontal="right" vertical="center"/>
    </xf>
    <xf numFmtId="4" fontId="25" fillId="8" borderId="16" xfId="4" applyNumberFormat="1" applyFont="1" applyFill="1" applyBorder="1" applyAlignment="1">
      <alignment horizontal="right" vertical="center"/>
    </xf>
    <xf numFmtId="0" fontId="24" fillId="0" borderId="20" xfId="0" applyFont="1" applyBorder="1" applyAlignment="1" applyProtection="1">
      <alignment horizontal="center" vertical="center"/>
      <protection locked="0"/>
    </xf>
    <xf numFmtId="0" fontId="24" fillId="0" borderId="5" xfId="0" applyFont="1" applyFill="1" applyBorder="1" applyAlignment="1" applyProtection="1">
      <alignment horizontal="center" vertical="center"/>
      <protection locked="0"/>
    </xf>
    <xf numFmtId="0" fontId="24" fillId="0" borderId="6" xfId="0" applyFont="1" applyFill="1" applyBorder="1" applyAlignment="1" applyProtection="1">
      <alignment horizontal="justify" vertical="center"/>
      <protection locked="0"/>
    </xf>
    <xf numFmtId="3" fontId="24" fillId="0" borderId="61" xfId="0" applyNumberFormat="1" applyFont="1" applyBorder="1" applyAlignment="1" applyProtection="1">
      <alignment horizontal="center" vertical="center"/>
      <protection locked="0"/>
    </xf>
    <xf numFmtId="3" fontId="24" fillId="0" borderId="62" xfId="0" applyNumberFormat="1" applyFont="1" applyBorder="1" applyAlignment="1" applyProtection="1">
      <alignment horizontal="justify" vertical="center"/>
      <protection locked="0"/>
    </xf>
    <xf numFmtId="4" fontId="24" fillId="0" borderId="63" xfId="0" applyNumberFormat="1" applyFont="1" applyBorder="1" applyAlignment="1">
      <alignment horizontal="right" vertical="center"/>
    </xf>
    <xf numFmtId="3" fontId="24" fillId="0" borderId="4" xfId="0" applyNumberFormat="1" applyFont="1" applyFill="1" applyBorder="1" applyAlignment="1" applyProtection="1">
      <alignment horizontal="center" vertical="center"/>
      <protection locked="0"/>
    </xf>
    <xf numFmtId="3" fontId="24" fillId="0" borderId="0" xfId="0" applyNumberFormat="1" applyFont="1" applyFill="1" applyBorder="1" applyAlignment="1" applyProtection="1">
      <alignment horizontal="justify" vertical="center"/>
      <protection locked="0"/>
    </xf>
    <xf numFmtId="4" fontId="24" fillId="0" borderId="0" xfId="0" applyNumberFormat="1" applyFont="1" applyFill="1" applyBorder="1" applyAlignment="1" applyProtection="1">
      <alignment horizontal="right" vertical="center"/>
      <protection locked="0"/>
    </xf>
    <xf numFmtId="4" fontId="24" fillId="0" borderId="7" xfId="0" applyNumberFormat="1" applyFont="1" applyFill="1" applyBorder="1" applyAlignment="1" applyProtection="1">
      <alignment horizontal="right" vertical="center"/>
      <protection locked="0"/>
    </xf>
    <xf numFmtId="0" fontId="24" fillId="0" borderId="15" xfId="0" applyFont="1" applyBorder="1" applyAlignment="1">
      <alignment horizontal="justify" vertical="center"/>
    </xf>
    <xf numFmtId="4" fontId="24" fillId="0" borderId="0" xfId="4" applyNumberFormat="1" applyFont="1"/>
    <xf numFmtId="9" fontId="27" fillId="0" borderId="0" xfId="0" applyNumberFormat="1" applyFont="1" applyBorder="1" applyAlignment="1"/>
    <xf numFmtId="14" fontId="24" fillId="0" borderId="0" xfId="0" applyNumberFormat="1" applyFont="1"/>
    <xf numFmtId="0" fontId="56" fillId="10" borderId="2" xfId="0" applyFont="1" applyFill="1" applyBorder="1"/>
    <xf numFmtId="0" fontId="56" fillId="10" borderId="27" xfId="0" applyFont="1" applyFill="1" applyBorder="1" applyAlignment="1">
      <alignment horizontal="left" vertical="center"/>
    </xf>
    <xf numFmtId="0" fontId="25" fillId="0" borderId="27" xfId="0" applyFont="1" applyBorder="1" applyAlignment="1">
      <alignment horizontal="center"/>
    </xf>
    <xf numFmtId="4" fontId="25" fillId="0" borderId="0" xfId="0" applyNumberFormat="1" applyFont="1" applyBorder="1" applyAlignment="1">
      <alignment horizontal="center"/>
    </xf>
    <xf numFmtId="3" fontId="25" fillId="29" borderId="2" xfId="0" applyNumberFormat="1" applyFont="1" applyFill="1" applyBorder="1" applyAlignment="1">
      <alignment horizontal="center" vertical="center"/>
    </xf>
    <xf numFmtId="3" fontId="25" fillId="29" borderId="27" xfId="0" applyNumberFormat="1" applyFont="1" applyFill="1" applyBorder="1" applyAlignment="1">
      <alignment vertical="center"/>
    </xf>
    <xf numFmtId="4" fontId="25" fillId="29" borderId="27" xfId="0" applyNumberFormat="1" applyFont="1" applyFill="1" applyBorder="1" applyAlignment="1">
      <alignment horizontal="center" vertical="center" wrapText="1"/>
    </xf>
    <xf numFmtId="4" fontId="25" fillId="29" borderId="3" xfId="0" applyNumberFormat="1" applyFont="1" applyFill="1" applyBorder="1" applyAlignment="1">
      <alignment horizontal="center" vertical="center"/>
    </xf>
    <xf numFmtId="0" fontId="25" fillId="0" borderId="29" xfId="0" applyFont="1" applyBorder="1" applyAlignment="1">
      <alignment horizontal="center"/>
    </xf>
    <xf numFmtId="0" fontId="25" fillId="0" borderId="26" xfId="0" applyFont="1" applyBorder="1" applyAlignment="1">
      <alignment horizontal="center"/>
    </xf>
    <xf numFmtId="4" fontId="25" fillId="0" borderId="7" xfId="0" applyNumberFormat="1" applyFont="1" applyBorder="1" applyAlignment="1">
      <alignment horizontal="center"/>
    </xf>
    <xf numFmtId="4" fontId="41" fillId="9" borderId="27" xfId="0" applyNumberFormat="1" applyFont="1" applyFill="1" applyBorder="1" applyAlignment="1">
      <alignment horizontal="center" vertical="center"/>
    </xf>
    <xf numFmtId="3" fontId="25" fillId="3" borderId="4" xfId="0" applyNumberFormat="1" applyFont="1" applyFill="1" applyBorder="1" applyAlignment="1">
      <alignment horizontal="center" vertical="center"/>
    </xf>
    <xf numFmtId="4" fontId="41" fillId="3" borderId="0" xfId="0" applyNumberFormat="1" applyFont="1" applyFill="1" applyBorder="1" applyAlignment="1">
      <alignment horizontal="center" vertical="center"/>
    </xf>
    <xf numFmtId="4" fontId="41" fillId="3" borderId="28" xfId="0" applyNumberFormat="1" applyFont="1" applyFill="1" applyBorder="1" applyAlignment="1">
      <alignment horizontal="center" vertical="center"/>
    </xf>
    <xf numFmtId="3" fontId="24" fillId="0" borderId="4" xfId="0" applyNumberFormat="1" applyFont="1" applyBorder="1" applyAlignment="1">
      <alignment horizontal="center" vertical="center"/>
    </xf>
    <xf numFmtId="4" fontId="24" fillId="0" borderId="0" xfId="0" applyNumberFormat="1" applyFont="1" applyBorder="1" applyAlignment="1">
      <alignment horizontal="justify" vertical="center"/>
    </xf>
    <xf numFmtId="4" fontId="40" fillId="0" borderId="7" xfId="0" applyNumberFormat="1" applyFont="1" applyBorder="1" applyAlignment="1">
      <alignment horizontal="justify" vertical="center"/>
    </xf>
    <xf numFmtId="3" fontId="25" fillId="5" borderId="5" xfId="0" applyNumberFormat="1" applyFont="1" applyFill="1" applyBorder="1" applyAlignment="1">
      <alignment horizontal="center" vertical="center"/>
    </xf>
    <xf numFmtId="3" fontId="25" fillId="5" borderId="6" xfId="0" applyNumberFormat="1" applyFont="1" applyFill="1" applyBorder="1" applyAlignment="1">
      <alignment horizontal="left" vertical="center"/>
    </xf>
    <xf numFmtId="4" fontId="25" fillId="5" borderId="6" xfId="0" applyNumberFormat="1" applyFont="1" applyFill="1" applyBorder="1" applyAlignment="1">
      <alignment horizontal="right" vertical="center"/>
    </xf>
    <xf numFmtId="4" fontId="25" fillId="5" borderId="16" xfId="0" applyNumberFormat="1" applyFont="1" applyFill="1" applyBorder="1" applyAlignment="1">
      <alignment horizontal="right" vertical="center"/>
    </xf>
    <xf numFmtId="49" fontId="24" fillId="0" borderId="5" xfId="0" applyNumberFormat="1" applyFont="1" applyBorder="1" applyAlignment="1">
      <alignment horizontal="center" vertical="center"/>
    </xf>
    <xf numFmtId="4" fontId="64" fillId="0" borderId="31" xfId="0" applyNumberFormat="1" applyFont="1" applyBorder="1" applyAlignment="1">
      <alignment horizontal="right" vertical="center"/>
    </xf>
    <xf numFmtId="4" fontId="40" fillId="0" borderId="16" xfId="0" applyNumberFormat="1" applyFont="1" applyBorder="1" applyAlignment="1">
      <alignment horizontal="right" vertical="center"/>
    </xf>
    <xf numFmtId="4" fontId="40" fillId="0" borderId="24" xfId="0" applyNumberFormat="1" applyFont="1" applyBorder="1" applyAlignment="1">
      <alignment horizontal="right" vertical="center"/>
    </xf>
    <xf numFmtId="4" fontId="40" fillId="0" borderId="31" xfId="0" applyNumberFormat="1" applyFont="1" applyBorder="1" applyAlignment="1">
      <alignment horizontal="right" vertical="center"/>
    </xf>
    <xf numFmtId="3" fontId="24" fillId="0" borderId="11" xfId="0" applyNumberFormat="1" applyFont="1" applyBorder="1" applyAlignment="1">
      <alignment horizontal="center" vertical="center"/>
    </xf>
    <xf numFmtId="4" fontId="24" fillId="0" borderId="12" xfId="0" applyNumberFormat="1" applyFont="1" applyBorder="1" applyAlignment="1">
      <alignment horizontal="right" vertical="center"/>
    </xf>
    <xf numFmtId="4" fontId="40" fillId="0" borderId="13" xfId="0" applyNumberFormat="1" applyFont="1" applyBorder="1" applyAlignment="1">
      <alignment horizontal="right" vertical="center"/>
    </xf>
    <xf numFmtId="4" fontId="24" fillId="0" borderId="7" xfId="0" applyNumberFormat="1" applyFont="1" applyBorder="1" applyAlignment="1">
      <alignment horizontal="right" vertical="center"/>
    </xf>
    <xf numFmtId="3" fontId="24" fillId="0" borderId="5" xfId="8" applyNumberFormat="1" applyFont="1" applyFill="1" applyBorder="1" applyAlignment="1">
      <alignment horizontal="center" vertical="center"/>
    </xf>
    <xf numFmtId="4" fontId="24" fillId="0" borderId="6" xfId="0" applyNumberFormat="1" applyFont="1" applyBorder="1" applyAlignment="1">
      <alignment horizontal="justify" vertical="center"/>
    </xf>
    <xf numFmtId="4" fontId="24" fillId="0" borderId="16" xfId="0" applyNumberFormat="1" applyFont="1" applyBorder="1" applyAlignment="1">
      <alignment horizontal="justify" vertical="center"/>
    </xf>
    <xf numFmtId="4" fontId="42" fillId="0" borderId="13" xfId="0" applyNumberFormat="1" applyFont="1" applyBorder="1" applyAlignment="1">
      <alignment horizontal="right" vertical="center"/>
    </xf>
    <xf numFmtId="0" fontId="24" fillId="0" borderId="11" xfId="0" applyFont="1" applyBorder="1" applyAlignment="1">
      <alignment horizontal="center" vertical="center"/>
    </xf>
    <xf numFmtId="0" fontId="24" fillId="0" borderId="5" xfId="0" applyFont="1" applyBorder="1" applyAlignment="1">
      <alignment horizontal="center" vertical="center"/>
    </xf>
    <xf numFmtId="0" fontId="24" fillId="0" borderId="6" xfId="0" applyFont="1" applyBorder="1" applyAlignment="1" applyProtection="1">
      <alignment horizontal="justify" vertical="center"/>
      <protection locked="0"/>
    </xf>
    <xf numFmtId="0" fontId="24" fillId="0" borderId="22" xfId="0" applyFont="1" applyFill="1" applyBorder="1" applyAlignment="1" applyProtection="1">
      <alignment horizontal="justify" vertical="center"/>
      <protection locked="0"/>
    </xf>
    <xf numFmtId="3" fontId="25" fillId="5" borderId="6" xfId="0" applyNumberFormat="1" applyFont="1" applyFill="1" applyBorder="1" applyAlignment="1">
      <alignment horizontal="justify" vertical="center"/>
    </xf>
    <xf numFmtId="0" fontId="24" fillId="0" borderId="6" xfId="0" applyFont="1" applyBorder="1" applyAlignment="1">
      <alignment horizontal="justify" vertical="center"/>
    </xf>
    <xf numFmtId="0" fontId="24" fillId="0" borderId="22" xfId="0" applyFont="1" applyBorder="1" applyAlignment="1">
      <alignment horizontal="justify" vertical="center"/>
    </xf>
    <xf numFmtId="3" fontId="24" fillId="0" borderId="25" xfId="0" applyNumberFormat="1" applyFont="1" applyBorder="1" applyAlignment="1">
      <alignment horizontal="justify" vertical="center"/>
    </xf>
    <xf numFmtId="3" fontId="31" fillId="0" borderId="11" xfId="0" applyNumberFormat="1" applyFont="1" applyBorder="1" applyAlignment="1">
      <alignment horizontal="center" vertical="center"/>
    </xf>
    <xf numFmtId="3" fontId="31" fillId="0" borderId="12" xfId="0" applyNumberFormat="1" applyFont="1" applyBorder="1" applyAlignment="1">
      <alignment horizontal="justify" vertical="center"/>
    </xf>
    <xf numFmtId="4" fontId="31" fillId="0" borderId="12" xfId="0" applyNumberFormat="1" applyFont="1" applyBorder="1" applyAlignment="1">
      <alignment horizontal="right" vertical="center"/>
    </xf>
    <xf numFmtId="4" fontId="31" fillId="0" borderId="13" xfId="0" applyNumberFormat="1" applyFont="1" applyBorder="1" applyAlignment="1">
      <alignment horizontal="right" vertical="center"/>
    </xf>
    <xf numFmtId="0" fontId="31" fillId="0" borderId="1" xfId="0" applyFont="1" applyBorder="1" applyAlignment="1">
      <alignment horizontal="center" vertical="center"/>
    </xf>
    <xf numFmtId="0" fontId="31" fillId="0" borderId="1" xfId="0" applyFont="1" applyBorder="1" applyAlignment="1">
      <alignment horizontal="justify" vertical="center"/>
    </xf>
    <xf numFmtId="4" fontId="31" fillId="0" borderId="1" xfId="0" applyNumberFormat="1" applyFont="1" applyBorder="1" applyAlignment="1">
      <alignment horizontal="right" vertical="center"/>
    </xf>
    <xf numFmtId="4" fontId="43" fillId="0" borderId="1" xfId="0" applyNumberFormat="1" applyFont="1" applyBorder="1" applyAlignment="1">
      <alignment horizontal="right" vertical="center"/>
    </xf>
    <xf numFmtId="0" fontId="24" fillId="0" borderId="1" xfId="0" applyFont="1" applyBorder="1" applyAlignment="1">
      <alignment horizontal="center"/>
    </xf>
    <xf numFmtId="0" fontId="32" fillId="0" borderId="1" xfId="0" applyFont="1" applyBorder="1" applyAlignment="1">
      <alignment horizontal="center"/>
    </xf>
    <xf numFmtId="0" fontId="25" fillId="9" borderId="39" xfId="0" applyFont="1" applyFill="1" applyBorder="1" applyAlignment="1">
      <alignment horizontal="center" vertical="center" wrapText="1"/>
    </xf>
    <xf numFmtId="0" fontId="25" fillId="9" borderId="39" xfId="0" applyFont="1" applyFill="1" applyBorder="1" applyAlignment="1">
      <alignment horizontal="center" vertical="center"/>
    </xf>
    <xf numFmtId="0" fontId="25" fillId="9" borderId="3" xfId="0" applyFont="1" applyFill="1" applyBorder="1" applyAlignment="1">
      <alignment horizontal="center" vertical="top" wrapText="1"/>
    </xf>
    <xf numFmtId="0" fontId="25" fillId="0" borderId="14" xfId="0" applyFont="1" applyBorder="1" applyAlignment="1">
      <alignment vertical="center"/>
    </xf>
    <xf numFmtId="0" fontId="25" fillId="0" borderId="10" xfId="0" applyFont="1" applyBorder="1" applyAlignment="1">
      <alignment vertical="center"/>
    </xf>
    <xf numFmtId="0" fontId="25" fillId="24" borderId="24" xfId="0" applyFont="1" applyFill="1" applyBorder="1" applyAlignment="1">
      <alignment vertical="center"/>
    </xf>
    <xf numFmtId="49" fontId="24" fillId="0" borderId="20" xfId="0" applyNumberFormat="1" applyFont="1" applyFill="1" applyBorder="1" applyAlignment="1">
      <alignment horizontal="center" vertical="center"/>
    </xf>
    <xf numFmtId="0" fontId="24" fillId="0" borderId="15" xfId="0" applyNumberFormat="1" applyFont="1" applyBorder="1" applyAlignment="1">
      <alignment horizontal="justify" vertical="center"/>
    </xf>
    <xf numFmtId="3" fontId="24" fillId="0" borderId="24" xfId="0" applyNumberFormat="1" applyFont="1" applyBorder="1" applyAlignment="1">
      <alignment horizontal="justify" vertical="center"/>
    </xf>
    <xf numFmtId="3" fontId="24" fillId="0" borderId="7" xfId="0" applyNumberFormat="1" applyFont="1" applyBorder="1" applyAlignment="1">
      <alignment horizontal="right" vertical="center"/>
    </xf>
    <xf numFmtId="3" fontId="24" fillId="0" borderId="7" xfId="0" applyNumberFormat="1" applyFont="1" applyBorder="1" applyAlignment="1">
      <alignment horizontal="distributed" vertical="center"/>
    </xf>
    <xf numFmtId="49" fontId="24" fillId="0" borderId="20" xfId="0" applyNumberFormat="1" applyFont="1" applyFill="1" applyBorder="1" applyAlignment="1" applyProtection="1">
      <alignment horizontal="center" vertical="center"/>
      <protection locked="0"/>
    </xf>
    <xf numFmtId="3" fontId="24" fillId="0" borderId="54" xfId="0" applyNumberFormat="1" applyFont="1" applyBorder="1" applyAlignment="1">
      <alignment vertical="top" wrapText="1"/>
    </xf>
    <xf numFmtId="0" fontId="24" fillId="0" borderId="42" xfId="0" applyFont="1" applyBorder="1" applyAlignment="1">
      <alignment horizontal="justify" vertical="center"/>
    </xf>
    <xf numFmtId="3" fontId="24" fillId="0" borderId="43" xfId="0" applyNumberFormat="1" applyFont="1" applyBorder="1" applyAlignment="1">
      <alignment vertical="top" wrapText="1"/>
    </xf>
    <xf numFmtId="3" fontId="24" fillId="0" borderId="41" xfId="0" applyNumberFormat="1" applyFont="1" applyBorder="1" applyAlignment="1">
      <alignment horizontal="center" vertical="center"/>
    </xf>
    <xf numFmtId="3" fontId="24" fillId="0" borderId="41" xfId="0" applyNumberFormat="1" applyFont="1" applyBorder="1" applyAlignment="1" applyProtection="1">
      <alignment horizontal="center" vertical="center"/>
      <protection locked="0"/>
    </xf>
    <xf numFmtId="3" fontId="24" fillId="0" borderId="19" xfId="0" applyNumberFormat="1" applyFont="1" applyBorder="1" applyAlignment="1">
      <alignment horizontal="right"/>
    </xf>
    <xf numFmtId="3" fontId="24" fillId="0" borderId="5" xfId="0" applyNumberFormat="1" applyFont="1" applyBorder="1" applyAlignment="1">
      <alignment horizontal="center" vertical="center" wrapText="1"/>
    </xf>
    <xf numFmtId="3" fontId="24" fillId="0" borderId="6" xfId="0" applyNumberFormat="1" applyFont="1" applyBorder="1" applyAlignment="1">
      <alignment horizontal="justify" vertical="center" wrapText="1"/>
    </xf>
    <xf numFmtId="3" fontId="24" fillId="0" borderId="16" xfId="0" applyNumberFormat="1" applyFont="1" applyBorder="1" applyAlignment="1">
      <alignment horizontal="right"/>
    </xf>
    <xf numFmtId="3" fontId="25" fillId="6" borderId="20" xfId="0" applyNumberFormat="1" applyFont="1" applyFill="1" applyBorder="1" applyAlignment="1">
      <alignment horizontal="center" vertical="center" wrapText="1"/>
    </xf>
    <xf numFmtId="3" fontId="41" fillId="6" borderId="21" xfId="0" applyNumberFormat="1" applyFont="1" applyFill="1" applyBorder="1" applyAlignment="1">
      <alignment horizontal="center" vertical="center" wrapText="1"/>
    </xf>
    <xf numFmtId="3" fontId="41" fillId="6" borderId="16" xfId="0" applyNumberFormat="1" applyFont="1" applyFill="1" applyBorder="1" applyAlignment="1">
      <alignment horizontal="right" vertical="center"/>
    </xf>
    <xf numFmtId="3" fontId="25" fillId="0" borderId="5" xfId="0" applyNumberFormat="1" applyFont="1" applyFill="1" applyBorder="1" applyAlignment="1">
      <alignment horizontal="center" vertical="center" wrapText="1"/>
    </xf>
    <xf numFmtId="3" fontId="41" fillId="0" borderId="6" xfId="0" applyNumberFormat="1" applyFont="1" applyFill="1" applyBorder="1" applyAlignment="1">
      <alignment horizontal="justify" vertical="center" wrapText="1"/>
    </xf>
    <xf numFmtId="3" fontId="41" fillId="0" borderId="16" xfId="0" applyNumberFormat="1" applyFont="1" applyFill="1" applyBorder="1" applyAlignment="1">
      <alignment horizontal="right" vertical="center"/>
    </xf>
    <xf numFmtId="3" fontId="25" fillId="24" borderId="20" xfId="0" applyNumberFormat="1" applyFont="1" applyFill="1" applyBorder="1" applyAlignment="1">
      <alignment horizontal="center" vertical="center" wrapText="1"/>
    </xf>
    <xf numFmtId="3" fontId="41" fillId="24" borderId="21" xfId="0" applyNumberFormat="1" applyFont="1" applyFill="1" applyBorder="1" applyAlignment="1">
      <alignment horizontal="justify" vertical="center" wrapText="1"/>
    </xf>
    <xf numFmtId="3" fontId="41" fillId="24" borderId="16" xfId="0" applyNumberFormat="1" applyFont="1" applyFill="1" applyBorder="1" applyAlignment="1">
      <alignment horizontal="right" vertical="center"/>
    </xf>
    <xf numFmtId="3" fontId="24" fillId="0" borderId="54" xfId="0" applyNumberFormat="1" applyFont="1" applyBorder="1" applyAlignment="1">
      <alignment horizontal="right" vertical="center"/>
    </xf>
    <xf numFmtId="0" fontId="24" fillId="0" borderId="42" xfId="0" applyFont="1" applyBorder="1" applyAlignment="1">
      <alignment horizontal="justify" vertical="center" wrapText="1"/>
    </xf>
    <xf numFmtId="3" fontId="24" fillId="0" borderId="19" xfId="0" applyNumberFormat="1" applyFont="1" applyBorder="1" applyAlignment="1">
      <alignment horizontal="right" vertical="center"/>
    </xf>
    <xf numFmtId="3" fontId="24" fillId="0" borderId="54" xfId="0" applyNumberFormat="1" applyFont="1" applyBorder="1" applyAlignment="1">
      <alignment vertical="center" wrapText="1"/>
    </xf>
    <xf numFmtId="0" fontId="65" fillId="0" borderId="15" xfId="0" applyFont="1" applyBorder="1" applyAlignment="1">
      <alignment horizontal="justify" vertical="center" wrapText="1"/>
    </xf>
    <xf numFmtId="0" fontId="24" fillId="0" borderId="53" xfId="0" applyFont="1" applyBorder="1" applyAlignment="1">
      <alignment horizontal="justify" vertical="center"/>
    </xf>
    <xf numFmtId="3" fontId="24" fillId="0" borderId="64" xfId="0" applyNumberFormat="1" applyFont="1" applyBorder="1" applyAlignment="1">
      <alignment vertical="top" wrapText="1"/>
    </xf>
    <xf numFmtId="168" fontId="35" fillId="0" borderId="15" xfId="0" applyNumberFormat="1" applyFont="1" applyBorder="1" applyAlignment="1">
      <alignment horizontal="justify" vertical="center" wrapText="1"/>
    </xf>
    <xf numFmtId="168" fontId="35" fillId="0" borderId="42" xfId="0" applyNumberFormat="1" applyFont="1" applyBorder="1" applyAlignment="1">
      <alignment horizontal="justify" vertical="center" wrapText="1"/>
    </xf>
    <xf numFmtId="168" fontId="35" fillId="0" borderId="15" xfId="0" applyNumberFormat="1" applyFont="1" applyFill="1" applyBorder="1" applyAlignment="1">
      <alignment horizontal="justify" vertical="center" wrapText="1"/>
    </xf>
    <xf numFmtId="168" fontId="35" fillId="0" borderId="18" xfId="0" applyNumberFormat="1" applyFont="1" applyFill="1" applyBorder="1" applyAlignment="1">
      <alignment horizontal="justify" vertical="center" wrapText="1"/>
    </xf>
    <xf numFmtId="3" fontId="25" fillId="6" borderId="5" xfId="0" applyNumberFormat="1" applyFont="1" applyFill="1" applyBorder="1" applyAlignment="1">
      <alignment horizontal="center" vertical="center" wrapText="1"/>
    </xf>
    <xf numFmtId="3" fontId="41" fillId="6" borderId="6" xfId="0" applyNumberFormat="1" applyFont="1" applyFill="1" applyBorder="1" applyAlignment="1">
      <alignment horizontal="center" vertical="center" wrapText="1"/>
    </xf>
    <xf numFmtId="3" fontId="24" fillId="24" borderId="7" xfId="0" applyNumberFormat="1" applyFont="1" applyFill="1" applyBorder="1" applyAlignment="1">
      <alignment horizontal="justify" vertical="center"/>
    </xf>
    <xf numFmtId="0" fontId="24" fillId="0" borderId="15" xfId="0" applyFont="1" applyFill="1" applyBorder="1" applyAlignment="1">
      <alignment horizontal="justify" vertical="center"/>
    </xf>
    <xf numFmtId="0" fontId="24" fillId="0" borderId="53" xfId="0" applyFont="1" applyBorder="1" applyAlignment="1">
      <alignment horizontal="justify" vertical="center" wrapText="1"/>
    </xf>
    <xf numFmtId="3" fontId="24" fillId="0" borderId="43" xfId="0" applyNumberFormat="1" applyFont="1" applyBorder="1" applyAlignment="1">
      <alignment horizontal="right" vertical="center"/>
    </xf>
    <xf numFmtId="3" fontId="24" fillId="0" borderId="16" xfId="0" applyNumberFormat="1" applyFont="1" applyBorder="1" applyAlignment="1">
      <alignment horizontal="right" vertical="center"/>
    </xf>
    <xf numFmtId="3" fontId="24" fillId="24" borderId="16" xfId="0" applyNumberFormat="1" applyFont="1" applyFill="1" applyBorder="1" applyAlignment="1">
      <alignment horizontal="right" vertical="center"/>
    </xf>
    <xf numFmtId="3" fontId="25" fillId="0" borderId="23" xfId="0" applyNumberFormat="1" applyFont="1" applyFill="1" applyBorder="1" applyAlignment="1">
      <alignment horizontal="center" vertical="center" wrapText="1"/>
    </xf>
    <xf numFmtId="3" fontId="41" fillId="0" borderId="22" xfId="0" applyNumberFormat="1" applyFont="1" applyFill="1" applyBorder="1" applyAlignment="1">
      <alignment horizontal="justify" vertical="center" wrapText="1"/>
    </xf>
    <xf numFmtId="3" fontId="41" fillId="0" borderId="24" xfId="0" applyNumberFormat="1" applyFont="1" applyFill="1" applyBorder="1" applyAlignment="1">
      <alignment horizontal="right" vertical="center"/>
    </xf>
    <xf numFmtId="0" fontId="35" fillId="0" borderId="15" xfId="0" applyFont="1" applyBorder="1" applyAlignment="1">
      <alignment horizontal="justify" vertical="center" wrapText="1"/>
    </xf>
    <xf numFmtId="3" fontId="24" fillId="0" borderId="31" xfId="0" applyNumberFormat="1" applyFont="1" applyFill="1" applyBorder="1" applyAlignment="1">
      <alignment horizontal="left" vertical="top" wrapText="1"/>
    </xf>
    <xf numFmtId="0" fontId="24" fillId="0" borderId="18" xfId="0" applyFont="1" applyBorder="1" applyAlignment="1">
      <alignment horizontal="justify" vertical="center" wrapText="1"/>
    </xf>
    <xf numFmtId="3" fontId="24" fillId="0" borderId="43" xfId="0" applyNumberFormat="1" applyFont="1" applyFill="1" applyBorder="1" applyAlignment="1">
      <alignment vertical="center" wrapText="1"/>
    </xf>
    <xf numFmtId="3" fontId="24" fillId="0" borderId="15" xfId="0" applyNumberFormat="1" applyFont="1" applyBorder="1" applyAlignment="1">
      <alignment horizontal="justify" vertical="center" wrapText="1"/>
    </xf>
    <xf numFmtId="0" fontId="24" fillId="0" borderId="15" xfId="0" applyFont="1" applyFill="1" applyBorder="1" applyAlignment="1">
      <alignment horizontal="justify" vertical="center" wrapText="1"/>
    </xf>
    <xf numFmtId="0" fontId="35" fillId="0" borderId="42" xfId="0" applyFont="1" applyBorder="1" applyAlignment="1">
      <alignment horizontal="justify" vertical="center" wrapText="1"/>
    </xf>
    <xf numFmtId="0" fontId="35" fillId="25" borderId="15" xfId="0" applyFont="1" applyFill="1" applyBorder="1" applyAlignment="1">
      <alignment horizontal="justify" vertical="center" wrapText="1"/>
    </xf>
    <xf numFmtId="0" fontId="35" fillId="0" borderId="53" xfId="0" applyFont="1" applyBorder="1" applyAlignment="1">
      <alignment horizontal="justify" vertical="center" wrapText="1"/>
    </xf>
    <xf numFmtId="0" fontId="35" fillId="0" borderId="53" xfId="0" applyFont="1" applyFill="1" applyBorder="1" applyAlignment="1">
      <alignment horizontal="justify" vertical="center" wrapText="1"/>
    </xf>
    <xf numFmtId="3" fontId="24" fillId="24" borderId="16" xfId="0" applyNumberFormat="1" applyFont="1" applyFill="1" applyBorder="1" applyAlignment="1">
      <alignment horizontal="justify" vertical="center"/>
    </xf>
    <xf numFmtId="0" fontId="24" fillId="0" borderId="65" xfId="0" applyFont="1" applyBorder="1" applyAlignment="1">
      <alignment horizontal="justify" vertical="center"/>
    </xf>
    <xf numFmtId="0" fontId="24" fillId="0" borderId="5" xfId="0" applyFont="1" applyBorder="1" applyAlignment="1">
      <alignment horizontal="center" vertical="center" wrapText="1"/>
    </xf>
    <xf numFmtId="168" fontId="35" fillId="0" borderId="6" xfId="0" applyNumberFormat="1" applyFont="1" applyFill="1" applyBorder="1" applyAlignment="1">
      <alignment horizontal="justify" vertical="center" wrapText="1"/>
    </xf>
    <xf numFmtId="3" fontId="24" fillId="0" borderId="20" xfId="0" applyNumberFormat="1" applyFont="1" applyBorder="1" applyAlignment="1">
      <alignment horizontal="center" vertical="center" wrapText="1"/>
    </xf>
    <xf numFmtId="3" fontId="24" fillId="0" borderId="16" xfId="0" applyNumberFormat="1" applyFont="1" applyBorder="1" applyAlignment="1">
      <alignment horizontal="left" vertical="center" wrapText="1"/>
    </xf>
    <xf numFmtId="3" fontId="41" fillId="6" borderId="15" xfId="0" applyNumberFormat="1" applyFont="1" applyFill="1" applyBorder="1" applyAlignment="1">
      <alignment horizontal="center" vertical="center" wrapText="1"/>
    </xf>
    <xf numFmtId="3" fontId="41" fillId="6" borderId="16" xfId="0" applyNumberFormat="1" applyFont="1" applyFill="1" applyBorder="1" applyAlignment="1">
      <alignment horizontal="justify" vertical="center" wrapText="1"/>
    </xf>
    <xf numFmtId="3" fontId="24" fillId="0" borderId="12" xfId="0" applyNumberFormat="1" applyFont="1" applyBorder="1" applyAlignment="1">
      <alignment horizontal="right" vertical="center"/>
    </xf>
    <xf numFmtId="3" fontId="24" fillId="0" borderId="13" xfId="0" applyNumberFormat="1" applyFont="1" applyBorder="1" applyAlignment="1">
      <alignment horizontal="right" vertical="center"/>
    </xf>
    <xf numFmtId="0" fontId="25" fillId="4" borderId="2" xfId="0" applyFont="1" applyFill="1" applyBorder="1" applyAlignment="1">
      <alignment horizontal="center" vertical="center"/>
    </xf>
    <xf numFmtId="0" fontId="25" fillId="4" borderId="27" xfId="0" applyFont="1" applyFill="1" applyBorder="1" applyAlignment="1">
      <alignment horizontal="center" vertical="center"/>
    </xf>
    <xf numFmtId="0" fontId="25" fillId="4" borderId="3" xfId="0" applyFont="1" applyFill="1" applyBorder="1" applyAlignment="1">
      <alignment vertical="center"/>
    </xf>
    <xf numFmtId="0" fontId="56" fillId="30" borderId="2" xfId="0" applyFont="1" applyFill="1" applyBorder="1" applyAlignment="1">
      <alignment horizontal="center" vertical="center"/>
    </xf>
    <xf numFmtId="0" fontId="56" fillId="30" borderId="27" xfId="0" applyFont="1" applyFill="1" applyBorder="1" applyAlignment="1">
      <alignment horizontal="center" vertical="center"/>
    </xf>
    <xf numFmtId="0" fontId="24" fillId="30" borderId="3" xfId="0" applyFont="1" applyFill="1" applyBorder="1"/>
    <xf numFmtId="0" fontId="25" fillId="24" borderId="7" xfId="0" applyFont="1" applyFill="1" applyBorder="1" applyAlignment="1">
      <alignment vertical="center"/>
    </xf>
    <xf numFmtId="3" fontId="24" fillId="0" borderId="7" xfId="0" applyNumberFormat="1" applyFont="1" applyBorder="1" applyAlignment="1">
      <alignment horizontal="right"/>
    </xf>
    <xf numFmtId="3" fontId="24" fillId="0" borderId="54" xfId="0" applyNumberFormat="1" applyFont="1" applyBorder="1" applyAlignment="1">
      <alignment horizontal="right"/>
    </xf>
    <xf numFmtId="3" fontId="41" fillId="24" borderId="6" xfId="0" applyNumberFormat="1" applyFont="1" applyFill="1" applyBorder="1" applyAlignment="1">
      <alignment horizontal="justify" vertical="center" wrapText="1"/>
    </xf>
    <xf numFmtId="3" fontId="24" fillId="0" borderId="41" xfId="0" applyNumberFormat="1" applyFont="1" applyFill="1" applyBorder="1" applyAlignment="1" applyProtection="1">
      <alignment horizontal="center" vertical="center"/>
      <protection locked="0"/>
    </xf>
    <xf numFmtId="3" fontId="24" fillId="0" borderId="7" xfId="0" applyNumberFormat="1" applyFont="1" applyBorder="1" applyAlignment="1">
      <alignment horizontal="justify" vertical="center"/>
    </xf>
    <xf numFmtId="3" fontId="24" fillId="0" borderId="53" xfId="0" applyNumberFormat="1" applyFont="1" applyBorder="1" applyAlignment="1" applyProtection="1">
      <alignment horizontal="justify" vertical="center" wrapText="1"/>
      <protection locked="0"/>
    </xf>
    <xf numFmtId="3" fontId="24" fillId="0" borderId="7" xfId="0" applyNumberFormat="1" applyFont="1" applyBorder="1" applyAlignment="1">
      <alignment horizontal="left" vertical="center" wrapText="1"/>
    </xf>
    <xf numFmtId="0" fontId="24" fillId="0" borderId="15" xfId="0" applyFont="1" applyBorder="1"/>
    <xf numFmtId="3" fontId="41" fillId="24" borderId="32" xfId="0" applyNumberFormat="1" applyFont="1" applyFill="1" applyBorder="1" applyAlignment="1">
      <alignment horizontal="right" vertical="center"/>
    </xf>
    <xf numFmtId="3" fontId="41" fillId="24" borderId="22" xfId="0" applyNumberFormat="1" applyFont="1" applyFill="1" applyBorder="1" applyAlignment="1">
      <alignment horizontal="justify" vertical="center" wrapText="1"/>
    </xf>
    <xf numFmtId="3" fontId="41" fillId="24" borderId="24" xfId="0" applyNumberFormat="1" applyFont="1" applyFill="1" applyBorder="1" applyAlignment="1">
      <alignment horizontal="right" vertical="center"/>
    </xf>
    <xf numFmtId="0" fontId="24" fillId="0" borderId="20" xfId="0" applyFont="1" applyFill="1" applyBorder="1" applyAlignment="1" applyProtection="1">
      <alignment horizontal="center" vertical="center"/>
      <protection locked="0"/>
    </xf>
    <xf numFmtId="3" fontId="24" fillId="0" borderId="4" xfId="0" applyNumberFormat="1" applyFont="1" applyFill="1" applyBorder="1" applyAlignment="1">
      <alignment horizontal="center" vertical="center"/>
    </xf>
    <xf numFmtId="0" fontId="35" fillId="0" borderId="0" xfId="0" applyFont="1" applyBorder="1" applyAlignment="1">
      <alignment horizontal="justify" vertical="center" wrapText="1"/>
    </xf>
    <xf numFmtId="3" fontId="25" fillId="6" borderId="68" xfId="0" applyNumberFormat="1" applyFont="1" applyFill="1" applyBorder="1" applyAlignment="1">
      <alignment horizontal="center" vertical="center" wrapText="1"/>
    </xf>
    <xf numFmtId="3" fontId="41" fillId="6" borderId="33" xfId="0" applyNumberFormat="1" applyFont="1" applyFill="1" applyBorder="1" applyAlignment="1">
      <alignment horizontal="center" vertical="center" wrapText="1"/>
    </xf>
    <xf numFmtId="3" fontId="41" fillId="6" borderId="3" xfId="0" applyNumberFormat="1" applyFont="1" applyFill="1" applyBorder="1" applyAlignment="1">
      <alignment horizontal="right" vertical="center"/>
    </xf>
    <xf numFmtId="3" fontId="25" fillId="0" borderId="17" xfId="0" applyNumberFormat="1" applyFont="1" applyFill="1" applyBorder="1" applyAlignment="1">
      <alignment horizontal="center" vertical="center" wrapText="1"/>
    </xf>
    <xf numFmtId="3" fontId="41" fillId="0" borderId="18" xfId="0" applyNumberFormat="1" applyFont="1" applyFill="1" applyBorder="1" applyAlignment="1">
      <alignment horizontal="justify" vertical="center" wrapText="1"/>
    </xf>
    <xf numFmtId="3" fontId="41" fillId="0" borderId="19" xfId="0" applyNumberFormat="1" applyFont="1" applyFill="1" applyBorder="1" applyAlignment="1">
      <alignment horizontal="right" vertical="center"/>
    </xf>
    <xf numFmtId="0" fontId="35" fillId="0" borderId="21" xfId="0" applyFont="1" applyBorder="1" applyAlignment="1">
      <alignment horizontal="justify" vertical="center" wrapText="1"/>
    </xf>
    <xf numFmtId="0" fontId="35" fillId="0" borderId="6" xfId="0" applyFont="1" applyBorder="1" applyAlignment="1">
      <alignment horizontal="justify" vertical="center" wrapText="1"/>
    </xf>
    <xf numFmtId="0" fontId="25" fillId="0" borderId="19" xfId="0" applyFont="1" applyBorder="1" applyAlignment="1">
      <alignment vertical="center"/>
    </xf>
    <xf numFmtId="3" fontId="24" fillId="17" borderId="20" xfId="0" applyNumberFormat="1" applyFont="1" applyFill="1" applyBorder="1" applyAlignment="1" applyProtection="1">
      <alignment horizontal="center" vertical="center"/>
      <protection locked="0"/>
    </xf>
    <xf numFmtId="0" fontId="24" fillId="17" borderId="15" xfId="0" applyFont="1" applyFill="1" applyBorder="1" applyAlignment="1">
      <alignment horizontal="justify" vertical="center"/>
    </xf>
    <xf numFmtId="3" fontId="24" fillId="17" borderId="19" xfId="0" applyNumberFormat="1" applyFont="1" applyFill="1" applyBorder="1" applyAlignment="1">
      <alignment horizontal="right"/>
    </xf>
    <xf numFmtId="0" fontId="24" fillId="25" borderId="15" xfId="0" applyFont="1" applyFill="1" applyBorder="1" applyAlignment="1">
      <alignment horizontal="justify" vertical="center" wrapText="1"/>
    </xf>
    <xf numFmtId="3" fontId="24" fillId="0" borderId="31" xfId="0" applyNumberFormat="1" applyFont="1" applyBorder="1" applyAlignment="1">
      <alignment vertical="top" wrapText="1"/>
    </xf>
    <xf numFmtId="0" fontId="24" fillId="0" borderId="42" xfId="0" applyFont="1" applyBorder="1" applyAlignment="1">
      <alignment horizontal="justify" vertical="top"/>
    </xf>
    <xf numFmtId="3" fontId="24" fillId="0" borderId="19" xfId="0" applyNumberFormat="1" applyFont="1" applyBorder="1" applyAlignment="1">
      <alignment horizontal="justify" vertical="center"/>
    </xf>
    <xf numFmtId="0" fontId="24" fillId="0" borderId="42" xfId="0" applyFont="1" applyFill="1" applyBorder="1" applyAlignment="1">
      <alignment horizontal="justify" vertical="top" wrapText="1"/>
    </xf>
    <xf numFmtId="0" fontId="24" fillId="0" borderId="15" xfId="0" applyFont="1" applyBorder="1" applyAlignment="1">
      <alignment horizontal="justify" vertical="top"/>
    </xf>
    <xf numFmtId="3" fontId="24" fillId="0" borderId="18" xfId="0" applyNumberFormat="1" applyFont="1" applyBorder="1" applyAlignment="1">
      <alignment horizontal="justify" vertical="center" wrapText="1"/>
    </xf>
    <xf numFmtId="3" fontId="25" fillId="0" borderId="15" xfId="0" applyNumberFormat="1" applyFont="1" applyFill="1" applyBorder="1" applyAlignment="1">
      <alignment horizontal="left" vertical="center" wrapText="1"/>
    </xf>
    <xf numFmtId="3" fontId="24" fillId="0" borderId="7" xfId="0" applyNumberFormat="1" applyFont="1" applyFill="1" applyBorder="1" applyAlignment="1">
      <alignment horizontal="right" vertical="center"/>
    </xf>
    <xf numFmtId="3" fontId="24" fillId="0" borderId="15" xfId="0" applyNumberFormat="1" applyFont="1" applyFill="1" applyBorder="1" applyAlignment="1">
      <alignment horizontal="left" vertical="center" wrapText="1"/>
    </xf>
    <xf numFmtId="3" fontId="24" fillId="0" borderId="43" xfId="0" applyNumberFormat="1" applyFont="1" applyFill="1" applyBorder="1" applyAlignment="1">
      <alignment horizontal="left" vertical="center" wrapText="1"/>
    </xf>
    <xf numFmtId="3" fontId="24" fillId="0" borderId="24" xfId="0" applyNumberFormat="1" applyFont="1" applyFill="1" applyBorder="1" applyAlignment="1">
      <alignment horizontal="right" vertical="center"/>
    </xf>
    <xf numFmtId="3" fontId="25" fillId="0" borderId="53" xfId="0" applyNumberFormat="1" applyFont="1" applyFill="1" applyBorder="1" applyAlignment="1">
      <alignment horizontal="left" vertical="center" wrapText="1"/>
    </xf>
    <xf numFmtId="3" fontId="24" fillId="0" borderId="19" xfId="0" applyNumberFormat="1" applyFont="1" applyFill="1" applyBorder="1" applyAlignment="1">
      <alignment horizontal="right" vertical="center"/>
    </xf>
    <xf numFmtId="0" fontId="24" fillId="0" borderId="15" xfId="0" applyFont="1" applyBorder="1" applyAlignment="1">
      <alignment horizontal="justify" vertical="top" wrapText="1"/>
    </xf>
    <xf numFmtId="0" fontId="24" fillId="0" borderId="15" xfId="0" applyFont="1" applyFill="1" applyBorder="1" applyAlignment="1">
      <alignment horizontal="justify" vertical="top"/>
    </xf>
    <xf numFmtId="3" fontId="24" fillId="0" borderId="7" xfId="0" applyNumberFormat="1" applyFont="1" applyBorder="1" applyAlignment="1">
      <alignment horizontal="justify" vertical="center" wrapText="1"/>
    </xf>
    <xf numFmtId="0" fontId="56" fillId="30" borderId="3" xfId="0" applyFont="1" applyFill="1" applyBorder="1" applyAlignment="1">
      <alignment horizontal="center" vertical="center"/>
    </xf>
    <xf numFmtId="3" fontId="24" fillId="17" borderId="7" xfId="0" applyNumberFormat="1" applyFont="1" applyFill="1" applyBorder="1" applyAlignment="1">
      <alignment horizontal="justify" vertical="center"/>
    </xf>
    <xf numFmtId="0" fontId="24" fillId="0" borderId="6" xfId="0" applyFont="1" applyBorder="1" applyAlignment="1">
      <alignment horizontal="justify" vertical="center" wrapText="1"/>
    </xf>
    <xf numFmtId="0" fontId="24" fillId="0" borderId="42" xfId="0" applyFont="1" applyFill="1" applyBorder="1" applyAlignment="1">
      <alignment horizontal="justify" vertical="center"/>
    </xf>
    <xf numFmtId="0" fontId="24" fillId="0" borderId="21" xfId="0" applyFont="1" applyBorder="1" applyAlignment="1">
      <alignment horizontal="justify" vertical="center" wrapText="1"/>
    </xf>
    <xf numFmtId="0" fontId="56" fillId="31" borderId="2" xfId="0" applyFont="1" applyFill="1" applyBorder="1" applyAlignment="1">
      <alignment horizontal="center" vertical="center"/>
    </xf>
    <xf numFmtId="0" fontId="56" fillId="31" borderId="27" xfId="0" applyFont="1" applyFill="1" applyBorder="1" applyAlignment="1">
      <alignment horizontal="center" vertical="center"/>
    </xf>
    <xf numFmtId="0" fontId="56" fillId="31" borderId="3" xfId="0" applyFont="1" applyFill="1" applyBorder="1" applyAlignment="1">
      <alignment horizontal="center" vertical="center"/>
    </xf>
    <xf numFmtId="3" fontId="33" fillId="0" borderId="0" xfId="0" applyNumberFormat="1" applyFont="1" applyAlignment="1">
      <alignment horizontal="center"/>
    </xf>
    <xf numFmtId="3" fontId="31" fillId="0" borderId="0" xfId="0" applyNumberFormat="1" applyFont="1" applyAlignment="1">
      <alignment horizontal="center"/>
    </xf>
    <xf numFmtId="0" fontId="66" fillId="32" borderId="71" xfId="0" applyFont="1" applyFill="1" applyBorder="1" applyAlignment="1">
      <alignment vertical="center"/>
    </xf>
    <xf numFmtId="0" fontId="56" fillId="32" borderId="55" xfId="0" applyFont="1" applyFill="1" applyBorder="1" applyAlignment="1">
      <alignment horizontal="center" vertical="center"/>
    </xf>
    <xf numFmtId="0" fontId="62" fillId="32" borderId="72" xfId="0" applyFont="1" applyFill="1" applyBorder="1" applyAlignment="1">
      <alignment vertical="center"/>
    </xf>
    <xf numFmtId="0" fontId="31" fillId="0" borderId="73" xfId="0" applyFont="1" applyBorder="1"/>
    <xf numFmtId="0" fontId="28" fillId="0" borderId="0" xfId="0" applyFont="1" applyBorder="1" applyAlignment="1">
      <alignment horizontal="center"/>
    </xf>
    <xf numFmtId="0" fontId="24" fillId="0" borderId="74" xfId="0" applyFont="1" applyBorder="1"/>
    <xf numFmtId="0" fontId="31" fillId="0" borderId="32" xfId="0" applyFont="1" applyBorder="1"/>
    <xf numFmtId="0" fontId="31" fillId="0" borderId="6" xfId="0" applyFont="1" applyBorder="1"/>
    <xf numFmtId="3" fontId="31" fillId="0" borderId="21" xfId="0" applyNumberFormat="1" applyFont="1" applyBorder="1"/>
    <xf numFmtId="0" fontId="24" fillId="0" borderId="16" xfId="0" applyFont="1" applyBorder="1"/>
    <xf numFmtId="0" fontId="24" fillId="0" borderId="32" xfId="0" applyFont="1" applyBorder="1"/>
    <xf numFmtId="0" fontId="24" fillId="0" borderId="6" xfId="0" applyFont="1" applyBorder="1"/>
    <xf numFmtId="3" fontId="24" fillId="0" borderId="21" xfId="0" applyNumberFormat="1" applyFont="1" applyBorder="1"/>
    <xf numFmtId="0" fontId="24" fillId="0" borderId="17" xfId="0" applyFont="1" applyBorder="1"/>
    <xf numFmtId="0" fontId="62" fillId="10" borderId="29" xfId="0" applyFont="1" applyFill="1" applyBorder="1"/>
    <xf numFmtId="0" fontId="56" fillId="10" borderId="12" xfId="0" applyFont="1" applyFill="1" applyBorder="1" applyAlignment="1">
      <alignment horizontal="center" vertical="center"/>
    </xf>
    <xf numFmtId="3" fontId="56" fillId="10" borderId="12" xfId="0" applyNumberFormat="1" applyFont="1" applyFill="1" applyBorder="1" applyAlignment="1">
      <alignment horizontal="right" vertical="center"/>
    </xf>
    <xf numFmtId="0" fontId="62" fillId="10" borderId="13" xfId="0" applyFont="1" applyFill="1" applyBorder="1"/>
    <xf numFmtId="0" fontId="24" fillId="0" borderId="55" xfId="0" applyFont="1" applyBorder="1"/>
    <xf numFmtId="0" fontId="31" fillId="0" borderId="55" xfId="0" applyFont="1" applyBorder="1"/>
    <xf numFmtId="168" fontId="35" fillId="0" borderId="53" xfId="0" applyNumberFormat="1" applyFont="1" applyBorder="1" applyAlignment="1">
      <alignment horizontal="justify" vertical="center" wrapText="1"/>
    </xf>
    <xf numFmtId="0" fontId="24" fillId="0" borderId="70" xfId="0" applyFont="1" applyBorder="1" applyAlignment="1">
      <alignment horizontal="justify" vertical="center"/>
    </xf>
    <xf numFmtId="3" fontId="24" fillId="0" borderId="7" xfId="0" applyNumberFormat="1" applyFont="1" applyBorder="1" applyAlignment="1">
      <alignment vertical="center" wrapText="1"/>
    </xf>
    <xf numFmtId="3" fontId="24" fillId="0" borderId="19" xfId="0" applyNumberFormat="1" applyFont="1" applyBorder="1" applyAlignment="1">
      <alignment vertical="top" wrapText="1"/>
    </xf>
    <xf numFmtId="3" fontId="24" fillId="0" borderId="31" xfId="0" applyNumberFormat="1" applyFont="1" applyBorder="1" applyAlignment="1">
      <alignment horizontal="left" vertical="center" wrapText="1"/>
    </xf>
    <xf numFmtId="3" fontId="24" fillId="0" borderId="64" xfId="0" applyNumberFormat="1" applyFont="1" applyBorder="1" applyAlignment="1">
      <alignment horizontal="left" vertical="center" wrapText="1"/>
    </xf>
    <xf numFmtId="0" fontId="33" fillId="9" borderId="3" xfId="0" applyFont="1" applyFill="1" applyBorder="1" applyAlignment="1">
      <alignment horizontal="center" vertical="top" wrapText="1"/>
    </xf>
    <xf numFmtId="3" fontId="24" fillId="0" borderId="24" xfId="0" applyNumberFormat="1" applyFont="1" applyBorder="1" applyAlignment="1">
      <alignment horizontal="justify" vertical="top"/>
    </xf>
    <xf numFmtId="3" fontId="24" fillId="0" borderId="7" xfId="0" applyNumberFormat="1" applyFont="1" applyBorder="1" applyAlignment="1">
      <alignment horizontal="left" vertical="top" wrapText="1"/>
    </xf>
    <xf numFmtId="3" fontId="24" fillId="0" borderId="24" xfId="0" applyNumberFormat="1" applyFont="1" applyBorder="1" applyAlignment="1">
      <alignment vertical="center" wrapText="1"/>
    </xf>
    <xf numFmtId="3" fontId="24" fillId="0" borderId="19" xfId="0" applyNumberFormat="1" applyFont="1" applyBorder="1" applyAlignment="1">
      <alignment horizontal="left" vertical="center" wrapText="1"/>
    </xf>
    <xf numFmtId="0" fontId="24" fillId="0" borderId="70" xfId="0" applyFont="1" applyBorder="1" applyAlignment="1">
      <alignment horizontal="justify" vertical="center" wrapText="1"/>
    </xf>
    <xf numFmtId="3" fontId="26" fillId="8" borderId="17" xfId="0" applyNumberFormat="1" applyFont="1" applyFill="1" applyBorder="1" applyAlignment="1">
      <alignment horizontal="justify" vertical="center"/>
    </xf>
    <xf numFmtId="0" fontId="26" fillId="0" borderId="5" xfId="0" applyFont="1" applyBorder="1"/>
    <xf numFmtId="0" fontId="25" fillId="0" borderId="2" xfId="0" applyFont="1" applyBorder="1" applyAlignment="1">
      <alignment horizontal="center"/>
    </xf>
    <xf numFmtId="4" fontId="25" fillId="0" borderId="27" xfId="0" applyNumberFormat="1" applyFont="1" applyFill="1" applyBorder="1" applyAlignment="1">
      <alignment horizontal="center"/>
    </xf>
    <xf numFmtId="0" fontId="24" fillId="0" borderId="0" xfId="0" applyFont="1" applyAlignment="1">
      <alignment horizontal="center"/>
    </xf>
    <xf numFmtId="3" fontId="24" fillId="0" borderId="52" xfId="0" applyNumberFormat="1" applyFont="1" applyFill="1" applyBorder="1" applyAlignment="1" applyProtection="1">
      <alignment horizontal="center" vertical="center"/>
      <protection locked="0"/>
    </xf>
    <xf numFmtId="3" fontId="24" fillId="0" borderId="41" xfId="0" applyNumberFormat="1" applyFont="1" applyFill="1" applyBorder="1" applyAlignment="1">
      <alignment horizontal="center" vertical="center"/>
    </xf>
    <xf numFmtId="3" fontId="24" fillId="0" borderId="52" xfId="0" applyNumberFormat="1" applyFont="1" applyFill="1" applyBorder="1" applyAlignment="1">
      <alignment horizontal="center" vertical="center"/>
    </xf>
    <xf numFmtId="3" fontId="24" fillId="0" borderId="20" xfId="0" applyNumberFormat="1" applyFont="1" applyFill="1" applyBorder="1" applyAlignment="1">
      <alignment horizontal="center" vertical="center" wrapText="1"/>
    </xf>
    <xf numFmtId="0" fontId="24" fillId="0" borderId="52" xfId="0" applyFont="1" applyFill="1" applyBorder="1" applyAlignment="1" applyProtection="1">
      <alignment horizontal="center" vertical="center"/>
      <protection locked="0"/>
    </xf>
    <xf numFmtId="3" fontId="24" fillId="0" borderId="54" xfId="0" applyNumberFormat="1" applyFont="1" applyBorder="1" applyAlignment="1">
      <alignment horizontal="left" vertical="center" wrapText="1"/>
    </xf>
    <xf numFmtId="3" fontId="24" fillId="0" borderId="43" xfId="0" applyNumberFormat="1" applyFont="1" applyBorder="1" applyAlignment="1">
      <alignment vertical="center" wrapText="1"/>
    </xf>
    <xf numFmtId="3" fontId="24" fillId="0" borderId="64" xfId="0" applyNumberFormat="1" applyFont="1" applyBorder="1" applyAlignment="1">
      <alignment vertical="center" wrapText="1"/>
    </xf>
    <xf numFmtId="171" fontId="15" fillId="0" borderId="0" xfId="0" applyNumberFormat="1" applyFont="1" applyProtection="1"/>
    <xf numFmtId="171" fontId="20" fillId="17" borderId="0" xfId="0" applyNumberFormat="1" applyFont="1" applyFill="1" applyAlignment="1">
      <alignment horizontal="right" vertical="top"/>
    </xf>
    <xf numFmtId="0" fontId="22" fillId="33" borderId="0" xfId="0" applyFont="1" applyFill="1" applyAlignment="1">
      <alignment horizontal="left" vertical="top" wrapText="1"/>
    </xf>
    <xf numFmtId="0" fontId="25" fillId="0" borderId="0" xfId="0" applyFont="1" applyAlignment="1">
      <alignment horizontal="center"/>
    </xf>
    <xf numFmtId="0" fontId="27" fillId="0" borderId="0" xfId="0" applyFont="1" applyAlignment="1">
      <alignment horizontal="center"/>
    </xf>
    <xf numFmtId="9" fontId="27" fillId="0" borderId="0" xfId="0" applyNumberFormat="1" applyFont="1" applyBorder="1" applyAlignment="1">
      <alignment horizontal="center"/>
    </xf>
    <xf numFmtId="3" fontId="55" fillId="10" borderId="53" xfId="0" applyNumberFormat="1" applyFont="1" applyFill="1" applyBorder="1" applyAlignment="1">
      <alignment horizontal="center" vertical="center" wrapText="1"/>
    </xf>
    <xf numFmtId="3" fontId="25" fillId="24" borderId="5" xfId="0" applyNumberFormat="1" applyFont="1" applyFill="1" applyBorder="1" applyAlignment="1">
      <alignment horizontal="center" vertical="center" wrapText="1"/>
    </xf>
    <xf numFmtId="3" fontId="24" fillId="0" borderId="17" xfId="0" applyNumberFormat="1" applyFont="1" applyBorder="1" applyAlignment="1">
      <alignment horizontal="center" vertical="center" wrapText="1"/>
    </xf>
    <xf numFmtId="3" fontId="25" fillId="0" borderId="0" xfId="0" applyNumberFormat="1" applyFont="1" applyAlignment="1">
      <alignment horizontal="center"/>
    </xf>
    <xf numFmtId="0" fontId="24" fillId="25" borderId="4" xfId="0" applyFont="1" applyFill="1" applyBorder="1" applyAlignment="1">
      <alignment vertical="center"/>
    </xf>
    <xf numFmtId="0" fontId="25" fillId="34" borderId="4" xfId="0" applyFont="1" applyFill="1" applyBorder="1" applyAlignment="1">
      <alignment vertical="center"/>
    </xf>
    <xf numFmtId="3" fontId="25" fillId="0" borderId="1" xfId="0" applyNumberFormat="1" applyFont="1" applyBorder="1" applyAlignment="1">
      <alignment horizontal="center"/>
    </xf>
    <xf numFmtId="0" fontId="24" fillId="0" borderId="14" xfId="0" applyFont="1" applyBorder="1" applyAlignment="1">
      <alignment horizontal="center"/>
    </xf>
    <xf numFmtId="9" fontId="25" fillId="3" borderId="0" xfId="0" applyNumberFormat="1" applyFont="1" applyFill="1" applyBorder="1" applyAlignment="1">
      <alignment horizontal="center"/>
    </xf>
    <xf numFmtId="166" fontId="24" fillId="0" borderId="0" xfId="0" applyNumberFormat="1" applyFont="1" applyBorder="1" applyAlignment="1">
      <alignment horizontal="center" vertical="center"/>
    </xf>
    <xf numFmtId="166" fontId="25" fillId="8" borderId="6" xfId="0" applyNumberFormat="1" applyFont="1" applyFill="1" applyBorder="1" applyAlignment="1">
      <alignment horizontal="center"/>
    </xf>
    <xf numFmtId="166" fontId="24" fillId="0" borderId="0" xfId="0" applyNumberFormat="1" applyFont="1" applyBorder="1" applyAlignment="1">
      <alignment horizontal="center"/>
    </xf>
    <xf numFmtId="166" fontId="24" fillId="0" borderId="18" xfId="0" applyNumberFormat="1" applyFont="1" applyBorder="1" applyAlignment="1">
      <alignment horizontal="center"/>
    </xf>
    <xf numFmtId="166" fontId="24" fillId="0" borderId="26" xfId="0" applyNumberFormat="1" applyFont="1" applyBorder="1" applyAlignment="1">
      <alignment horizontal="center"/>
    </xf>
    <xf numFmtId="166" fontId="25" fillId="8" borderId="18" xfId="0" applyNumberFormat="1" applyFont="1" applyFill="1" applyBorder="1" applyAlignment="1">
      <alignment horizontal="center"/>
    </xf>
    <xf numFmtId="166" fontId="24" fillId="0" borderId="22" xfId="0" applyNumberFormat="1" applyFont="1" applyBorder="1" applyAlignment="1">
      <alignment horizontal="center"/>
    </xf>
    <xf numFmtId="166" fontId="24" fillId="0" borderId="18" xfId="0" applyNumberFormat="1" applyFont="1" applyBorder="1" applyAlignment="1">
      <alignment horizontal="center" vertical="center"/>
    </xf>
    <xf numFmtId="166" fontId="25" fillId="0" borderId="0" xfId="0" applyNumberFormat="1" applyFont="1" applyBorder="1" applyAlignment="1">
      <alignment horizontal="center"/>
    </xf>
    <xf numFmtId="166" fontId="56" fillId="10" borderId="27" xfId="0" applyNumberFormat="1" applyFont="1" applyFill="1" applyBorder="1" applyAlignment="1">
      <alignment horizontal="center" vertical="center"/>
    </xf>
    <xf numFmtId="0" fontId="56" fillId="10" borderId="50" xfId="0" applyFont="1" applyFill="1" applyBorder="1" applyAlignment="1">
      <alignment horizontal="center"/>
    </xf>
    <xf numFmtId="0" fontId="56" fillId="10" borderId="58" xfId="0" applyFont="1" applyFill="1" applyBorder="1" applyAlignment="1">
      <alignment horizontal="center"/>
    </xf>
    <xf numFmtId="166" fontId="25" fillId="3" borderId="0" xfId="0" applyNumberFormat="1" applyFont="1" applyFill="1" applyBorder="1" applyAlignment="1">
      <alignment horizontal="center"/>
    </xf>
    <xf numFmtId="10" fontId="25" fillId="0" borderId="0" xfId="0" applyNumberFormat="1" applyFont="1" applyBorder="1" applyAlignment="1">
      <alignment horizontal="center"/>
    </xf>
    <xf numFmtId="10" fontId="24" fillId="0" borderId="0" xfId="0" applyNumberFormat="1" applyFont="1" applyBorder="1" applyAlignment="1">
      <alignment horizontal="center"/>
    </xf>
    <xf numFmtId="166" fontId="24" fillId="8" borderId="6" xfId="0" applyNumberFormat="1" applyFont="1" applyFill="1" applyBorder="1" applyAlignment="1">
      <alignment horizontal="center"/>
    </xf>
    <xf numFmtId="10" fontId="25" fillId="8" borderId="6" xfId="0" applyNumberFormat="1" applyFont="1" applyFill="1" applyBorder="1" applyAlignment="1">
      <alignment horizontal="center"/>
    </xf>
    <xf numFmtId="166" fontId="24" fillId="8" borderId="18" xfId="0" applyNumberFormat="1" applyFont="1" applyFill="1" applyBorder="1" applyAlignment="1">
      <alignment horizontal="center"/>
    </xf>
    <xf numFmtId="166" fontId="25" fillId="8" borderId="6" xfId="11" applyNumberFormat="1" applyFont="1" applyFill="1" applyBorder="1" applyAlignment="1">
      <alignment horizontal="center"/>
    </xf>
    <xf numFmtId="0" fontId="24" fillId="0" borderId="26" xfId="0" applyFont="1" applyBorder="1" applyAlignment="1">
      <alignment horizontal="center"/>
    </xf>
    <xf numFmtId="0" fontId="32" fillId="0" borderId="0" xfId="0" applyFont="1" applyAlignment="1">
      <alignment horizontal="center"/>
    </xf>
    <xf numFmtId="49" fontId="56" fillId="10" borderId="58" xfId="0" applyNumberFormat="1" applyFont="1" applyFill="1" applyBorder="1" applyAlignment="1">
      <alignment horizontal="center"/>
    </xf>
    <xf numFmtId="166" fontId="25" fillId="3" borderId="22" xfId="0" applyNumberFormat="1" applyFont="1" applyFill="1" applyBorder="1" applyAlignment="1">
      <alignment horizontal="center"/>
    </xf>
    <xf numFmtId="10" fontId="25" fillId="0" borderId="0" xfId="11" applyNumberFormat="1" applyFont="1" applyBorder="1" applyAlignment="1">
      <alignment horizontal="center"/>
    </xf>
    <xf numFmtId="166" fontId="24" fillId="0" borderId="0" xfId="11" applyNumberFormat="1" applyFont="1" applyBorder="1" applyAlignment="1">
      <alignment horizontal="center" vertical="center"/>
    </xf>
    <xf numFmtId="166" fontId="24" fillId="0" borderId="0" xfId="11" applyNumberFormat="1" applyFont="1" applyBorder="1" applyAlignment="1">
      <alignment horizontal="center"/>
    </xf>
    <xf numFmtId="166" fontId="24" fillId="0" borderId="18" xfId="11" applyNumberFormat="1" applyFont="1" applyBorder="1" applyAlignment="1">
      <alignment horizontal="center"/>
    </xf>
    <xf numFmtId="166" fontId="24" fillId="0" borderId="26" xfId="11" applyNumberFormat="1" applyFont="1" applyBorder="1" applyAlignment="1">
      <alignment horizontal="center"/>
    </xf>
    <xf numFmtId="166" fontId="25" fillId="8" borderId="18" xfId="11" applyNumberFormat="1" applyFont="1" applyFill="1" applyBorder="1" applyAlignment="1">
      <alignment horizontal="center"/>
    </xf>
    <xf numFmtId="166" fontId="24" fillId="0" borderId="22" xfId="11" applyNumberFormat="1" applyFont="1" applyBorder="1" applyAlignment="1">
      <alignment horizontal="center"/>
    </xf>
    <xf numFmtId="166" fontId="25" fillId="29" borderId="6" xfId="11" applyNumberFormat="1" applyFont="1" applyFill="1" applyBorder="1" applyAlignment="1">
      <alignment horizontal="center" vertical="center"/>
    </xf>
    <xf numFmtId="0" fontId="56" fillId="10" borderId="51" xfId="0" applyFont="1" applyFill="1" applyBorder="1" applyAlignment="1">
      <alignment horizontal="center"/>
    </xf>
    <xf numFmtId="0" fontId="56" fillId="10" borderId="59" xfId="0" applyFont="1" applyFill="1" applyBorder="1" applyAlignment="1">
      <alignment horizontal="center"/>
    </xf>
    <xf numFmtId="0" fontId="32" fillId="0" borderId="7" xfId="0" applyFont="1" applyBorder="1" applyAlignment="1">
      <alignment horizontal="center"/>
    </xf>
    <xf numFmtId="166" fontId="25" fillId="3" borderId="24" xfId="0" applyNumberFormat="1" applyFont="1" applyFill="1" applyBorder="1" applyAlignment="1">
      <alignment horizontal="center"/>
    </xf>
    <xf numFmtId="10" fontId="25" fillId="0" borderId="7" xfId="11" applyNumberFormat="1" applyFont="1" applyBorder="1" applyAlignment="1">
      <alignment horizontal="center"/>
    </xf>
    <xf numFmtId="166" fontId="24" fillId="0" borderId="7" xfId="11" applyNumberFormat="1" applyFont="1" applyBorder="1" applyAlignment="1">
      <alignment horizontal="center"/>
    </xf>
    <xf numFmtId="166" fontId="25" fillId="8" borderId="16" xfId="11" applyNumberFormat="1" applyFont="1" applyFill="1" applyBorder="1" applyAlignment="1">
      <alignment horizontal="center"/>
    </xf>
    <xf numFmtId="166" fontId="24" fillId="0" borderId="19" xfId="11" applyNumberFormat="1" applyFont="1" applyBorder="1" applyAlignment="1">
      <alignment horizontal="center"/>
    </xf>
    <xf numFmtId="166" fontId="24" fillId="0" borderId="30" xfId="11" applyNumberFormat="1" applyFont="1" applyBorder="1" applyAlignment="1">
      <alignment horizontal="center"/>
    </xf>
    <xf numFmtId="166" fontId="25" fillId="8" borderId="19" xfId="11" applyNumberFormat="1" applyFont="1" applyFill="1" applyBorder="1" applyAlignment="1">
      <alignment horizontal="center"/>
    </xf>
    <xf numFmtId="166" fontId="24" fillId="0" borderId="24" xfId="11" applyNumberFormat="1" applyFont="1" applyBorder="1" applyAlignment="1">
      <alignment horizontal="center"/>
    </xf>
    <xf numFmtId="166" fontId="24" fillId="0" borderId="19" xfId="11" applyNumberFormat="1" applyFont="1" applyBorder="1" applyAlignment="1">
      <alignment horizontal="center" vertical="center"/>
    </xf>
    <xf numFmtId="166" fontId="27" fillId="0" borderId="7" xfId="0" applyNumberFormat="1" applyFont="1" applyBorder="1" applyAlignment="1">
      <alignment horizontal="center"/>
    </xf>
    <xf numFmtId="166" fontId="56" fillId="10" borderId="3" xfId="0" applyNumberFormat="1" applyFont="1" applyFill="1" applyBorder="1" applyAlignment="1">
      <alignment horizontal="center" vertical="center"/>
    </xf>
    <xf numFmtId="0" fontId="24" fillId="0" borderId="30" xfId="0" applyFont="1" applyBorder="1" applyAlignment="1">
      <alignment horizontal="center"/>
    </xf>
    <xf numFmtId="0" fontId="24" fillId="0" borderId="60" xfId="0" applyFont="1" applyBorder="1" applyAlignment="1">
      <alignment horizontal="center"/>
    </xf>
    <xf numFmtId="0" fontId="32" fillId="0" borderId="40" xfId="0" applyFont="1" applyBorder="1" applyAlignment="1">
      <alignment horizontal="center"/>
    </xf>
    <xf numFmtId="4" fontId="25" fillId="0" borderId="1" xfId="0" applyNumberFormat="1" applyFont="1" applyBorder="1" applyAlignment="1">
      <alignment horizontal="right"/>
    </xf>
    <xf numFmtId="4" fontId="25" fillId="0" borderId="0" xfId="0" applyNumberFormat="1" applyFont="1" applyAlignment="1">
      <alignment horizontal="right"/>
    </xf>
    <xf numFmtId="4" fontId="24" fillId="0" borderId="0" xfId="0" applyNumberFormat="1" applyFont="1" applyAlignment="1">
      <alignment horizontal="right"/>
    </xf>
    <xf numFmtId="4" fontId="24" fillId="0" borderId="14" xfId="0" applyNumberFormat="1" applyFont="1" applyBorder="1" applyAlignment="1">
      <alignment horizontal="right"/>
    </xf>
    <xf numFmtId="4" fontId="25" fillId="3" borderId="0" xfId="0" applyNumberFormat="1" applyFont="1" applyFill="1" applyBorder="1" applyAlignment="1">
      <alignment horizontal="right"/>
    </xf>
    <xf numFmtId="4" fontId="25" fillId="0" borderId="0" xfId="0" applyNumberFormat="1" applyFont="1" applyBorder="1" applyAlignment="1">
      <alignment horizontal="right"/>
    </xf>
    <xf numFmtId="4" fontId="25" fillId="3" borderId="0" xfId="0" applyNumberFormat="1" applyFont="1" applyFill="1" applyBorder="1" applyAlignment="1">
      <alignment horizontal="right" vertical="center"/>
    </xf>
    <xf numFmtId="4" fontId="24" fillId="0" borderId="18" xfId="0" applyNumberFormat="1" applyFont="1" applyBorder="1" applyAlignment="1">
      <alignment horizontal="right"/>
    </xf>
    <xf numFmtId="4" fontId="24" fillId="0" borderId="26" xfId="0" applyNumberFormat="1" applyFont="1" applyBorder="1" applyAlignment="1">
      <alignment horizontal="right"/>
    </xf>
    <xf numFmtId="4" fontId="32" fillId="0" borderId="1" xfId="0" applyNumberFormat="1" applyFont="1" applyBorder="1" applyAlignment="1">
      <alignment horizontal="right"/>
    </xf>
    <xf numFmtId="4" fontId="32" fillId="0" borderId="14" xfId="0" applyNumberFormat="1" applyFont="1" applyBorder="1" applyAlignment="1">
      <alignment horizontal="right"/>
    </xf>
    <xf numFmtId="4" fontId="24" fillId="0" borderId="60" xfId="0" applyNumberFormat="1" applyFont="1" applyBorder="1" applyAlignment="1">
      <alignment horizontal="right"/>
    </xf>
    <xf numFmtId="4" fontId="32" fillId="0" borderId="40" xfId="0" applyNumberFormat="1" applyFont="1" applyBorder="1" applyAlignment="1">
      <alignment horizontal="right"/>
    </xf>
    <xf numFmtId="9" fontId="55" fillId="10" borderId="50" xfId="0" applyNumberFormat="1" applyFont="1" applyFill="1" applyBorder="1" applyAlignment="1">
      <alignment horizontal="center" vertical="center"/>
    </xf>
    <xf numFmtId="0" fontId="27" fillId="0" borderId="14" xfId="0" applyFont="1" applyBorder="1" applyAlignment="1">
      <alignment horizontal="center"/>
    </xf>
    <xf numFmtId="9" fontId="26" fillId="9" borderId="6" xfId="0" applyNumberFormat="1" applyFont="1" applyFill="1" applyBorder="1" applyAlignment="1">
      <alignment horizontal="center" vertical="center"/>
    </xf>
    <xf numFmtId="9" fontId="26" fillId="13" borderId="22" xfId="0" applyNumberFormat="1" applyFont="1" applyFill="1" applyBorder="1" applyAlignment="1">
      <alignment horizontal="center" vertical="center"/>
    </xf>
    <xf numFmtId="166" fontId="27" fillId="25" borderId="0" xfId="0" applyNumberFormat="1" applyFont="1" applyFill="1" applyBorder="1" applyAlignment="1">
      <alignment horizontal="center"/>
    </xf>
    <xf numFmtId="166" fontId="26" fillId="34" borderId="0" xfId="0" applyNumberFormat="1" applyFont="1" applyFill="1" applyBorder="1" applyAlignment="1">
      <alignment horizontal="center"/>
    </xf>
    <xf numFmtId="9" fontId="26" fillId="0" borderId="0" xfId="4" applyNumberFormat="1" applyFont="1" applyBorder="1" applyAlignment="1">
      <alignment horizontal="center"/>
    </xf>
    <xf numFmtId="166" fontId="26" fillId="8" borderId="18" xfId="0" applyNumberFormat="1" applyFont="1" applyFill="1" applyBorder="1" applyAlignment="1">
      <alignment horizontal="center"/>
    </xf>
    <xf numFmtId="166" fontId="27" fillId="0" borderId="6" xfId="0" applyNumberFormat="1" applyFont="1" applyBorder="1" applyAlignment="1">
      <alignment horizontal="center"/>
    </xf>
    <xf numFmtId="166" fontId="27" fillId="8" borderId="6" xfId="0" applyNumberFormat="1" applyFont="1" applyFill="1" applyBorder="1" applyAlignment="1">
      <alignment horizontal="center"/>
    </xf>
    <xf numFmtId="166" fontId="55" fillId="10" borderId="27" xfId="0" applyNumberFormat="1" applyFont="1" applyFill="1" applyBorder="1" applyAlignment="1">
      <alignment horizontal="center" vertical="center"/>
    </xf>
    <xf numFmtId="9" fontId="27" fillId="0" borderId="55" xfId="0" applyNumberFormat="1" applyFont="1" applyBorder="1" applyAlignment="1">
      <alignment horizontal="center"/>
    </xf>
    <xf numFmtId="4" fontId="32" fillId="0" borderId="0" xfId="0" applyNumberFormat="1" applyFont="1" applyAlignment="1">
      <alignment horizontal="center"/>
    </xf>
    <xf numFmtId="9" fontId="32" fillId="0" borderId="0" xfId="11" applyFont="1" applyAlignment="1">
      <alignment horizontal="center"/>
    </xf>
    <xf numFmtId="9" fontId="27" fillId="0" borderId="0" xfId="11" applyFont="1" applyAlignment="1">
      <alignment horizontal="center"/>
    </xf>
    <xf numFmtId="10" fontId="26" fillId="3" borderId="0" xfId="0" applyNumberFormat="1" applyFont="1" applyFill="1" applyBorder="1" applyAlignment="1">
      <alignment horizontal="center"/>
    </xf>
    <xf numFmtId="10" fontId="26" fillId="0" borderId="0" xfId="0" applyNumberFormat="1" applyFont="1" applyBorder="1" applyAlignment="1">
      <alignment horizontal="center"/>
    </xf>
    <xf numFmtId="166" fontId="27" fillId="0" borderId="26" xfId="0" applyNumberFormat="1" applyFont="1" applyBorder="1" applyAlignment="1">
      <alignment horizontal="center"/>
    </xf>
    <xf numFmtId="3" fontId="27" fillId="0" borderId="55" xfId="0" applyNumberFormat="1" applyFont="1" applyBorder="1" applyAlignment="1">
      <alignment horizontal="center"/>
    </xf>
    <xf numFmtId="9" fontId="26" fillId="3" borderId="0" xfId="0" applyNumberFormat="1" applyFont="1" applyFill="1" applyBorder="1" applyAlignment="1">
      <alignment horizontal="center"/>
    </xf>
    <xf numFmtId="0" fontId="27" fillId="0" borderId="26" xfId="0" applyFont="1" applyBorder="1" applyAlignment="1">
      <alignment horizontal="center"/>
    </xf>
    <xf numFmtId="166" fontId="26" fillId="13" borderId="22" xfId="0" applyNumberFormat="1" applyFont="1" applyFill="1" applyBorder="1" applyAlignment="1">
      <alignment horizontal="center" vertical="center"/>
    </xf>
    <xf numFmtId="10" fontId="27" fillId="0" borderId="0" xfId="0" applyNumberFormat="1" applyFont="1" applyBorder="1" applyAlignment="1">
      <alignment horizontal="center"/>
    </xf>
    <xf numFmtId="166" fontId="26" fillId="8" borderId="6" xfId="11" applyNumberFormat="1" applyFont="1" applyFill="1" applyBorder="1" applyAlignment="1">
      <alignment horizontal="center"/>
    </xf>
    <xf numFmtId="166" fontId="27" fillId="0" borderId="0" xfId="11" applyNumberFormat="1" applyFont="1" applyBorder="1" applyAlignment="1">
      <alignment horizontal="center"/>
    </xf>
    <xf numFmtId="0" fontId="32" fillId="0" borderId="10" xfId="0" applyFont="1" applyBorder="1" applyAlignment="1">
      <alignment horizontal="center"/>
    </xf>
    <xf numFmtId="166" fontId="26" fillId="13" borderId="24" xfId="0" applyNumberFormat="1" applyFont="1" applyFill="1" applyBorder="1" applyAlignment="1">
      <alignment horizontal="center" vertical="center"/>
    </xf>
    <xf numFmtId="10" fontId="27" fillId="0" borderId="7" xfId="0" applyNumberFormat="1" applyFont="1" applyBorder="1" applyAlignment="1">
      <alignment horizontal="center"/>
    </xf>
    <xf numFmtId="166" fontId="27" fillId="25" borderId="7" xfId="0" applyNumberFormat="1" applyFont="1" applyFill="1" applyBorder="1" applyAlignment="1">
      <alignment horizontal="center"/>
    </xf>
    <xf numFmtId="166" fontId="26" fillId="34" borderId="7" xfId="0" applyNumberFormat="1" applyFont="1" applyFill="1" applyBorder="1" applyAlignment="1">
      <alignment horizontal="center"/>
    </xf>
    <xf numFmtId="166" fontId="27" fillId="0" borderId="19" xfId="0" applyNumberFormat="1" applyFont="1" applyBorder="1" applyAlignment="1">
      <alignment horizontal="center"/>
    </xf>
    <xf numFmtId="166" fontId="26" fillId="8" borderId="19" xfId="0" applyNumberFormat="1" applyFont="1" applyFill="1" applyBorder="1" applyAlignment="1">
      <alignment horizontal="center"/>
    </xf>
    <xf numFmtId="166" fontId="27" fillId="0" borderId="16" xfId="0" applyNumberFormat="1" applyFont="1" applyBorder="1" applyAlignment="1">
      <alignment horizontal="center"/>
    </xf>
    <xf numFmtId="166" fontId="27" fillId="0" borderId="7" xfId="11" applyNumberFormat="1" applyFont="1" applyBorder="1" applyAlignment="1">
      <alignment horizontal="center"/>
    </xf>
    <xf numFmtId="166" fontId="27" fillId="0" borderId="24" xfId="0" applyNumberFormat="1" applyFont="1" applyBorder="1" applyAlignment="1">
      <alignment horizontal="center"/>
    </xf>
    <xf numFmtId="166" fontId="55" fillId="10" borderId="3" xfId="0" applyNumberFormat="1" applyFont="1" applyFill="1" applyBorder="1" applyAlignment="1">
      <alignment horizontal="center" vertical="center"/>
    </xf>
    <xf numFmtId="0" fontId="27" fillId="0" borderId="30" xfId="0" applyFont="1" applyBorder="1" applyAlignment="1">
      <alignment horizontal="center"/>
    </xf>
    <xf numFmtId="0" fontId="27" fillId="0" borderId="55" xfId="0" applyFont="1" applyBorder="1" applyAlignment="1">
      <alignment horizontal="center"/>
    </xf>
    <xf numFmtId="3" fontId="32" fillId="0" borderId="0" xfId="0" applyNumberFormat="1" applyFont="1" applyAlignment="1">
      <alignment horizontal="right"/>
    </xf>
    <xf numFmtId="3" fontId="27" fillId="0" borderId="0" xfId="0" applyNumberFormat="1" applyFont="1" applyAlignment="1">
      <alignment horizontal="right"/>
    </xf>
    <xf numFmtId="0" fontId="27" fillId="0" borderId="14" xfId="0" applyFont="1" applyBorder="1" applyAlignment="1">
      <alignment horizontal="right"/>
    </xf>
    <xf numFmtId="4" fontId="26" fillId="3" borderId="0" xfId="0" applyNumberFormat="1" applyFont="1" applyFill="1" applyBorder="1" applyAlignment="1">
      <alignment horizontal="right"/>
    </xf>
    <xf numFmtId="4" fontId="26" fillId="0" borderId="0" xfId="0" applyNumberFormat="1" applyFont="1" applyBorder="1" applyAlignment="1">
      <alignment horizontal="right"/>
    </xf>
    <xf numFmtId="4" fontId="27" fillId="25" borderId="0" xfId="0" applyNumberFormat="1" applyFont="1" applyFill="1" applyBorder="1" applyAlignment="1">
      <alignment horizontal="right"/>
    </xf>
    <xf numFmtId="4" fontId="26" fillId="34" borderId="0" xfId="0" applyNumberFormat="1" applyFont="1" applyFill="1" applyBorder="1" applyAlignment="1">
      <alignment horizontal="right"/>
    </xf>
    <xf numFmtId="4" fontId="27" fillId="0" borderId="18" xfId="0" applyNumberFormat="1" applyFont="1" applyBorder="1" applyAlignment="1">
      <alignment horizontal="right"/>
    </xf>
    <xf numFmtId="4" fontId="26" fillId="0" borderId="6" xfId="0" applyNumberFormat="1" applyFont="1" applyBorder="1" applyAlignment="1">
      <alignment horizontal="right"/>
    </xf>
    <xf numFmtId="4" fontId="27" fillId="0" borderId="6" xfId="0" applyNumberFormat="1" applyFont="1" applyBorder="1" applyAlignment="1">
      <alignment horizontal="right"/>
    </xf>
    <xf numFmtId="3" fontId="27" fillId="0" borderId="26" xfId="0" applyNumberFormat="1" applyFont="1" applyBorder="1" applyAlignment="1">
      <alignment horizontal="right"/>
    </xf>
    <xf numFmtId="3" fontId="27" fillId="0" borderId="55" xfId="0" applyNumberFormat="1" applyFont="1" applyBorder="1" applyAlignment="1">
      <alignment horizontal="right"/>
    </xf>
    <xf numFmtId="0" fontId="32" fillId="0" borderId="0" xfId="0" applyFont="1" applyAlignment="1">
      <alignment horizontal="right"/>
    </xf>
    <xf numFmtId="0" fontId="32" fillId="0" borderId="1" xfId="0" applyFont="1" applyBorder="1" applyAlignment="1">
      <alignment horizontal="right"/>
    </xf>
    <xf numFmtId="0" fontId="32" fillId="0" borderId="14" xfId="0" applyFont="1" applyBorder="1" applyAlignment="1">
      <alignment horizontal="right"/>
    </xf>
    <xf numFmtId="4" fontId="56" fillId="10" borderId="50" xfId="0" applyNumberFormat="1" applyFont="1" applyFill="1" applyBorder="1" applyAlignment="1">
      <alignment horizontal="center" vertical="center"/>
    </xf>
    <xf numFmtId="4" fontId="56" fillId="10" borderId="58" xfId="0" applyNumberFormat="1" applyFont="1" applyFill="1" applyBorder="1" applyAlignment="1">
      <alignment horizontal="center"/>
    </xf>
    <xf numFmtId="0" fontId="67" fillId="0" borderId="0" xfId="0" applyFont="1" applyAlignment="1">
      <alignment horizontal="left" vertical="top" wrapText="1"/>
    </xf>
    <xf numFmtId="0" fontId="67" fillId="0" borderId="0" xfId="0" applyFont="1" applyAlignment="1">
      <alignment vertical="top" wrapText="1"/>
    </xf>
    <xf numFmtId="0" fontId="67" fillId="0" borderId="0" xfId="0" applyFont="1" applyAlignment="1">
      <alignment horizontal="center" vertical="top" wrapText="1"/>
    </xf>
    <xf numFmtId="0" fontId="67" fillId="17" borderId="0" xfId="0" applyFont="1" applyFill="1" applyAlignment="1">
      <alignment horizontal="center" vertical="top" wrapText="1"/>
    </xf>
    <xf numFmtId="0" fontId="67" fillId="25" borderId="0" xfId="0" applyFont="1" applyFill="1" applyAlignment="1">
      <alignment horizontal="center" vertical="top" wrapText="1"/>
    </xf>
    <xf numFmtId="0" fontId="68" fillId="0" borderId="0" xfId="0" applyFont="1"/>
    <xf numFmtId="0" fontId="69" fillId="0" borderId="0" xfId="0" applyFont="1" applyAlignment="1">
      <alignment vertical="top" wrapText="1"/>
    </xf>
    <xf numFmtId="173" fontId="69" fillId="0" borderId="0" xfId="0" applyNumberFormat="1" applyFont="1" applyAlignment="1">
      <alignment vertical="top"/>
    </xf>
    <xf numFmtId="174" fontId="69" fillId="0" borderId="0" xfId="0" applyNumberFormat="1" applyFont="1" applyAlignment="1">
      <alignment horizontal="right" vertical="top"/>
    </xf>
    <xf numFmtId="173" fontId="69" fillId="0" borderId="0" xfId="0" applyNumberFormat="1" applyFont="1" applyAlignment="1">
      <alignment horizontal="right" vertical="top"/>
    </xf>
    <xf numFmtId="175" fontId="69" fillId="17" borderId="0" xfId="0" applyNumberFormat="1" applyFont="1" applyFill="1" applyAlignment="1">
      <alignment horizontal="right" vertical="top"/>
    </xf>
    <xf numFmtId="175" fontId="69" fillId="25" borderId="0" xfId="0" applyNumberFormat="1" applyFont="1" applyFill="1" applyAlignment="1">
      <alignment horizontal="right" vertical="top"/>
    </xf>
    <xf numFmtId="4" fontId="69" fillId="0" borderId="0" xfId="0" applyNumberFormat="1" applyFont="1" applyAlignment="1">
      <alignment vertical="top"/>
    </xf>
    <xf numFmtId="0" fontId="70" fillId="0" borderId="0" xfId="0" applyFont="1" applyAlignment="1">
      <alignment vertical="top" wrapText="1"/>
    </xf>
    <xf numFmtId="0" fontId="71" fillId="0" borderId="0" xfId="0" applyFont="1" applyAlignment="1">
      <alignment horizontal="left" vertical="top" wrapText="1"/>
    </xf>
    <xf numFmtId="0" fontId="72" fillId="0" borderId="0" xfId="0" applyFont="1" applyAlignment="1">
      <alignment vertical="top" wrapText="1"/>
    </xf>
    <xf numFmtId="173" fontId="69" fillId="17" borderId="0" xfId="0" applyNumberFormat="1" applyFont="1" applyFill="1" applyAlignment="1">
      <alignment horizontal="right" vertical="top"/>
    </xf>
    <xf numFmtId="173" fontId="69" fillId="25" borderId="0" xfId="0" applyNumberFormat="1" applyFont="1" applyFill="1" applyAlignment="1">
      <alignment horizontal="right" vertical="top"/>
    </xf>
    <xf numFmtId="0" fontId="73" fillId="0" borderId="0" xfId="0" applyFont="1" applyAlignment="1">
      <alignment vertical="top" wrapText="1"/>
    </xf>
    <xf numFmtId="0" fontId="73" fillId="25" borderId="0" xfId="0" applyFont="1" applyFill="1" applyAlignment="1">
      <alignment vertical="top" wrapText="1"/>
    </xf>
    <xf numFmtId="0" fontId="68" fillId="17" borderId="0" xfId="0" applyFont="1" applyFill="1"/>
    <xf numFmtId="0" fontId="68" fillId="25" borderId="0" xfId="0" applyFont="1" applyFill="1"/>
    <xf numFmtId="0" fontId="70" fillId="25" borderId="0" xfId="0" applyFont="1" applyFill="1" applyAlignment="1">
      <alignment vertical="top" wrapText="1"/>
    </xf>
    <xf numFmtId="0" fontId="32" fillId="0" borderId="0" xfId="0" applyFont="1" applyAlignment="1">
      <alignment horizontal="center" vertical="center"/>
    </xf>
    <xf numFmtId="0" fontId="33" fillId="0" borderId="0" xfId="0" applyFont="1" applyAlignment="1">
      <alignment horizontal="center" vertical="center"/>
    </xf>
    <xf numFmtId="4" fontId="33" fillId="0" borderId="0" xfId="0" applyNumberFormat="1" applyFont="1" applyAlignment="1">
      <alignment horizontal="center" vertical="center"/>
    </xf>
    <xf numFmtId="4" fontId="32" fillId="17" borderId="0" xfId="0" applyNumberFormat="1" applyFont="1" applyFill="1"/>
    <xf numFmtId="0" fontId="25" fillId="0" borderId="45" xfId="0" applyFont="1" applyBorder="1"/>
    <xf numFmtId="166" fontId="24" fillId="0" borderId="60" xfId="0" applyNumberFormat="1" applyFont="1" applyBorder="1" applyAlignment="1">
      <alignment horizontal="center"/>
    </xf>
    <xf numFmtId="166" fontId="25" fillId="0" borderId="60" xfId="0" applyNumberFormat="1" applyFont="1" applyBorder="1" applyAlignment="1">
      <alignment horizontal="center"/>
    </xf>
    <xf numFmtId="166" fontId="24" fillId="0" borderId="28" xfId="0" applyNumberFormat="1" applyFont="1" applyBorder="1" applyAlignment="1">
      <alignment horizontal="center"/>
    </xf>
    <xf numFmtId="166" fontId="24" fillId="0" borderId="7" xfId="0" applyNumberFormat="1" applyFont="1" applyBorder="1" applyAlignment="1">
      <alignment horizontal="center"/>
    </xf>
    <xf numFmtId="0" fontId="56" fillId="10" borderId="49" xfId="0" applyFont="1" applyFill="1" applyBorder="1" applyAlignment="1">
      <alignment horizontal="center"/>
    </xf>
    <xf numFmtId="166" fontId="56" fillId="10" borderId="50" xfId="0" applyNumberFormat="1" applyFont="1" applyFill="1" applyBorder="1" applyAlignment="1">
      <alignment horizontal="center"/>
    </xf>
    <xf numFmtId="4" fontId="56" fillId="10" borderId="50" xfId="0" applyNumberFormat="1" applyFont="1" applyFill="1" applyBorder="1" applyAlignment="1">
      <alignment horizontal="center" wrapText="1"/>
    </xf>
    <xf numFmtId="166" fontId="56" fillId="10" borderId="51" xfId="0" applyNumberFormat="1" applyFont="1" applyFill="1" applyBorder="1" applyAlignment="1">
      <alignment horizontal="center"/>
    </xf>
    <xf numFmtId="166" fontId="56" fillId="10" borderId="53" xfId="0" applyNumberFormat="1" applyFont="1" applyFill="1" applyBorder="1" applyAlignment="1">
      <alignment horizontal="center"/>
    </xf>
    <xf numFmtId="4" fontId="56" fillId="10" borderId="53" xfId="0" applyNumberFormat="1" applyFont="1" applyFill="1" applyBorder="1" applyAlignment="1">
      <alignment horizontal="center" wrapText="1"/>
    </xf>
    <xf numFmtId="166" fontId="56" fillId="10" borderId="54" xfId="0" applyNumberFormat="1" applyFont="1" applyFill="1" applyBorder="1" applyAlignment="1">
      <alignment horizontal="center"/>
    </xf>
    <xf numFmtId="0" fontId="62" fillId="10" borderId="57" xfId="0" applyFont="1" applyFill="1" applyBorder="1"/>
    <xf numFmtId="166" fontId="62" fillId="10" borderId="58" xfId="0" applyNumberFormat="1" applyFont="1" applyFill="1" applyBorder="1" applyAlignment="1">
      <alignment horizontal="center"/>
    </xf>
    <xf numFmtId="166" fontId="56" fillId="10" borderId="58" xfId="0" applyNumberFormat="1" applyFont="1" applyFill="1" applyBorder="1" applyAlignment="1">
      <alignment horizontal="center"/>
    </xf>
    <xf numFmtId="166" fontId="56" fillId="10" borderId="59" xfId="0" applyNumberFormat="1" applyFont="1" applyFill="1" applyBorder="1" applyAlignment="1">
      <alignment horizontal="center"/>
    </xf>
    <xf numFmtId="3" fontId="24" fillId="0" borderId="8" xfId="0" applyNumberFormat="1" applyFont="1" applyFill="1" applyBorder="1"/>
    <xf numFmtId="4" fontId="24" fillId="0" borderId="14" xfId="0" applyNumberFormat="1" applyFont="1" applyFill="1" applyBorder="1"/>
    <xf numFmtId="166" fontId="24" fillId="0" borderId="14" xfId="0" applyNumberFormat="1" applyFont="1" applyFill="1" applyBorder="1" applyAlignment="1">
      <alignment horizontal="center"/>
    </xf>
    <xf numFmtId="166" fontId="24" fillId="0" borderId="10" xfId="0" applyNumberFormat="1" applyFont="1" applyFill="1" applyBorder="1" applyAlignment="1">
      <alignment horizontal="center"/>
    </xf>
    <xf numFmtId="0" fontId="25" fillId="9" borderId="5" xfId="0" applyFont="1" applyFill="1" applyBorder="1" applyAlignment="1">
      <alignment vertical="center"/>
    </xf>
    <xf numFmtId="4" fontId="25" fillId="9" borderId="6" xfId="0" applyNumberFormat="1" applyFont="1" applyFill="1" applyBorder="1" applyAlignment="1">
      <alignment vertical="center"/>
    </xf>
    <xf numFmtId="166" fontId="25" fillId="9" borderId="6" xfId="0" applyNumberFormat="1" applyFont="1" applyFill="1" applyBorder="1" applyAlignment="1">
      <alignment horizontal="center" vertical="center"/>
    </xf>
    <xf numFmtId="166" fontId="25" fillId="9" borderId="16" xfId="0" applyNumberFormat="1" applyFont="1" applyFill="1" applyBorder="1" applyAlignment="1">
      <alignment horizontal="center" vertical="center"/>
    </xf>
    <xf numFmtId="166" fontId="25" fillId="3" borderId="7" xfId="0" applyNumberFormat="1" applyFont="1" applyFill="1" applyBorder="1" applyAlignment="1">
      <alignment horizontal="center"/>
    </xf>
    <xf numFmtId="166" fontId="25" fillId="0" borderId="7" xfId="0" applyNumberFormat="1" applyFont="1" applyBorder="1" applyAlignment="1">
      <alignment horizontal="center"/>
    </xf>
    <xf numFmtId="0" fontId="24" fillId="0" borderId="4" xfId="0" applyFont="1" applyBorder="1" applyAlignment="1">
      <alignment horizontal="justify"/>
    </xf>
    <xf numFmtId="0" fontId="24" fillId="26" borderId="4" xfId="0" applyFont="1" applyFill="1" applyBorder="1" applyAlignment="1">
      <alignment horizontal="justify"/>
    </xf>
    <xf numFmtId="4" fontId="24" fillId="26" borderId="0" xfId="0" applyNumberFormat="1" applyFont="1" applyFill="1" applyBorder="1"/>
    <xf numFmtId="166" fontId="24" fillId="26" borderId="0" xfId="0" applyNumberFormat="1" applyFont="1" applyFill="1" applyBorder="1" applyAlignment="1">
      <alignment horizontal="center"/>
    </xf>
    <xf numFmtId="166" fontId="24" fillId="26" borderId="7" xfId="0" applyNumberFormat="1" applyFont="1" applyFill="1" applyBorder="1" applyAlignment="1">
      <alignment horizontal="center"/>
    </xf>
    <xf numFmtId="166" fontId="25" fillId="8" borderId="6" xfId="0" applyNumberFormat="1" applyFont="1" applyFill="1" applyBorder="1" applyAlignment="1">
      <alignment horizontal="center" vertical="center"/>
    </xf>
    <xf numFmtId="0" fontId="24" fillId="0" borderId="0" xfId="0" applyFont="1" applyBorder="1" applyAlignment="1">
      <alignment horizontal="center" vertical="center"/>
    </xf>
    <xf numFmtId="3" fontId="24" fillId="0" borderId="0" xfId="0" applyNumberFormat="1" applyFont="1" applyBorder="1" applyAlignment="1">
      <alignment horizontal="center" vertical="center"/>
    </xf>
    <xf numFmtId="3" fontId="24" fillId="0" borderId="22" xfId="0" applyNumberFormat="1" applyFont="1" applyBorder="1" applyAlignment="1">
      <alignment horizontal="center" vertical="center"/>
    </xf>
    <xf numFmtId="166" fontId="24" fillId="0" borderId="24" xfId="0" applyNumberFormat="1" applyFont="1" applyBorder="1" applyAlignment="1">
      <alignment horizontal="center"/>
    </xf>
    <xf numFmtId="4" fontId="24" fillId="0" borderId="0" xfId="4" applyNumberFormat="1" applyFont="1" applyBorder="1" applyAlignment="1">
      <alignment horizontal="right"/>
    </xf>
    <xf numFmtId="4" fontId="25" fillId="8" borderId="6" xfId="4" applyNumberFormat="1" applyFont="1" applyFill="1" applyBorder="1" applyAlignment="1">
      <alignment horizontal="right"/>
    </xf>
    <xf numFmtId="3" fontId="25" fillId="9" borderId="5" xfId="0" applyNumberFormat="1" applyFont="1" applyFill="1" applyBorder="1" applyAlignment="1">
      <alignment horizontal="justify"/>
    </xf>
    <xf numFmtId="4" fontId="25" fillId="9" borderId="6" xfId="0" applyNumberFormat="1" applyFont="1" applyFill="1" applyBorder="1" applyAlignment="1">
      <alignment horizontal="right"/>
    </xf>
    <xf numFmtId="166" fontId="25" fillId="9" borderId="6" xfId="0" applyNumberFormat="1" applyFont="1" applyFill="1" applyBorder="1" applyAlignment="1">
      <alignment horizontal="center"/>
    </xf>
    <xf numFmtId="166" fontId="25" fillId="9" borderId="16" xfId="0" applyNumberFormat="1" applyFont="1" applyFill="1" applyBorder="1" applyAlignment="1">
      <alignment horizontal="center"/>
    </xf>
    <xf numFmtId="4" fontId="24" fillId="0" borderId="18" xfId="4" applyNumberFormat="1" applyFont="1" applyBorder="1" applyAlignment="1">
      <alignment horizontal="right"/>
    </xf>
    <xf numFmtId="166" fontId="24" fillId="0" borderId="19" xfId="0" applyNumberFormat="1" applyFont="1" applyBorder="1" applyAlignment="1">
      <alignment horizontal="center"/>
    </xf>
    <xf numFmtId="3" fontId="25" fillId="9" borderId="17" xfId="0" applyNumberFormat="1" applyFont="1" applyFill="1" applyBorder="1" applyAlignment="1">
      <alignment horizontal="justify"/>
    </xf>
    <xf numFmtId="4" fontId="25" fillId="9" borderId="18" xfId="0" applyNumberFormat="1" applyFont="1" applyFill="1" applyBorder="1" applyAlignment="1">
      <alignment horizontal="right"/>
    </xf>
    <xf numFmtId="166" fontId="25" fillId="9" borderId="18" xfId="0" applyNumberFormat="1" applyFont="1" applyFill="1" applyBorder="1" applyAlignment="1">
      <alignment horizontal="center"/>
    </xf>
    <xf numFmtId="166" fontId="25" fillId="9" borderId="18" xfId="0" applyNumberFormat="1" applyFont="1" applyFill="1" applyBorder="1" applyAlignment="1">
      <alignment horizontal="center" vertical="center"/>
    </xf>
    <xf numFmtId="166" fontId="25" fillId="9" borderId="19" xfId="0" applyNumberFormat="1" applyFont="1" applyFill="1" applyBorder="1" applyAlignment="1">
      <alignment horizontal="center"/>
    </xf>
    <xf numFmtId="3" fontId="24" fillId="17" borderId="17" xfId="0" applyNumberFormat="1" applyFont="1" applyFill="1" applyBorder="1" applyAlignment="1">
      <alignment horizontal="justify" vertical="center"/>
    </xf>
    <xf numFmtId="4" fontId="24" fillId="17" borderId="18" xfId="4" applyNumberFormat="1" applyFont="1" applyFill="1" applyBorder="1" applyAlignment="1">
      <alignment horizontal="right"/>
    </xf>
    <xf numFmtId="166" fontId="24" fillId="17" borderId="18" xfId="0" applyNumberFormat="1" applyFont="1" applyFill="1" applyBorder="1" applyAlignment="1">
      <alignment horizontal="center"/>
    </xf>
    <xf numFmtId="166" fontId="24" fillId="17" borderId="19" xfId="0" applyNumberFormat="1" applyFont="1" applyFill="1" applyBorder="1" applyAlignment="1">
      <alignment horizontal="center"/>
    </xf>
    <xf numFmtId="3" fontId="24" fillId="0" borderId="18" xfId="0" applyNumberFormat="1" applyFont="1" applyBorder="1" applyAlignment="1">
      <alignment horizontal="center" vertical="center"/>
    </xf>
    <xf numFmtId="3" fontId="25" fillId="9" borderId="5" xfId="0" applyNumberFormat="1" applyFont="1" applyFill="1" applyBorder="1" applyAlignment="1">
      <alignment horizontal="justify" vertical="center"/>
    </xf>
    <xf numFmtId="4" fontId="25" fillId="9" borderId="6" xfId="0" applyNumberFormat="1" applyFont="1" applyFill="1" applyBorder="1" applyAlignment="1">
      <alignment horizontal="right" vertical="center"/>
    </xf>
    <xf numFmtId="0" fontId="56" fillId="10" borderId="5" xfId="0" applyFont="1" applyFill="1" applyBorder="1" applyAlignment="1">
      <alignment horizontal="justify" vertical="center"/>
    </xf>
    <xf numFmtId="4" fontId="56" fillId="10" borderId="6" xfId="0" applyNumberFormat="1" applyFont="1" applyFill="1" applyBorder="1" applyAlignment="1">
      <alignment horizontal="center" vertical="center"/>
    </xf>
    <xf numFmtId="166" fontId="56" fillId="10" borderId="6" xfId="11" applyNumberFormat="1" applyFont="1" applyFill="1" applyBorder="1" applyAlignment="1">
      <alignment horizontal="center" vertical="center"/>
    </xf>
    <xf numFmtId="166" fontId="56" fillId="10" borderId="16" xfId="11" applyNumberFormat="1" applyFont="1" applyFill="1" applyBorder="1" applyAlignment="1">
      <alignment horizontal="center" vertical="center"/>
    </xf>
    <xf numFmtId="166" fontId="25" fillId="0" borderId="26" xfId="0" applyNumberFormat="1" applyFont="1" applyBorder="1" applyAlignment="1">
      <alignment horizontal="center"/>
    </xf>
    <xf numFmtId="166" fontId="24" fillId="0" borderId="30" xfId="0" applyNumberFormat="1" applyFont="1" applyBorder="1" applyAlignment="1">
      <alignment horizontal="center"/>
    </xf>
    <xf numFmtId="166" fontId="24" fillId="0" borderId="0" xfId="0" applyNumberFormat="1" applyFont="1" applyAlignment="1">
      <alignment horizontal="center"/>
    </xf>
    <xf numFmtId="166" fontId="25" fillId="0" borderId="0" xfId="0" applyNumberFormat="1" applyFont="1" applyAlignment="1">
      <alignment horizontal="center"/>
    </xf>
    <xf numFmtId="0" fontId="24" fillId="0" borderId="40" xfId="0" applyFont="1" applyBorder="1"/>
    <xf numFmtId="4" fontId="24" fillId="0" borderId="40" xfId="0" applyNumberFormat="1" applyFont="1" applyBorder="1"/>
    <xf numFmtId="166" fontId="24" fillId="0" borderId="40" xfId="0" applyNumberFormat="1" applyFont="1" applyBorder="1" applyAlignment="1">
      <alignment horizontal="center" vertical="center"/>
    </xf>
    <xf numFmtId="166" fontId="24" fillId="0" borderId="40" xfId="0" applyNumberFormat="1" applyFont="1" applyBorder="1" applyAlignment="1">
      <alignment horizontal="center"/>
    </xf>
    <xf numFmtId="166" fontId="25" fillId="0" borderId="40" xfId="0" applyNumberFormat="1" applyFont="1" applyBorder="1" applyAlignment="1">
      <alignment horizontal="center"/>
    </xf>
    <xf numFmtId="164" fontId="24" fillId="0" borderId="15" xfId="4" applyFont="1" applyBorder="1"/>
    <xf numFmtId="0" fontId="24" fillId="0" borderId="0" xfId="0" applyFont="1" applyAlignment="1">
      <alignment wrapText="1"/>
    </xf>
    <xf numFmtId="0" fontId="24" fillId="0" borderId="0" xfId="0" applyFont="1" applyFill="1" applyAlignment="1">
      <alignment wrapText="1"/>
    </xf>
    <xf numFmtId="3" fontId="24" fillId="0" borderId="67" xfId="0" applyNumberFormat="1" applyFont="1" applyFill="1" applyBorder="1" applyAlignment="1">
      <alignment horizontal="center" vertical="center"/>
    </xf>
    <xf numFmtId="3" fontId="24" fillId="0" borderId="67" xfId="0" applyNumberFormat="1" applyFont="1" applyBorder="1" applyAlignment="1">
      <alignment horizontal="center" vertical="center" wrapText="1"/>
    </xf>
    <xf numFmtId="3" fontId="24" fillId="0" borderId="41" xfId="0" applyNumberFormat="1" applyFont="1" applyFill="1" applyBorder="1" applyAlignment="1" applyProtection="1">
      <alignment horizontal="center" vertical="top"/>
      <protection locked="0"/>
    </xf>
    <xf numFmtId="3" fontId="24" fillId="0" borderId="17" xfId="0" applyNumberFormat="1" applyFont="1" applyFill="1" applyBorder="1" applyAlignment="1">
      <alignment horizontal="center" vertical="center"/>
    </xf>
    <xf numFmtId="3" fontId="24" fillId="0" borderId="52" xfId="0" applyNumberFormat="1" applyFont="1" applyFill="1" applyBorder="1" applyAlignment="1">
      <alignment horizontal="center" vertical="center" wrapText="1"/>
    </xf>
    <xf numFmtId="3" fontId="24" fillId="0" borderId="41" xfId="0" applyNumberFormat="1" applyFont="1" applyFill="1" applyBorder="1" applyAlignment="1">
      <alignment horizontal="center" vertical="center" wrapText="1"/>
    </xf>
    <xf numFmtId="3" fontId="24" fillId="17" borderId="41" xfId="0" applyNumberFormat="1" applyFont="1" applyFill="1" applyBorder="1" applyAlignment="1" applyProtection="1">
      <alignment horizontal="center" vertical="center"/>
      <protection locked="0"/>
    </xf>
    <xf numFmtId="3" fontId="24" fillId="0" borderId="41" xfId="0" applyNumberFormat="1" applyFont="1" applyBorder="1" applyAlignment="1">
      <alignment horizontal="center" vertical="center" wrapText="1"/>
    </xf>
    <xf numFmtId="0" fontId="24" fillId="0" borderId="0" xfId="0" applyFont="1" applyBorder="1" applyAlignment="1">
      <alignment horizontal="center"/>
    </xf>
    <xf numFmtId="0" fontId="32" fillId="0" borderId="0" xfId="0" applyFont="1" applyAlignment="1">
      <alignment wrapText="1"/>
    </xf>
    <xf numFmtId="0" fontId="25" fillId="4" borderId="29" xfId="0" applyFont="1" applyFill="1" applyBorder="1" applyAlignment="1">
      <alignment horizontal="center" vertical="center"/>
    </xf>
    <xf numFmtId="0" fontId="25" fillId="4" borderId="26" xfId="0" applyFont="1" applyFill="1" applyBorder="1" applyAlignment="1">
      <alignment horizontal="center" vertical="center"/>
    </xf>
    <xf numFmtId="0" fontId="25" fillId="4" borderId="30" xfId="0" applyFont="1" applyFill="1" applyBorder="1" applyAlignment="1">
      <alignment vertical="center"/>
    </xf>
    <xf numFmtId="0" fontId="24" fillId="0" borderId="22" xfId="0" applyFont="1" applyBorder="1" applyAlignment="1">
      <alignment horizontal="center" vertical="center"/>
    </xf>
    <xf numFmtId="3" fontId="24" fillId="0" borderId="22" xfId="0" applyNumberFormat="1" applyFont="1" applyBorder="1" applyAlignment="1">
      <alignment horizontal="right" vertical="center"/>
    </xf>
    <xf numFmtId="4" fontId="24" fillId="0" borderId="1" xfId="0" applyNumberFormat="1" applyFont="1" applyBorder="1" applyAlignment="1">
      <alignment horizontal="right"/>
    </xf>
    <xf numFmtId="4" fontId="25" fillId="9" borderId="39" xfId="0" applyNumberFormat="1" applyFont="1" applyFill="1" applyBorder="1" applyAlignment="1">
      <alignment horizontal="center" vertical="center" wrapText="1"/>
    </xf>
    <xf numFmtId="4" fontId="25" fillId="0" borderId="14" xfId="0" applyNumberFormat="1" applyFont="1" applyBorder="1" applyAlignment="1">
      <alignment horizontal="right" vertical="center"/>
    </xf>
    <xf numFmtId="4" fontId="24" fillId="0" borderId="15" xfId="0" applyNumberFormat="1" applyFont="1" applyBorder="1" applyAlignment="1">
      <alignment horizontal="right" vertical="center" wrapText="1"/>
    </xf>
    <xf numFmtId="4" fontId="24" fillId="0" borderId="21" xfId="0" applyNumberFormat="1" applyFont="1" applyBorder="1" applyAlignment="1">
      <alignment horizontal="right" vertical="center" wrapText="1"/>
    </xf>
    <xf numFmtId="4" fontId="24" fillId="0" borderId="6" xfId="0" applyNumberFormat="1" applyFont="1" applyBorder="1" applyAlignment="1">
      <alignment horizontal="right" vertical="center" wrapText="1"/>
    </xf>
    <xf numFmtId="4" fontId="41" fillId="6" borderId="15" xfId="0" applyNumberFormat="1" applyFont="1" applyFill="1" applyBorder="1" applyAlignment="1">
      <alignment horizontal="right" vertical="center" wrapText="1"/>
    </xf>
    <xf numFmtId="4" fontId="41" fillId="0" borderId="6" xfId="0" applyNumberFormat="1" applyFont="1" applyFill="1" applyBorder="1" applyAlignment="1">
      <alignment horizontal="right" vertical="center" wrapText="1"/>
    </xf>
    <xf numFmtId="4" fontId="41" fillId="24" borderId="15" xfId="0" applyNumberFormat="1" applyFont="1" applyFill="1" applyBorder="1" applyAlignment="1">
      <alignment horizontal="right" vertical="center" wrapText="1"/>
    </xf>
    <xf numFmtId="4" fontId="24" fillId="0" borderId="15" xfId="0" applyNumberFormat="1" applyFont="1" applyFill="1" applyBorder="1" applyAlignment="1" applyProtection="1">
      <alignment vertical="center"/>
      <protection locked="0"/>
    </xf>
    <xf numFmtId="4" fontId="24" fillId="0" borderId="42" xfId="0" applyNumberFormat="1" applyFont="1" applyFill="1" applyBorder="1" applyAlignment="1" applyProtection="1">
      <alignment vertical="center"/>
      <protection locked="0"/>
    </xf>
    <xf numFmtId="4" fontId="24" fillId="0" borderId="18" xfId="0" applyNumberFormat="1" applyFont="1" applyBorder="1" applyAlignment="1">
      <alignment horizontal="right" vertical="center" wrapText="1"/>
    </xf>
    <xf numFmtId="4" fontId="41" fillId="6" borderId="6" xfId="0" applyNumberFormat="1" applyFont="1" applyFill="1" applyBorder="1" applyAlignment="1">
      <alignment horizontal="right" vertical="center" wrapText="1"/>
    </xf>
    <xf numFmtId="4" fontId="24" fillId="0" borderId="21" xfId="0" applyNumberFormat="1" applyFont="1" applyBorder="1" applyAlignment="1">
      <alignment vertical="center" wrapText="1"/>
    </xf>
    <xf numFmtId="4" fontId="24" fillId="0" borderId="34" xfId="0" applyNumberFormat="1" applyFont="1" applyBorder="1" applyAlignment="1">
      <alignment vertical="center" wrapText="1"/>
    </xf>
    <xf numFmtId="4" fontId="24" fillId="0" borderId="15" xfId="0" applyNumberFormat="1" applyFont="1" applyBorder="1" applyAlignment="1">
      <alignment vertical="center" wrapText="1"/>
    </xf>
    <xf numFmtId="4" fontId="24" fillId="0" borderId="42" xfId="0" applyNumberFormat="1" applyFont="1" applyBorder="1" applyAlignment="1">
      <alignment vertical="center" wrapText="1"/>
    </xf>
    <xf numFmtId="4" fontId="24" fillId="0" borderId="53" xfId="0" applyNumberFormat="1" applyFont="1" applyBorder="1" applyAlignment="1">
      <alignment vertical="center" wrapText="1"/>
    </xf>
    <xf numFmtId="4" fontId="41" fillId="0" borderId="6" xfId="0" applyNumberFormat="1" applyFont="1" applyFill="1" applyBorder="1" applyAlignment="1">
      <alignment vertical="center" wrapText="1"/>
    </xf>
    <xf numFmtId="4" fontId="41" fillId="0" borderId="22" xfId="0" applyNumberFormat="1" applyFont="1" applyFill="1" applyBorder="1" applyAlignment="1">
      <alignment vertical="center" wrapText="1"/>
    </xf>
    <xf numFmtId="4" fontId="24" fillId="0" borderId="15" xfId="0" applyNumberFormat="1" applyFont="1" applyFill="1" applyBorder="1" applyAlignment="1">
      <alignment vertical="center" wrapText="1"/>
    </xf>
    <xf numFmtId="4" fontId="24" fillId="0" borderId="18" xfId="0" applyNumberFormat="1" applyFont="1" applyBorder="1" applyAlignment="1">
      <alignment vertical="center" wrapText="1"/>
    </xf>
    <xf numFmtId="4" fontId="41" fillId="6" borderId="6" xfId="0" applyNumberFormat="1" applyFont="1" applyFill="1" applyBorder="1" applyAlignment="1">
      <alignment vertical="center" wrapText="1"/>
    </xf>
    <xf numFmtId="4" fontId="24" fillId="0" borderId="15" xfId="0" applyNumberFormat="1" applyFont="1" applyFill="1" applyBorder="1" applyAlignment="1">
      <alignment vertical="center"/>
    </xf>
    <xf numFmtId="4" fontId="24" fillId="0" borderId="0" xfId="0" applyNumberFormat="1" applyFont="1" applyFill="1" applyBorder="1" applyAlignment="1">
      <alignment vertical="center"/>
    </xf>
    <xf numFmtId="4" fontId="24" fillId="0" borderId="18" xfId="0" applyNumberFormat="1" applyFont="1" applyFill="1" applyBorder="1" applyAlignment="1">
      <alignment vertical="center"/>
    </xf>
    <xf numFmtId="4" fontId="25" fillId="4" borderId="27" xfId="5" applyNumberFormat="1" applyFont="1" applyFill="1" applyBorder="1" applyAlignment="1">
      <alignment horizontal="right" vertical="center"/>
    </xf>
    <xf numFmtId="4" fontId="56" fillId="30" borderId="27" xfId="5" applyNumberFormat="1" applyFont="1" applyFill="1" applyBorder="1" applyAlignment="1">
      <alignment horizontal="right" vertical="center"/>
    </xf>
    <xf numFmtId="4" fontId="41" fillId="24" borderId="6" xfId="0" applyNumberFormat="1" applyFont="1" applyFill="1" applyBorder="1" applyAlignment="1">
      <alignment horizontal="right" vertical="center" wrapText="1"/>
    </xf>
    <xf numFmtId="4" fontId="24" fillId="0" borderId="66" xfId="0" applyNumberFormat="1" applyFont="1" applyBorder="1" applyAlignment="1">
      <alignment vertical="center" wrapText="1"/>
    </xf>
    <xf numFmtId="4" fontId="24" fillId="0" borderId="25" xfId="0" applyNumberFormat="1" applyFont="1" applyBorder="1" applyAlignment="1">
      <alignment vertical="center" wrapText="1"/>
    </xf>
    <xf numFmtId="4" fontId="24" fillId="0" borderId="0" xfId="0" applyNumberFormat="1" applyFont="1" applyBorder="1" applyAlignment="1">
      <alignment horizontal="right" vertical="center" wrapText="1"/>
    </xf>
    <xf numFmtId="4" fontId="41" fillId="6" borderId="69" xfId="0" applyNumberFormat="1" applyFont="1" applyFill="1" applyBorder="1" applyAlignment="1">
      <alignment horizontal="right" vertical="center" wrapText="1"/>
    </xf>
    <xf numFmtId="4" fontId="41" fillId="0" borderId="18" xfId="0" applyNumberFormat="1" applyFont="1" applyFill="1" applyBorder="1" applyAlignment="1">
      <alignment horizontal="right" wrapText="1"/>
    </xf>
    <xf numFmtId="4" fontId="24" fillId="0" borderId="70" xfId="0" applyNumberFormat="1" applyFont="1" applyBorder="1" applyAlignment="1">
      <alignment vertical="center" wrapText="1"/>
    </xf>
    <xf numFmtId="4" fontId="24" fillId="0" borderId="15" xfId="0" applyNumberFormat="1" applyFont="1" applyBorder="1" applyAlignment="1">
      <alignment horizontal="center" vertical="center" wrapText="1"/>
    </xf>
    <xf numFmtId="4" fontId="24" fillId="0" borderId="6" xfId="0" applyNumberFormat="1" applyFont="1" applyBorder="1" applyAlignment="1">
      <alignment horizontal="right" wrapText="1"/>
    </xf>
    <xf numFmtId="4" fontId="24" fillId="0" borderId="1" xfId="0" applyNumberFormat="1" applyFont="1" applyBorder="1" applyAlignment="1"/>
    <xf numFmtId="4" fontId="25" fillId="0" borderId="0" xfId="0" applyNumberFormat="1" applyFont="1" applyAlignment="1"/>
    <xf numFmtId="4" fontId="24" fillId="0" borderId="0" xfId="0" applyNumberFormat="1" applyFont="1" applyAlignment="1"/>
    <xf numFmtId="4" fontId="25" fillId="0" borderId="14" xfId="0" applyNumberFormat="1" applyFont="1" applyBorder="1" applyAlignment="1">
      <alignment vertical="center"/>
    </xf>
    <xf numFmtId="4" fontId="24" fillId="17" borderId="21" xfId="0" applyNumberFormat="1" applyFont="1" applyFill="1" applyBorder="1" applyAlignment="1">
      <alignment vertical="center" wrapText="1"/>
    </xf>
    <xf numFmtId="4" fontId="24" fillId="0" borderId="6" xfId="0" applyNumberFormat="1" applyFont="1" applyBorder="1" applyAlignment="1">
      <alignment vertical="center" wrapText="1"/>
    </xf>
    <xf numFmtId="4" fontId="41" fillId="6" borderId="15" xfId="0" applyNumberFormat="1" applyFont="1" applyFill="1" applyBorder="1" applyAlignment="1">
      <alignment vertical="center" wrapText="1"/>
    </xf>
    <xf numFmtId="4" fontId="41" fillId="24" borderId="6" xfId="0" applyNumberFormat="1" applyFont="1" applyFill="1" applyBorder="1" applyAlignment="1">
      <alignment vertical="center" wrapText="1"/>
    </xf>
    <xf numFmtId="4" fontId="24" fillId="0" borderId="34" xfId="0" applyNumberFormat="1" applyFont="1" applyFill="1" applyBorder="1" applyAlignment="1" applyProtection="1">
      <alignment vertical="center"/>
      <protection locked="0"/>
    </xf>
    <xf numFmtId="4" fontId="24" fillId="0" borderId="0" xfId="0" applyNumberFormat="1" applyFont="1" applyFill="1" applyBorder="1" applyAlignment="1">
      <alignment vertical="center" wrapText="1"/>
    </xf>
    <xf numFmtId="4" fontId="24" fillId="0" borderId="18" xfId="0" applyNumberFormat="1" applyFont="1" applyFill="1" applyBorder="1" applyAlignment="1">
      <alignment vertical="center" wrapText="1"/>
    </xf>
    <xf numFmtId="4" fontId="24" fillId="0" borderId="6" xfId="0" applyNumberFormat="1" applyFont="1" applyBorder="1" applyAlignment="1">
      <alignment wrapText="1"/>
    </xf>
    <xf numFmtId="4" fontId="24" fillId="0" borderId="22" xfId="0" applyNumberFormat="1" applyFont="1" applyBorder="1" applyAlignment="1">
      <alignment vertical="center"/>
    </xf>
    <xf numFmtId="4" fontId="25" fillId="4" borderId="26" xfId="5" applyNumberFormat="1" applyFont="1" applyFill="1" applyBorder="1" applyAlignment="1">
      <alignment vertical="center"/>
    </xf>
    <xf numFmtId="4" fontId="56" fillId="30" borderId="27" xfId="5" applyNumberFormat="1" applyFont="1" applyFill="1" applyBorder="1" applyAlignment="1">
      <alignment vertical="center"/>
    </xf>
    <xf numFmtId="4" fontId="24" fillId="17" borderId="70" xfId="0" applyNumberFormat="1" applyFont="1" applyFill="1" applyBorder="1" applyAlignment="1">
      <alignment vertical="center" wrapText="1"/>
    </xf>
    <xf numFmtId="4" fontId="56" fillId="31" borderId="27" xfId="5" applyNumberFormat="1" applyFont="1" applyFill="1" applyBorder="1" applyAlignment="1">
      <alignment horizontal="right" vertical="center"/>
    </xf>
    <xf numFmtId="3" fontId="24" fillId="0" borderId="43" xfId="0" applyNumberFormat="1" applyFont="1" applyBorder="1" applyAlignment="1">
      <alignment horizontal="left" vertical="top" wrapText="1"/>
    </xf>
    <xf numFmtId="0" fontId="24" fillId="0" borderId="42" xfId="0" applyFont="1" applyBorder="1" applyAlignment="1">
      <alignment horizontal="justify" vertical="center" wrapText="1"/>
    </xf>
    <xf numFmtId="3" fontId="25" fillId="24" borderId="17" xfId="0" applyNumberFormat="1" applyFont="1" applyFill="1" applyBorder="1" applyAlignment="1">
      <alignment horizontal="center" vertical="center" wrapText="1"/>
    </xf>
    <xf numFmtId="4" fontId="41" fillId="24" borderId="18" xfId="0" applyNumberFormat="1" applyFont="1" applyFill="1" applyBorder="1" applyAlignment="1">
      <alignment horizontal="right" vertical="center" wrapText="1"/>
    </xf>
    <xf numFmtId="3" fontId="41" fillId="24" borderId="18" xfId="0" applyNumberFormat="1" applyFont="1" applyFill="1" applyBorder="1" applyAlignment="1">
      <alignment horizontal="justify" vertical="center" wrapText="1"/>
    </xf>
    <xf numFmtId="3" fontId="41" fillId="24" borderId="19" xfId="0" applyNumberFormat="1" applyFont="1" applyFill="1" applyBorder="1" applyAlignment="1">
      <alignment horizontal="right" vertical="center"/>
    </xf>
    <xf numFmtId="3" fontId="25" fillId="0" borderId="6" xfId="0" applyNumberFormat="1" applyFont="1" applyFill="1" applyBorder="1" applyAlignment="1">
      <alignment horizontal="center" vertical="center" wrapText="1"/>
    </xf>
    <xf numFmtId="3" fontId="41" fillId="0" borderId="6" xfId="0" applyNumberFormat="1" applyFont="1" applyFill="1" applyBorder="1" applyAlignment="1">
      <alignment horizontal="right" vertical="center"/>
    </xf>
    <xf numFmtId="0" fontId="24" fillId="0" borderId="42" xfId="0" applyFont="1" applyBorder="1" applyAlignment="1">
      <alignment horizontal="justify" vertical="center" wrapText="1"/>
    </xf>
    <xf numFmtId="0" fontId="24" fillId="0" borderId="42" xfId="0" applyFont="1" applyBorder="1" applyAlignment="1">
      <alignment horizontal="justify" vertical="center" wrapText="1"/>
    </xf>
    <xf numFmtId="0" fontId="65" fillId="25" borderId="53" xfId="0" applyFont="1" applyFill="1" applyBorder="1" applyAlignment="1">
      <alignment horizontal="justify" vertical="center" wrapText="1"/>
    </xf>
    <xf numFmtId="171" fontId="15" fillId="0" borderId="0" xfId="0" applyNumberFormat="1" applyFont="1"/>
    <xf numFmtId="4" fontId="15" fillId="17" borderId="0" xfId="0" applyNumberFormat="1" applyFont="1" applyFill="1"/>
    <xf numFmtId="4" fontId="25" fillId="8" borderId="6" xfId="0" applyNumberFormat="1" applyFont="1" applyFill="1" applyBorder="1" applyAlignment="1"/>
    <xf numFmtId="4" fontId="24" fillId="0" borderId="0" xfId="0" applyNumberFormat="1" applyFont="1" applyBorder="1" applyAlignment="1">
      <alignment vertical="center"/>
    </xf>
    <xf numFmtId="4" fontId="25" fillId="13" borderId="6" xfId="0" applyNumberFormat="1" applyFont="1" applyFill="1" applyBorder="1" applyAlignment="1">
      <alignment vertical="center"/>
    </xf>
    <xf numFmtId="4" fontId="25" fillId="8" borderId="6" xfId="0" applyNumberFormat="1" applyFont="1" applyFill="1" applyBorder="1" applyAlignment="1">
      <alignment vertical="center"/>
    </xf>
    <xf numFmtId="4" fontId="56" fillId="10" borderId="6" xfId="0" applyNumberFormat="1" applyFont="1" applyFill="1" applyBorder="1" applyAlignment="1">
      <alignment vertical="center"/>
    </xf>
    <xf numFmtId="0" fontId="74" fillId="0" borderId="0" xfId="0" applyFont="1"/>
    <xf numFmtId="4" fontId="74" fillId="0" borderId="0" xfId="0" applyNumberFormat="1" applyFont="1"/>
    <xf numFmtId="164" fontId="24" fillId="0" borderId="0" xfId="4" applyFont="1"/>
    <xf numFmtId="3" fontId="25" fillId="9" borderId="39" xfId="0" applyNumberFormat="1" applyFont="1" applyFill="1" applyBorder="1" applyAlignment="1">
      <alignment horizontal="center" vertical="center"/>
    </xf>
    <xf numFmtId="0" fontId="25" fillId="0" borderId="0" xfId="0" applyFont="1" applyAlignment="1">
      <alignment horizontal="left"/>
    </xf>
    <xf numFmtId="176" fontId="24" fillId="0" borderId="0" xfId="0" applyNumberFormat="1" applyFont="1"/>
    <xf numFmtId="164" fontId="32" fillId="0" borderId="0" xfId="4" applyFont="1" applyAlignment="1">
      <alignment horizontal="center" vertical="center"/>
    </xf>
    <xf numFmtId="164" fontId="32" fillId="0" borderId="0" xfId="4" applyFont="1"/>
    <xf numFmtId="164" fontId="74" fillId="0" borderId="0" xfId="4" applyFont="1"/>
    <xf numFmtId="37" fontId="40" fillId="7" borderId="2" xfId="0" applyNumberFormat="1" applyFont="1" applyFill="1" applyBorder="1" applyAlignment="1">
      <alignment vertical="center"/>
    </xf>
    <xf numFmtId="37" fontId="40" fillId="7" borderId="27" xfId="0" applyNumberFormat="1" applyFont="1" applyFill="1" applyBorder="1" applyAlignment="1">
      <alignment vertical="center"/>
    </xf>
    <xf numFmtId="0" fontId="75" fillId="0" borderId="0" xfId="0" applyFont="1"/>
    <xf numFmtId="4" fontId="75" fillId="0" borderId="0" xfId="0" applyNumberFormat="1" applyFont="1"/>
    <xf numFmtId="164" fontId="75" fillId="0" borderId="0" xfId="4" applyFont="1"/>
    <xf numFmtId="0" fontId="32" fillId="35" borderId="0" xfId="0" applyFont="1" applyFill="1"/>
    <xf numFmtId="4" fontId="32" fillId="35" borderId="0" xfId="0" applyNumberFormat="1" applyFont="1" applyFill="1"/>
    <xf numFmtId="4" fontId="75" fillId="35" borderId="0" xfId="0" applyNumberFormat="1" applyFont="1" applyFill="1"/>
    <xf numFmtId="4" fontId="24" fillId="25" borderId="21" xfId="0" applyNumberFormat="1" applyFont="1" applyFill="1" applyBorder="1" applyAlignment="1">
      <alignment vertical="center" wrapText="1"/>
    </xf>
    <xf numFmtId="4" fontId="25" fillId="0" borderId="14" xfId="0" applyNumberFormat="1" applyFont="1" applyBorder="1" applyAlignment="1">
      <alignment horizontal="center" vertical="center"/>
    </xf>
    <xf numFmtId="3" fontId="24" fillId="0" borderId="4" xfId="0" applyNumberFormat="1" applyFont="1" applyFill="1" applyBorder="1" applyAlignment="1">
      <alignment horizontal="left" vertical="center"/>
    </xf>
    <xf numFmtId="0" fontId="76" fillId="0" borderId="15" xfId="0" applyFont="1" applyBorder="1" applyAlignment="1">
      <alignment horizontal="center" vertical="top" wrapText="1"/>
    </xf>
    <xf numFmtId="3" fontId="24" fillId="0" borderId="57" xfId="0" applyNumberFormat="1" applyFont="1" applyBorder="1" applyAlignment="1" applyProtection="1">
      <alignment horizontal="center" vertical="center"/>
      <protection locked="0"/>
    </xf>
    <xf numFmtId="3" fontId="24" fillId="0" borderId="58" xfId="0" applyNumberFormat="1" applyFont="1" applyBorder="1" applyAlignment="1" applyProtection="1">
      <alignment horizontal="justify" vertical="center"/>
      <protection locked="0"/>
    </xf>
    <xf numFmtId="4" fontId="24" fillId="0" borderId="58" xfId="0" applyNumberFormat="1" applyFont="1" applyBorder="1" applyAlignment="1">
      <alignment horizontal="right" vertical="center"/>
    </xf>
    <xf numFmtId="4" fontId="24" fillId="0" borderId="59" xfId="0" applyNumberFormat="1" applyFont="1" applyBorder="1" applyAlignment="1">
      <alignment horizontal="right" vertical="center"/>
    </xf>
    <xf numFmtId="37" fontId="24" fillId="0" borderId="0" xfId="0" applyNumberFormat="1" applyFont="1" applyBorder="1"/>
    <xf numFmtId="164" fontId="24" fillId="0" borderId="31" xfId="4" applyFont="1" applyBorder="1"/>
    <xf numFmtId="164" fontId="24" fillId="0" borderId="62" xfId="4" applyFont="1" applyBorder="1"/>
    <xf numFmtId="164" fontId="24" fillId="0" borderId="63" xfId="4" applyFont="1" applyBorder="1"/>
    <xf numFmtId="0" fontId="24" fillId="0" borderId="42" xfId="0" applyFont="1" applyBorder="1" applyAlignment="1">
      <alignment horizontal="justify" vertical="center" wrapText="1"/>
    </xf>
    <xf numFmtId="4" fontId="24" fillId="25" borderId="34" xfId="0" applyNumberFormat="1" applyFont="1" applyFill="1" applyBorder="1" applyAlignment="1">
      <alignment vertical="center" wrapText="1"/>
    </xf>
    <xf numFmtId="0" fontId="24" fillId="0" borderId="42" xfId="0" applyFont="1" applyBorder="1" applyAlignment="1">
      <alignment horizontal="justify" vertical="center" wrapText="1"/>
    </xf>
    <xf numFmtId="4" fontId="24" fillId="0" borderId="18" xfId="0" applyNumberFormat="1" applyFont="1" applyBorder="1"/>
    <xf numFmtId="0" fontId="33" fillId="0" borderId="0" xfId="0" applyFont="1" applyAlignment="1">
      <alignment horizontal="left" vertical="center"/>
    </xf>
    <xf numFmtId="0" fontId="32" fillId="0" borderId="0" xfId="0" applyFont="1" applyAlignment="1">
      <alignment horizontal="left"/>
    </xf>
    <xf numFmtId="0" fontId="25" fillId="0" borderId="0" xfId="0" applyFont="1" applyAlignment="1">
      <alignment horizontal="center"/>
    </xf>
    <xf numFmtId="0" fontId="25" fillId="0" borderId="0" xfId="0" applyFont="1" applyBorder="1" applyAlignment="1">
      <alignment horizontal="center"/>
    </xf>
    <xf numFmtId="0" fontId="25" fillId="0" borderId="1" xfId="0" applyFont="1" applyBorder="1" applyAlignment="1">
      <alignment horizontal="center"/>
    </xf>
    <xf numFmtId="0" fontId="26" fillId="0" borderId="0" xfId="0" applyFont="1" applyBorder="1" applyAlignment="1">
      <alignment horizontal="center"/>
    </xf>
    <xf numFmtId="0" fontId="26" fillId="0" borderId="0" xfId="0" applyFont="1" applyAlignment="1">
      <alignment horizontal="center"/>
    </xf>
    <xf numFmtId="0" fontId="33" fillId="0" borderId="0" xfId="0" applyFont="1" applyAlignment="1">
      <alignment horizontal="center"/>
    </xf>
    <xf numFmtId="0" fontId="31" fillId="0" borderId="0" xfId="0" applyFont="1" applyAlignment="1">
      <alignment horizontal="center"/>
    </xf>
    <xf numFmtId="0" fontId="33" fillId="0" borderId="1" xfId="0" applyFont="1" applyBorder="1" applyAlignment="1">
      <alignment horizontal="center"/>
    </xf>
    <xf numFmtId="0" fontId="25" fillId="9" borderId="5" xfId="0" applyFont="1" applyFill="1" applyBorder="1" applyAlignment="1">
      <alignment horizontal="left" vertical="center"/>
    </xf>
    <xf numFmtId="0" fontId="25" fillId="9" borderId="6" xfId="0" applyFont="1" applyFill="1" applyBorder="1" applyAlignment="1">
      <alignment horizontal="left" vertical="center"/>
    </xf>
    <xf numFmtId="0" fontId="25" fillId="9" borderId="16" xfId="0" applyFont="1" applyFill="1" applyBorder="1" applyAlignment="1">
      <alignment horizontal="left" vertical="center"/>
    </xf>
    <xf numFmtId="0" fontId="27" fillId="0" borderId="0" xfId="0" applyFont="1" applyAlignment="1">
      <alignment horizontal="center"/>
    </xf>
    <xf numFmtId="0" fontId="27" fillId="10" borderId="60" xfId="0" applyFont="1" applyFill="1" applyBorder="1" applyAlignment="1">
      <alignment horizontal="center"/>
    </xf>
    <xf numFmtId="0" fontId="26" fillId="0" borderId="0" xfId="0" applyFont="1" applyAlignment="1">
      <alignment horizontal="center" vertical="center"/>
    </xf>
    <xf numFmtId="0" fontId="55" fillId="0" borderId="1" xfId="0" applyFont="1" applyBorder="1" applyAlignment="1">
      <alignment horizontal="center"/>
    </xf>
    <xf numFmtId="0" fontId="26" fillId="9" borderId="5" xfId="0" applyFont="1" applyFill="1" applyBorder="1" applyAlignment="1">
      <alignment horizontal="center" vertical="center"/>
    </xf>
    <xf numFmtId="0" fontId="26" fillId="9" borderId="6" xfId="0" applyFont="1" applyFill="1" applyBorder="1" applyAlignment="1">
      <alignment horizontal="center" vertical="center"/>
    </xf>
    <xf numFmtId="9" fontId="26" fillId="0" borderId="0" xfId="0" applyNumberFormat="1" applyFont="1" applyBorder="1" applyAlignment="1">
      <alignment horizontal="center"/>
    </xf>
    <xf numFmtId="9" fontId="27" fillId="0" borderId="0" xfId="0" applyNumberFormat="1" applyFont="1" applyBorder="1" applyAlignment="1">
      <alignment horizontal="center"/>
    </xf>
    <xf numFmtId="0" fontId="27" fillId="0" borderId="4" xfId="0" applyFont="1" applyBorder="1" applyAlignment="1">
      <alignment horizontal="center"/>
    </xf>
    <xf numFmtId="0" fontId="27" fillId="0" borderId="0" xfId="0" applyFont="1" applyBorder="1" applyAlignment="1">
      <alignment horizontal="center"/>
    </xf>
    <xf numFmtId="0" fontId="27" fillId="0" borderId="7" xfId="0" applyFont="1" applyBorder="1" applyAlignment="1">
      <alignment horizontal="center"/>
    </xf>
    <xf numFmtId="9" fontId="26" fillId="0" borderId="1" xfId="0" applyNumberFormat="1" applyFont="1" applyBorder="1" applyAlignment="1">
      <alignment horizontal="center"/>
    </xf>
    <xf numFmtId="3" fontId="55" fillId="10" borderId="50" xfId="0" applyNumberFormat="1" applyFont="1" applyFill="1" applyBorder="1" applyAlignment="1">
      <alignment horizontal="center" vertical="center" wrapText="1"/>
    </xf>
    <xf numFmtId="3" fontId="55" fillId="10" borderId="53" xfId="0" applyNumberFormat="1" applyFont="1" applyFill="1" applyBorder="1" applyAlignment="1">
      <alignment horizontal="center" vertical="center" wrapText="1"/>
    </xf>
    <xf numFmtId="3" fontId="37" fillId="0" borderId="0" xfId="0" applyNumberFormat="1" applyFont="1" applyAlignment="1">
      <alignment horizontal="center"/>
    </xf>
    <xf numFmtId="3" fontId="26" fillId="0" borderId="1" xfId="0" applyNumberFormat="1" applyFont="1" applyBorder="1" applyAlignment="1">
      <alignment horizontal="center"/>
    </xf>
    <xf numFmtId="3" fontId="25" fillId="0" borderId="40" xfId="0" applyNumberFormat="1" applyFont="1" applyBorder="1" applyAlignment="1">
      <alignment horizontal="center"/>
    </xf>
    <xf numFmtId="3" fontId="26" fillId="0" borderId="0" xfId="0" applyNumberFormat="1" applyFont="1" applyAlignment="1">
      <alignment horizontal="center"/>
    </xf>
    <xf numFmtId="3" fontId="24" fillId="0" borderId="0" xfId="0" applyNumberFormat="1" applyFont="1" applyAlignment="1">
      <alignment horizontal="center"/>
    </xf>
    <xf numFmtId="4" fontId="56" fillId="10" borderId="53" xfId="0" applyNumberFormat="1" applyFont="1" applyFill="1" applyBorder="1" applyAlignment="1">
      <alignment horizontal="center" vertical="center" wrapText="1"/>
    </xf>
    <xf numFmtId="4" fontId="56" fillId="10" borderId="58" xfId="0" applyNumberFormat="1" applyFont="1" applyFill="1" applyBorder="1" applyAlignment="1">
      <alignment horizontal="center" vertical="center" wrapText="1"/>
    </xf>
    <xf numFmtId="3" fontId="25" fillId="0" borderId="0" xfId="0" applyNumberFormat="1" applyFont="1" applyAlignment="1">
      <alignment horizontal="center"/>
    </xf>
    <xf numFmtId="4" fontId="25" fillId="0" borderId="0" xfId="0" applyNumberFormat="1" applyFont="1" applyAlignment="1">
      <alignment horizontal="center"/>
    </xf>
    <xf numFmtId="3" fontId="25" fillId="0" borderId="4" xfId="0" applyNumberFormat="1" applyFont="1" applyBorder="1" applyAlignment="1">
      <alignment horizontal="center" vertical="center"/>
    </xf>
    <xf numFmtId="4" fontId="25" fillId="0" borderId="0" xfId="0" applyNumberFormat="1" applyFont="1" applyBorder="1" applyAlignment="1">
      <alignment horizontal="center" vertical="center"/>
    </xf>
    <xf numFmtId="3" fontId="25" fillId="0" borderId="0" xfId="0" applyNumberFormat="1" applyFont="1" applyBorder="1" applyAlignment="1">
      <alignment horizontal="center" vertical="center"/>
    </xf>
    <xf numFmtId="3" fontId="25" fillId="0" borderId="7" xfId="0" applyNumberFormat="1" applyFont="1" applyBorder="1" applyAlignment="1">
      <alignment horizontal="center" vertical="center"/>
    </xf>
    <xf numFmtId="3" fontId="24" fillId="0" borderId="4" xfId="0" applyNumberFormat="1" applyFont="1" applyBorder="1" applyAlignment="1">
      <alignment horizontal="center"/>
    </xf>
    <xf numFmtId="4" fontId="24" fillId="0" borderId="0" xfId="0" applyNumberFormat="1" applyFont="1" applyBorder="1" applyAlignment="1">
      <alignment horizontal="center"/>
    </xf>
    <xf numFmtId="3" fontId="24" fillId="0" borderId="0" xfId="0" applyNumberFormat="1" applyFont="1" applyBorder="1" applyAlignment="1">
      <alignment horizontal="center"/>
    </xf>
    <xf numFmtId="3" fontId="24" fillId="0" borderId="7" xfId="0" applyNumberFormat="1" applyFont="1" applyBorder="1" applyAlignment="1">
      <alignment horizontal="center"/>
    </xf>
    <xf numFmtId="3" fontId="25" fillId="0" borderId="26" xfId="0" applyNumberFormat="1" applyFont="1" applyBorder="1" applyAlignment="1">
      <alignment horizontal="center"/>
    </xf>
    <xf numFmtId="4" fontId="25" fillId="0" borderId="26" xfId="0" applyNumberFormat="1" applyFont="1" applyBorder="1" applyAlignment="1">
      <alignment horizontal="center"/>
    </xf>
    <xf numFmtId="4" fontId="25" fillId="0" borderId="14" xfId="0" applyNumberFormat="1" applyFont="1" applyBorder="1" applyAlignment="1">
      <alignment horizontal="center" vertical="center"/>
    </xf>
    <xf numFmtId="3" fontId="24" fillId="0" borderId="4" xfId="0" applyNumberFormat="1" applyFont="1" applyFill="1" applyBorder="1" applyAlignment="1">
      <alignment horizontal="left" vertical="center"/>
    </xf>
    <xf numFmtId="3" fontId="24" fillId="0" borderId="0" xfId="0" applyNumberFormat="1" applyFont="1" applyFill="1" applyBorder="1" applyAlignment="1">
      <alignment horizontal="left" vertical="center"/>
    </xf>
    <xf numFmtId="37" fontId="40" fillId="7" borderId="2" xfId="0" applyNumberFormat="1" applyFont="1" applyFill="1" applyBorder="1" applyAlignment="1">
      <alignment horizontal="left" vertical="center"/>
    </xf>
    <xf numFmtId="37" fontId="40" fillId="7" borderId="27" xfId="0" applyNumberFormat="1" applyFont="1" applyFill="1" applyBorder="1" applyAlignment="1">
      <alignment horizontal="left" vertical="center"/>
    </xf>
    <xf numFmtId="4" fontId="27" fillId="0" borderId="0" xfId="0" applyNumberFormat="1" applyFont="1" applyBorder="1" applyAlignment="1">
      <alignment horizontal="center"/>
    </xf>
    <xf numFmtId="3" fontId="24" fillId="0" borderId="64" xfId="0" applyNumberFormat="1" applyFont="1" applyBorder="1" applyAlignment="1">
      <alignment horizontal="left" vertical="top" wrapText="1"/>
    </xf>
    <xf numFmtId="3" fontId="24" fillId="0" borderId="54" xfId="0" applyNumberFormat="1" applyFont="1" applyBorder="1" applyAlignment="1">
      <alignment horizontal="left" vertical="top" wrapText="1"/>
    </xf>
    <xf numFmtId="0" fontId="24" fillId="0" borderId="0" xfId="0" applyFont="1" applyAlignment="1">
      <alignment horizontal="center" wrapText="1"/>
    </xf>
    <xf numFmtId="3" fontId="24" fillId="0" borderId="43" xfId="0" applyNumberFormat="1" applyFont="1" applyBorder="1" applyAlignment="1">
      <alignment horizontal="left" vertical="top" wrapText="1"/>
    </xf>
    <xf numFmtId="0" fontId="25" fillId="24" borderId="5" xfId="0" applyFont="1" applyFill="1" applyBorder="1" applyAlignment="1">
      <alignment horizontal="left" vertical="center" wrapText="1"/>
    </xf>
    <xf numFmtId="0" fontId="25" fillId="24" borderId="6" xfId="0" applyFont="1" applyFill="1" applyBorder="1" applyAlignment="1">
      <alignment horizontal="left" vertical="center" wrapText="1"/>
    </xf>
    <xf numFmtId="0" fontId="25" fillId="24" borderId="32" xfId="0" applyFont="1" applyFill="1" applyBorder="1" applyAlignment="1">
      <alignment horizontal="left" vertical="center" wrapText="1"/>
    </xf>
    <xf numFmtId="3" fontId="25" fillId="24" borderId="5" xfId="0" applyNumberFormat="1" applyFont="1" applyFill="1" applyBorder="1" applyAlignment="1">
      <alignment horizontal="left" vertical="center" wrapText="1"/>
    </xf>
    <xf numFmtId="3" fontId="25" fillId="24" borderId="6" xfId="0" applyNumberFormat="1" applyFont="1" applyFill="1" applyBorder="1" applyAlignment="1">
      <alignment horizontal="left" vertical="center" wrapText="1"/>
    </xf>
    <xf numFmtId="0" fontId="25" fillId="0" borderId="40" xfId="0" applyFont="1" applyBorder="1" applyAlignment="1">
      <alignment horizontal="center"/>
    </xf>
    <xf numFmtId="0" fontId="25" fillId="24" borderId="5" xfId="0" applyFont="1" applyFill="1" applyBorder="1" applyAlignment="1">
      <alignment horizontal="left" vertical="center"/>
    </xf>
    <xf numFmtId="0" fontId="25" fillId="24" borderId="6" xfId="0" applyFont="1" applyFill="1" applyBorder="1" applyAlignment="1">
      <alignment horizontal="left" vertical="center"/>
    </xf>
    <xf numFmtId="0" fontId="25" fillId="0" borderId="0" xfId="0" applyFont="1" applyAlignment="1">
      <alignment horizontal="left"/>
    </xf>
    <xf numFmtId="3" fontId="24" fillId="0" borderId="64" xfId="0" applyNumberFormat="1" applyFont="1" applyBorder="1" applyAlignment="1">
      <alignment horizontal="center" vertical="top" wrapText="1"/>
    </xf>
    <xf numFmtId="3" fontId="24" fillId="0" borderId="54" xfId="0" applyNumberFormat="1" applyFont="1" applyBorder="1" applyAlignment="1">
      <alignment horizontal="center" vertical="top" wrapText="1"/>
    </xf>
    <xf numFmtId="3" fontId="24" fillId="0" borderId="43" xfId="0" applyNumberFormat="1" applyFont="1" applyBorder="1" applyAlignment="1">
      <alignment horizontal="center" vertical="top" wrapText="1"/>
    </xf>
    <xf numFmtId="3" fontId="24" fillId="0" borderId="54" xfId="0" applyNumberFormat="1" applyFont="1" applyBorder="1" applyAlignment="1">
      <alignment horizontal="center" vertical="center" wrapText="1"/>
    </xf>
    <xf numFmtId="3" fontId="25" fillId="24" borderId="5" xfId="0" applyNumberFormat="1" applyFont="1" applyFill="1" applyBorder="1" applyAlignment="1">
      <alignment horizontal="center" vertical="center" wrapText="1"/>
    </xf>
    <xf numFmtId="3" fontId="25" fillId="24" borderId="6" xfId="0" applyNumberFormat="1" applyFont="1" applyFill="1" applyBorder="1" applyAlignment="1">
      <alignment horizontal="center" vertical="center" wrapText="1"/>
    </xf>
    <xf numFmtId="3" fontId="24" fillId="0" borderId="24" xfId="0" applyNumberFormat="1" applyFont="1" applyBorder="1" applyAlignment="1">
      <alignment horizontal="left" vertical="center" wrapText="1"/>
    </xf>
    <xf numFmtId="3" fontId="24" fillId="0" borderId="7" xfId="0" applyNumberFormat="1" applyFont="1" applyBorder="1" applyAlignment="1">
      <alignment horizontal="left" vertical="center" wrapText="1"/>
    </xf>
    <xf numFmtId="3" fontId="24" fillId="0" borderId="19" xfId="0" applyNumberFormat="1" applyFont="1" applyBorder="1" applyAlignment="1">
      <alignment horizontal="left" vertical="center" wrapText="1"/>
    </xf>
    <xf numFmtId="3" fontId="24" fillId="0" borderId="64" xfId="0" applyNumberFormat="1" applyFont="1" applyBorder="1" applyAlignment="1">
      <alignment horizontal="center" vertical="center" wrapText="1"/>
    </xf>
    <xf numFmtId="3" fontId="24" fillId="0" borderId="43" xfId="0" applyNumberFormat="1" applyFont="1" applyBorder="1" applyAlignment="1">
      <alignment horizontal="center" vertical="center" wrapText="1"/>
    </xf>
    <xf numFmtId="3" fontId="25" fillId="24" borderId="21" xfId="0" applyNumberFormat="1" applyFont="1" applyFill="1" applyBorder="1" applyAlignment="1">
      <alignment horizontal="left" vertical="center" wrapText="1"/>
    </xf>
    <xf numFmtId="3" fontId="25" fillId="24" borderId="22" xfId="0" applyNumberFormat="1" applyFont="1" applyFill="1" applyBorder="1" applyAlignment="1">
      <alignment horizontal="left" vertical="center" wrapText="1"/>
    </xf>
    <xf numFmtId="0" fontId="24" fillId="0" borderId="70" xfId="0" applyNumberFormat="1" applyFont="1" applyBorder="1" applyAlignment="1">
      <alignment horizontal="justify" vertical="top" wrapText="1"/>
    </xf>
    <xf numFmtId="0" fontId="24" fillId="0" borderId="42" xfId="0" applyNumberFormat="1" applyFont="1" applyBorder="1" applyAlignment="1">
      <alignment horizontal="justify" vertical="top" wrapText="1"/>
    </xf>
    <xf numFmtId="3" fontId="24" fillId="0" borderId="23" xfId="0" applyNumberFormat="1" applyFont="1" applyBorder="1" applyAlignment="1">
      <alignment horizontal="center" vertical="center" wrapText="1"/>
    </xf>
    <xf numFmtId="3" fontId="24" fillId="0" borderId="17" xfId="0" applyNumberFormat="1" applyFont="1" applyBorder="1" applyAlignment="1">
      <alignment horizontal="center" vertical="center" wrapText="1"/>
    </xf>
    <xf numFmtId="4" fontId="24" fillId="0" borderId="70" xfId="0" applyNumberFormat="1" applyFont="1" applyBorder="1" applyAlignment="1">
      <alignment horizontal="center" vertical="center" wrapText="1"/>
    </xf>
    <xf numFmtId="4" fontId="24" fillId="0" borderId="42" xfId="0" applyNumberFormat="1" applyFont="1" applyBorder="1" applyAlignment="1">
      <alignment horizontal="center" vertical="center" wrapText="1"/>
    </xf>
    <xf numFmtId="0" fontId="24" fillId="0" borderId="70" xfId="0" applyFont="1" applyBorder="1" applyAlignment="1">
      <alignment horizontal="justify" vertical="center" wrapText="1"/>
    </xf>
    <xf numFmtId="0" fontId="24" fillId="0" borderId="42" xfId="0" applyFont="1" applyBorder="1" applyAlignment="1">
      <alignment horizontal="justify" vertical="center" wrapText="1"/>
    </xf>
    <xf numFmtId="3" fontId="24" fillId="0" borderId="64" xfId="0" applyNumberFormat="1" applyFont="1" applyBorder="1" applyAlignment="1">
      <alignment horizontal="justify" vertical="center" wrapText="1"/>
    </xf>
    <xf numFmtId="3" fontId="24" fillId="0" borderId="54" xfId="0" applyNumberFormat="1" applyFont="1" applyBorder="1" applyAlignment="1">
      <alignment horizontal="justify" vertical="center" wrapText="1"/>
    </xf>
    <xf numFmtId="4" fontId="24" fillId="0" borderId="53" xfId="0" applyNumberFormat="1" applyFont="1" applyBorder="1" applyAlignment="1">
      <alignment horizontal="center" vertical="center" wrapText="1"/>
    </xf>
    <xf numFmtId="3" fontId="24" fillId="0" borderId="54" xfId="0" applyNumberFormat="1" applyFont="1" applyFill="1" applyBorder="1" applyAlignment="1">
      <alignment horizontal="left" vertical="center" wrapText="1"/>
    </xf>
    <xf numFmtId="3" fontId="24" fillId="0" borderId="43" xfId="0" applyNumberFormat="1" applyFont="1" applyFill="1" applyBorder="1" applyAlignment="1">
      <alignment horizontal="left" vertical="center" wrapText="1"/>
    </xf>
    <xf numFmtId="0" fontId="25" fillId="24" borderId="22" xfId="0" applyFont="1" applyFill="1" applyBorder="1" applyAlignment="1">
      <alignment horizontal="left" vertical="center" wrapText="1"/>
    </xf>
    <xf numFmtId="3" fontId="31" fillId="0" borderId="0" xfId="0" applyNumberFormat="1" applyFont="1" applyAlignment="1">
      <alignment horizontal="center"/>
    </xf>
    <xf numFmtId="3" fontId="33" fillId="0" borderId="0" xfId="0" applyNumberFormat="1" applyFont="1" applyAlignment="1">
      <alignment horizontal="center"/>
    </xf>
    <xf numFmtId="0" fontId="37" fillId="0" borderId="0" xfId="0" applyFont="1" applyAlignment="1">
      <alignment horizontal="center"/>
    </xf>
    <xf numFmtId="0" fontId="50" fillId="20" borderId="0" xfId="6" applyFont="1" applyFill="1" applyAlignment="1">
      <alignment horizontal="center" vertical="center"/>
    </xf>
    <xf numFmtId="3" fontId="7" fillId="18" borderId="75" xfId="6" applyNumberFormat="1" applyFont="1" applyFill="1" applyBorder="1" applyAlignment="1">
      <alignment horizontal="center" vertical="center" wrapText="1"/>
    </xf>
    <xf numFmtId="3" fontId="7" fillId="18" borderId="76" xfId="6" applyNumberFormat="1" applyFont="1" applyFill="1" applyBorder="1" applyAlignment="1">
      <alignment horizontal="center" vertical="center" wrapText="1"/>
    </xf>
    <xf numFmtId="3" fontId="7" fillId="18" borderId="77" xfId="6" applyNumberFormat="1" applyFont="1" applyFill="1" applyBorder="1" applyAlignment="1">
      <alignment horizontal="center" vertical="center" wrapText="1"/>
    </xf>
    <xf numFmtId="3" fontId="7" fillId="18" borderId="78" xfId="6" applyNumberFormat="1" applyFont="1" applyFill="1" applyBorder="1" applyAlignment="1">
      <alignment horizontal="center" vertical="center" wrapText="1"/>
    </xf>
    <xf numFmtId="3" fontId="7" fillId="18" borderId="18" xfId="6" applyNumberFormat="1" applyFont="1" applyFill="1" applyBorder="1" applyAlignment="1">
      <alignment horizontal="center" vertical="center" wrapText="1"/>
    </xf>
    <xf numFmtId="3" fontId="7" fillId="18" borderId="44" xfId="6" applyNumberFormat="1" applyFont="1" applyFill="1" applyBorder="1" applyAlignment="1">
      <alignment horizontal="center" vertical="center" wrapText="1"/>
    </xf>
    <xf numFmtId="3" fontId="7" fillId="18" borderId="79" xfId="6" applyNumberFormat="1" applyFont="1" applyFill="1" applyBorder="1" applyAlignment="1">
      <alignment horizontal="center" vertical="center" wrapText="1"/>
    </xf>
    <xf numFmtId="3" fontId="7" fillId="18" borderId="80" xfId="6" applyNumberFormat="1" applyFont="1" applyFill="1" applyBorder="1" applyAlignment="1">
      <alignment horizontal="center" vertical="center" wrapText="1"/>
    </xf>
    <xf numFmtId="0" fontId="7" fillId="13" borderId="0" xfId="6" applyFont="1" applyFill="1" applyBorder="1" applyAlignment="1">
      <alignment horizontal="left"/>
    </xf>
    <xf numFmtId="0" fontId="50" fillId="10" borderId="0" xfId="6" applyFont="1" applyFill="1" applyBorder="1" applyAlignment="1">
      <alignment horizontal="left" vertical="center"/>
    </xf>
    <xf numFmtId="0" fontId="7" fillId="0" borderId="0" xfId="6" applyFont="1" applyBorder="1" applyAlignment="1">
      <alignment horizontal="center"/>
    </xf>
    <xf numFmtId="0" fontId="7" fillId="0" borderId="0" xfId="6" applyFont="1" applyAlignment="1">
      <alignment horizontal="center"/>
    </xf>
    <xf numFmtId="3" fontId="16" fillId="21" borderId="34" xfId="6" applyNumberFormat="1" applyFont="1" applyFill="1" applyBorder="1" applyAlignment="1">
      <alignment horizontal="center" vertical="center"/>
    </xf>
    <xf numFmtId="3" fontId="16" fillId="21" borderId="18" xfId="6" applyNumberFormat="1" applyFont="1" applyFill="1" applyBorder="1" applyAlignment="1">
      <alignment horizontal="center" vertical="center"/>
    </xf>
    <xf numFmtId="3" fontId="16" fillId="24" borderId="34" xfId="6" applyNumberFormat="1" applyFont="1" applyFill="1" applyBorder="1" applyAlignment="1">
      <alignment horizontal="center" vertical="center"/>
    </xf>
    <xf numFmtId="3" fontId="16" fillId="24" borderId="44" xfId="6" applyNumberFormat="1" applyFont="1" applyFill="1" applyBorder="1" applyAlignment="1">
      <alignment horizontal="center" vertical="center"/>
    </xf>
    <xf numFmtId="0" fontId="50" fillId="19" borderId="0" xfId="6" applyFont="1" applyFill="1" applyAlignment="1">
      <alignment horizontal="center" vertical="center"/>
    </xf>
    <xf numFmtId="3" fontId="16" fillId="21" borderId="35" xfId="6" applyNumberFormat="1" applyFont="1" applyFill="1" applyBorder="1" applyAlignment="1">
      <alignment horizontal="center" vertical="center"/>
    </xf>
    <xf numFmtId="3" fontId="16" fillId="21" borderId="12" xfId="6" applyNumberFormat="1" applyFont="1" applyFill="1" applyBorder="1" applyAlignment="1">
      <alignment horizontal="center" vertical="center"/>
    </xf>
    <xf numFmtId="3" fontId="16" fillId="24" borderId="35" xfId="6" applyNumberFormat="1" applyFont="1" applyFill="1" applyBorder="1" applyAlignment="1">
      <alignment horizontal="center" vertical="center"/>
    </xf>
    <xf numFmtId="3" fontId="16" fillId="24" borderId="81" xfId="6" applyNumberFormat="1" applyFont="1" applyFill="1" applyBorder="1" applyAlignment="1">
      <alignment horizontal="center" vertical="center"/>
    </xf>
    <xf numFmtId="0" fontId="7" fillId="9" borderId="0" xfId="6" applyFont="1" applyFill="1" applyBorder="1" applyAlignment="1">
      <alignment horizontal="left"/>
    </xf>
    <xf numFmtId="3" fontId="16" fillId="12" borderId="34" xfId="6" applyNumberFormat="1" applyFont="1" applyFill="1" applyBorder="1" applyAlignment="1">
      <alignment horizontal="center" vertical="center"/>
    </xf>
    <xf numFmtId="3" fontId="16" fillId="12" borderId="44" xfId="6" applyNumberFormat="1" applyFont="1" applyFill="1" applyBorder="1" applyAlignment="1">
      <alignment horizontal="center" vertical="center"/>
    </xf>
    <xf numFmtId="3" fontId="16" fillId="12" borderId="35" xfId="6" applyNumberFormat="1" applyFont="1" applyFill="1" applyBorder="1" applyAlignment="1">
      <alignment horizontal="center" vertical="center"/>
    </xf>
    <xf numFmtId="3" fontId="16" fillId="12" borderId="81" xfId="6" applyNumberFormat="1" applyFont="1" applyFill="1" applyBorder="1" applyAlignment="1">
      <alignment horizontal="center" vertical="center"/>
    </xf>
    <xf numFmtId="3" fontId="14" fillId="2" borderId="2" xfId="0" applyNumberFormat="1" applyFont="1" applyFill="1" applyBorder="1" applyAlignment="1">
      <alignment horizontal="center" vertical="center"/>
    </xf>
    <xf numFmtId="3" fontId="14" fillId="2" borderId="27" xfId="0" applyNumberFormat="1" applyFont="1" applyFill="1" applyBorder="1" applyAlignment="1">
      <alignment horizontal="center" vertical="center"/>
    </xf>
    <xf numFmtId="3" fontId="9" fillId="2" borderId="2" xfId="0" applyNumberFormat="1" applyFont="1" applyFill="1" applyBorder="1" applyAlignment="1">
      <alignment horizontal="center" vertical="center"/>
    </xf>
    <xf numFmtId="3" fontId="9" fillId="2" borderId="27" xfId="0" applyNumberFormat="1" applyFont="1" applyFill="1" applyBorder="1" applyAlignment="1">
      <alignment horizontal="center" vertical="center"/>
    </xf>
    <xf numFmtId="37" fontId="12" fillId="7" borderId="2" xfId="0" applyNumberFormat="1" applyFont="1" applyFill="1" applyBorder="1" applyAlignment="1">
      <alignment horizontal="center" vertical="center"/>
    </xf>
    <xf numFmtId="37" fontId="12" fillId="7" borderId="27" xfId="0" applyNumberFormat="1" applyFont="1" applyFill="1" applyBorder="1" applyAlignment="1">
      <alignment horizontal="center" vertical="center"/>
    </xf>
    <xf numFmtId="0" fontId="10" fillId="0" borderId="0" xfId="0" applyFont="1" applyAlignment="1">
      <alignment horizontal="center"/>
    </xf>
    <xf numFmtId="0" fontId="9" fillId="0" borderId="0" xfId="0" applyFont="1" applyAlignment="1">
      <alignment horizontal="center"/>
    </xf>
    <xf numFmtId="0" fontId="9" fillId="0" borderId="1" xfId="0" applyFont="1" applyBorder="1" applyAlignment="1">
      <alignment horizontal="center"/>
    </xf>
    <xf numFmtId="3" fontId="10" fillId="0" borderId="4" xfId="0" applyNumberFormat="1" applyFont="1" applyFill="1" applyBorder="1" applyAlignment="1">
      <alignment horizontal="left" vertical="center"/>
    </xf>
    <xf numFmtId="3" fontId="10" fillId="0" borderId="0" xfId="0" applyNumberFormat="1" applyFont="1" applyFill="1" applyBorder="1" applyAlignment="1">
      <alignment horizontal="left" vertical="center"/>
    </xf>
    <xf numFmtId="0" fontId="9" fillId="0" borderId="14" xfId="0" applyFont="1" applyBorder="1" applyAlignment="1">
      <alignment horizontal="center" vertical="center"/>
    </xf>
  </cellXfs>
  <cellStyles count="12">
    <cellStyle name="Euro" xfId="1" xr:uid="{00000000-0005-0000-0000-000000000000}"/>
    <cellStyle name="Euro 2" xfId="2" xr:uid="{00000000-0005-0000-0000-000001000000}"/>
    <cellStyle name="Euro 3" xfId="3" xr:uid="{00000000-0005-0000-0000-000002000000}"/>
    <cellStyle name="Millares" xfId="4" builtinId="3"/>
    <cellStyle name="Millares 6" xfId="5" xr:uid="{00000000-0005-0000-0000-000004000000}"/>
    <cellStyle name="Normal" xfId="0" builtinId="0"/>
    <cellStyle name="Normal 2 2" xfId="6" xr:uid="{00000000-0005-0000-0000-000006000000}"/>
    <cellStyle name="Normal 2 3" xfId="7" xr:uid="{00000000-0005-0000-0000-000007000000}"/>
    <cellStyle name="Normal 3" xfId="8" xr:uid="{00000000-0005-0000-0000-000008000000}"/>
    <cellStyle name="Normal 4" xfId="9" xr:uid="{00000000-0005-0000-0000-000009000000}"/>
    <cellStyle name="Normal 6" xfId="10" xr:uid="{00000000-0005-0000-0000-00000A000000}"/>
    <cellStyle name="Porcentaje" xfId="11" builtinId="5"/>
  </cellStyles>
  <dxfs count="7">
    <dxf>
      <font>
        <b val="0"/>
        <i val="0"/>
        <strike val="0"/>
        <condense val="0"/>
        <extend val="0"/>
        <outline val="0"/>
        <shadow val="0"/>
        <u val="none"/>
        <vertAlign val="baseline"/>
        <sz val="9"/>
        <color auto="1"/>
        <name val="Tahoma"/>
        <scheme val="none"/>
      </font>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s>
  <tableStyles count="2" defaultTableStyle="TableStyleMedium9" defaultPivotStyle="PivotStyleLight16">
    <tableStyle name="Hoja1-style" pivot="0" count="3" xr9:uid="{00000000-0011-0000-FFFF-FFFF00000000}">
      <tableStyleElement type="headerRow" dxfId="6"/>
      <tableStyleElement type="firstRowStripe" dxfId="5"/>
      <tableStyleElement type="secondRowStripe" dxfId="4"/>
    </tableStyle>
    <tableStyle name="Hoja1-style 2" pivot="0" count="3" xr9:uid="{00000000-0011-0000-FFFF-FFFF01000000}">
      <tableStyleElement type="headerRow" dxfId="3"/>
      <tableStyleElement type="firstRowStripe" dxfId="2"/>
      <tableStyleElement type="secondRowStripe" dxfId="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7.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externalLink" Target="externalLinks/externalLink6.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10.xml.rels><?xml version="1.0" encoding="UTF-8" standalone="yes"?>
<Relationships xmlns="http://schemas.openxmlformats.org/package/2006/relationships"><Relationship Id="rId1" Type="http://schemas.openxmlformats.org/officeDocument/2006/relationships/image" Target="../media/image3.wmf"/></Relationships>
</file>

<file path=xl/drawings/_rels/drawing11.xml.rels><?xml version="1.0" encoding="UTF-8" standalone="yes"?>
<Relationships xmlns="http://schemas.openxmlformats.org/package/2006/relationships"><Relationship Id="rId1" Type="http://schemas.openxmlformats.org/officeDocument/2006/relationships/image" Target="../media/image1.wmf"/></Relationships>
</file>

<file path=xl/drawings/_rels/drawing12.xml.rels><?xml version="1.0" encoding="UTF-8" standalone="yes"?>
<Relationships xmlns="http://schemas.openxmlformats.org/package/2006/relationships"><Relationship Id="rId1" Type="http://schemas.openxmlformats.org/officeDocument/2006/relationships/image" Target="../media/image1.wmf"/></Relationships>
</file>

<file path=xl/drawings/_rels/drawing13.xml.rels><?xml version="1.0" encoding="UTF-8" standalone="yes"?>
<Relationships xmlns="http://schemas.openxmlformats.org/package/2006/relationships"><Relationship Id="rId1" Type="http://schemas.openxmlformats.org/officeDocument/2006/relationships/image" Target="../media/image1.wmf"/></Relationships>
</file>

<file path=xl/drawings/_rels/drawing14.xml.rels><?xml version="1.0" encoding="UTF-8" standalone="yes"?>
<Relationships xmlns="http://schemas.openxmlformats.org/package/2006/relationships"><Relationship Id="rId1" Type="http://schemas.openxmlformats.org/officeDocument/2006/relationships/image" Target="../media/image1.wmf"/></Relationships>
</file>

<file path=xl/drawings/_rels/drawing15.xml.rels><?xml version="1.0" encoding="UTF-8" standalone="yes"?>
<Relationships xmlns="http://schemas.openxmlformats.org/package/2006/relationships"><Relationship Id="rId1" Type="http://schemas.openxmlformats.org/officeDocument/2006/relationships/image" Target="../media/image1.wmf"/></Relationships>
</file>

<file path=xl/drawings/_rels/drawing16.xml.rels><?xml version="1.0" encoding="UTF-8" standalone="yes"?>
<Relationships xmlns="http://schemas.openxmlformats.org/package/2006/relationships"><Relationship Id="rId1" Type="http://schemas.openxmlformats.org/officeDocument/2006/relationships/image" Target="../media/image1.wmf"/></Relationships>
</file>

<file path=xl/drawings/_rels/drawing17.xml.rels><?xml version="1.0" encoding="UTF-8" standalone="yes"?>
<Relationships xmlns="http://schemas.openxmlformats.org/package/2006/relationships"><Relationship Id="rId1" Type="http://schemas.openxmlformats.org/officeDocument/2006/relationships/image" Target="../media/image3.wmf"/></Relationships>
</file>

<file path=xl/drawings/_rels/drawing18.xml.rels><?xml version="1.0" encoding="UTF-8" standalone="yes"?>
<Relationships xmlns="http://schemas.openxmlformats.org/package/2006/relationships"><Relationship Id="rId1" Type="http://schemas.openxmlformats.org/officeDocument/2006/relationships/image" Target="../media/image3.wmf"/></Relationships>
</file>

<file path=xl/drawings/_rels/drawing19.xml.rels><?xml version="1.0" encoding="UTF-8" standalone="yes"?>
<Relationships xmlns="http://schemas.openxmlformats.org/package/2006/relationships"><Relationship Id="rId1" Type="http://schemas.openxmlformats.org/officeDocument/2006/relationships/image" Target="../media/image3.wmf"/></Relationships>
</file>

<file path=xl/drawings/_rels/drawing2.xml.rels><?xml version="1.0" encoding="UTF-8" standalone="yes"?>
<Relationships xmlns="http://schemas.openxmlformats.org/package/2006/relationships"><Relationship Id="rId1" Type="http://schemas.openxmlformats.org/officeDocument/2006/relationships/image" Target="../media/image1.wmf"/></Relationships>
</file>

<file path=xl/drawings/_rels/drawing20.xml.rels><?xml version="1.0" encoding="UTF-8" standalone="yes"?>
<Relationships xmlns="http://schemas.openxmlformats.org/package/2006/relationships"><Relationship Id="rId1" Type="http://schemas.openxmlformats.org/officeDocument/2006/relationships/image" Target="../media/image3.wmf"/></Relationships>
</file>

<file path=xl/drawings/_rels/drawing21.xml.rels><?xml version="1.0" encoding="UTF-8" standalone="yes"?>
<Relationships xmlns="http://schemas.openxmlformats.org/package/2006/relationships"><Relationship Id="rId1" Type="http://schemas.openxmlformats.org/officeDocument/2006/relationships/image" Target="../media/image3.wmf"/></Relationships>
</file>

<file path=xl/drawings/_rels/drawing2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3.xml.rels><?xml version="1.0" encoding="UTF-8" standalone="yes"?>
<Relationships xmlns="http://schemas.openxmlformats.org/package/2006/relationships"><Relationship Id="rId1" Type="http://schemas.openxmlformats.org/officeDocument/2006/relationships/image" Target="../media/image4.png"/></Relationships>
</file>

<file path=xl/drawings/_rels/drawing24.xml.rels><?xml version="1.0" encoding="UTF-8" standalone="yes"?>
<Relationships xmlns="http://schemas.openxmlformats.org/package/2006/relationships"><Relationship Id="rId1" Type="http://schemas.openxmlformats.org/officeDocument/2006/relationships/image" Target="../media/image5.png"/></Relationships>
</file>

<file path=xl/drawings/_rels/drawing25.xml.rels><?xml version="1.0" encoding="UTF-8" standalone="yes"?>
<Relationships xmlns="http://schemas.openxmlformats.org/package/2006/relationships"><Relationship Id="rId1" Type="http://schemas.openxmlformats.org/officeDocument/2006/relationships/image" Target="../media/image3.wmf"/></Relationships>
</file>

<file path=xl/drawings/_rels/drawing26.xml.rels><?xml version="1.0" encoding="UTF-8" standalone="yes"?>
<Relationships xmlns="http://schemas.openxmlformats.org/package/2006/relationships"><Relationship Id="rId1" Type="http://schemas.openxmlformats.org/officeDocument/2006/relationships/image" Target="../media/image3.wmf"/></Relationships>
</file>

<file path=xl/drawings/_rels/drawing3.xml.rels><?xml version="1.0" encoding="UTF-8" standalone="yes"?>
<Relationships xmlns="http://schemas.openxmlformats.org/package/2006/relationships"><Relationship Id="rId2" Type="http://schemas.openxmlformats.org/officeDocument/2006/relationships/image" Target="../media/image3.wmf"/><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wmf"/></Relationships>
</file>

<file path=xl/drawings/_rels/drawing5.xml.rels><?xml version="1.0" encoding="UTF-8" standalone="yes"?>
<Relationships xmlns="http://schemas.openxmlformats.org/package/2006/relationships"><Relationship Id="rId1" Type="http://schemas.openxmlformats.org/officeDocument/2006/relationships/image" Target="../media/image3.wmf"/></Relationships>
</file>

<file path=xl/drawings/_rels/drawing6.xml.rels><?xml version="1.0" encoding="UTF-8" standalone="yes"?>
<Relationships xmlns="http://schemas.openxmlformats.org/package/2006/relationships"><Relationship Id="rId1" Type="http://schemas.openxmlformats.org/officeDocument/2006/relationships/image" Target="../media/image3.wmf"/></Relationships>
</file>

<file path=xl/drawings/_rels/drawing7.xml.rels><?xml version="1.0" encoding="UTF-8" standalone="yes"?>
<Relationships xmlns="http://schemas.openxmlformats.org/package/2006/relationships"><Relationship Id="rId1" Type="http://schemas.openxmlformats.org/officeDocument/2006/relationships/image" Target="../media/image3.wmf"/></Relationships>
</file>

<file path=xl/drawings/_rels/drawing8.xml.rels><?xml version="1.0" encoding="UTF-8" standalone="yes"?>
<Relationships xmlns="http://schemas.openxmlformats.org/package/2006/relationships"><Relationship Id="rId1" Type="http://schemas.openxmlformats.org/officeDocument/2006/relationships/image" Target="../media/image3.wmf"/></Relationships>
</file>

<file path=xl/drawings/_rels/drawing9.xml.rels><?xml version="1.0" encoding="UTF-8" standalone="yes"?>
<Relationships xmlns="http://schemas.openxmlformats.org/package/2006/relationships"><Relationship Id="rId1" Type="http://schemas.openxmlformats.org/officeDocument/2006/relationships/image" Target="../media/image3.wmf"/></Relationships>
</file>

<file path=xl/drawings/drawing1.xml><?xml version="1.0" encoding="utf-8"?>
<xdr:wsDr xmlns:xdr="http://schemas.openxmlformats.org/drawingml/2006/spreadsheetDrawing" xmlns:a="http://schemas.openxmlformats.org/drawingml/2006/main">
  <xdr:twoCellAnchor>
    <xdr:from>
      <xdr:col>0</xdr:col>
      <xdr:colOff>144780</xdr:colOff>
      <xdr:row>0</xdr:row>
      <xdr:rowOff>91440</xdr:rowOff>
    </xdr:from>
    <xdr:to>
      <xdr:col>0</xdr:col>
      <xdr:colOff>948690</xdr:colOff>
      <xdr:row>3</xdr:row>
      <xdr:rowOff>137160</xdr:rowOff>
    </xdr:to>
    <xdr:pic>
      <xdr:nvPicPr>
        <xdr:cNvPr id="305247" name="Picture 1" descr="cmyk">
          <a:extLst>
            <a:ext uri="{FF2B5EF4-FFF2-40B4-BE49-F238E27FC236}">
              <a16:creationId xmlns:a16="http://schemas.microsoft.com/office/drawing/2014/main" id="{9B09DD60-CF9A-4C04-B28A-3F99BB61B55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4780" y="91440"/>
          <a:ext cx="803910" cy="7124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373380</xdr:colOff>
      <xdr:row>0</xdr:row>
      <xdr:rowOff>160020</xdr:rowOff>
    </xdr:from>
    <xdr:to>
      <xdr:col>1</xdr:col>
      <xdr:colOff>381000</xdr:colOff>
      <xdr:row>4</xdr:row>
      <xdr:rowOff>83820</xdr:rowOff>
    </xdr:to>
    <xdr:pic>
      <xdr:nvPicPr>
        <xdr:cNvPr id="315487" name="Picture 1" descr="cmyk">
          <a:extLst>
            <a:ext uri="{FF2B5EF4-FFF2-40B4-BE49-F238E27FC236}">
              <a16:creationId xmlns:a16="http://schemas.microsoft.com/office/drawing/2014/main" id="{640CFC1F-6720-46CC-B978-B3585A9C606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3380" y="99060"/>
          <a:ext cx="601980" cy="701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556260</xdr:colOff>
      <xdr:row>1</xdr:row>
      <xdr:rowOff>30480</xdr:rowOff>
    </xdr:from>
    <xdr:to>
      <xdr:col>1</xdr:col>
      <xdr:colOff>784860</xdr:colOff>
      <xdr:row>5</xdr:row>
      <xdr:rowOff>121920</xdr:rowOff>
    </xdr:to>
    <xdr:pic>
      <xdr:nvPicPr>
        <xdr:cNvPr id="316511" name="Picture 1" descr="cmyk">
          <a:extLst>
            <a:ext uri="{FF2B5EF4-FFF2-40B4-BE49-F238E27FC236}">
              <a16:creationId xmlns:a16="http://schemas.microsoft.com/office/drawing/2014/main" id="{F1270A46-0F14-402B-B093-3E4D90D9AAF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780" y="121920"/>
          <a:ext cx="78486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350520</xdr:colOff>
      <xdr:row>0</xdr:row>
      <xdr:rowOff>91440</xdr:rowOff>
    </xdr:from>
    <xdr:to>
      <xdr:col>1</xdr:col>
      <xdr:colOff>213360</xdr:colOff>
      <xdr:row>4</xdr:row>
      <xdr:rowOff>45720</xdr:rowOff>
    </xdr:to>
    <xdr:pic>
      <xdr:nvPicPr>
        <xdr:cNvPr id="317536" name="Picture 1" descr="cmyk">
          <a:extLst>
            <a:ext uri="{FF2B5EF4-FFF2-40B4-BE49-F238E27FC236}">
              <a16:creationId xmlns:a16="http://schemas.microsoft.com/office/drawing/2014/main" id="{9E39E32A-328F-4351-9CA8-34FAF22FD53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0520" y="91440"/>
          <a:ext cx="594360" cy="777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320040</xdr:colOff>
      <xdr:row>0</xdr:row>
      <xdr:rowOff>129540</xdr:rowOff>
    </xdr:from>
    <xdr:to>
      <xdr:col>1</xdr:col>
      <xdr:colOff>236220</xdr:colOff>
      <xdr:row>4</xdr:row>
      <xdr:rowOff>99060</xdr:rowOff>
    </xdr:to>
    <xdr:pic>
      <xdr:nvPicPr>
        <xdr:cNvPr id="318559" name="Picture 1" descr="cmyk">
          <a:extLst>
            <a:ext uri="{FF2B5EF4-FFF2-40B4-BE49-F238E27FC236}">
              <a16:creationId xmlns:a16="http://schemas.microsoft.com/office/drawing/2014/main" id="{035AA9C0-9D37-498B-BE79-1FED586C2E6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0040" y="129540"/>
          <a:ext cx="647700" cy="792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373380</xdr:colOff>
      <xdr:row>0</xdr:row>
      <xdr:rowOff>114300</xdr:rowOff>
    </xdr:from>
    <xdr:to>
      <xdr:col>1</xdr:col>
      <xdr:colOff>335280</xdr:colOff>
      <xdr:row>4</xdr:row>
      <xdr:rowOff>137160</xdr:rowOff>
    </xdr:to>
    <xdr:pic>
      <xdr:nvPicPr>
        <xdr:cNvPr id="319583" name="Picture 1" descr="cmyk">
          <a:extLst>
            <a:ext uri="{FF2B5EF4-FFF2-40B4-BE49-F238E27FC236}">
              <a16:creationId xmlns:a16="http://schemas.microsoft.com/office/drawing/2014/main" id="{562AFCAF-82AF-44B4-9714-3B62752F065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3380" y="114300"/>
          <a:ext cx="693420" cy="845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342900</xdr:colOff>
      <xdr:row>0</xdr:row>
      <xdr:rowOff>114300</xdr:rowOff>
    </xdr:from>
    <xdr:to>
      <xdr:col>1</xdr:col>
      <xdr:colOff>320040</xdr:colOff>
      <xdr:row>4</xdr:row>
      <xdr:rowOff>144780</xdr:rowOff>
    </xdr:to>
    <xdr:pic>
      <xdr:nvPicPr>
        <xdr:cNvPr id="320607" name="Picture 1" descr="cmyk">
          <a:extLst>
            <a:ext uri="{FF2B5EF4-FFF2-40B4-BE49-F238E27FC236}">
              <a16:creationId xmlns:a16="http://schemas.microsoft.com/office/drawing/2014/main" id="{555DB83F-434A-42D7-BBD3-AB2F709B749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2900" y="114300"/>
          <a:ext cx="708660" cy="853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60960</xdr:colOff>
      <xdr:row>1</xdr:row>
      <xdr:rowOff>83820</xdr:rowOff>
    </xdr:from>
    <xdr:to>
      <xdr:col>0</xdr:col>
      <xdr:colOff>762000</xdr:colOff>
      <xdr:row>4</xdr:row>
      <xdr:rowOff>60960</xdr:rowOff>
    </xdr:to>
    <xdr:pic>
      <xdr:nvPicPr>
        <xdr:cNvPr id="342975" name="Picture 1" descr="cmyk">
          <a:extLst>
            <a:ext uri="{FF2B5EF4-FFF2-40B4-BE49-F238E27FC236}">
              <a16:creationId xmlns:a16="http://schemas.microsoft.com/office/drawing/2014/main" id="{124A2F66-1009-4F67-9939-31DA1724F1D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76" name="Picture 1" descr="cmyk">
          <a:extLst>
            <a:ext uri="{FF2B5EF4-FFF2-40B4-BE49-F238E27FC236}">
              <a16:creationId xmlns:a16="http://schemas.microsoft.com/office/drawing/2014/main" id="{F9E531EF-D429-4D58-AF6E-4AA96E118DC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77" name="Picture 1" descr="cmyk">
          <a:extLst>
            <a:ext uri="{FF2B5EF4-FFF2-40B4-BE49-F238E27FC236}">
              <a16:creationId xmlns:a16="http://schemas.microsoft.com/office/drawing/2014/main" id="{568CA42D-C50E-4CC8-8363-1884E463D07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78" name="Picture 1" descr="cmyk">
          <a:extLst>
            <a:ext uri="{FF2B5EF4-FFF2-40B4-BE49-F238E27FC236}">
              <a16:creationId xmlns:a16="http://schemas.microsoft.com/office/drawing/2014/main" id="{1DA44B4C-6A75-4480-86D2-DDD779F6DAA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79" name="Picture 1" descr="cmyk">
          <a:extLst>
            <a:ext uri="{FF2B5EF4-FFF2-40B4-BE49-F238E27FC236}">
              <a16:creationId xmlns:a16="http://schemas.microsoft.com/office/drawing/2014/main" id="{EBB76B9C-1E1E-415C-8FAE-2B69225F54A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80" name="Picture 1" descr="cmyk">
          <a:extLst>
            <a:ext uri="{FF2B5EF4-FFF2-40B4-BE49-F238E27FC236}">
              <a16:creationId xmlns:a16="http://schemas.microsoft.com/office/drawing/2014/main" id="{AB6BDE48-6722-4F58-9F64-DC7B0B529F7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81" name="Picture 1" descr="cmyk">
          <a:extLst>
            <a:ext uri="{FF2B5EF4-FFF2-40B4-BE49-F238E27FC236}">
              <a16:creationId xmlns:a16="http://schemas.microsoft.com/office/drawing/2014/main" id="{25AAAEE0-D0F6-4598-BE15-6FB0D3FD44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82" name="Picture 1" descr="cmyk">
          <a:extLst>
            <a:ext uri="{FF2B5EF4-FFF2-40B4-BE49-F238E27FC236}">
              <a16:creationId xmlns:a16="http://schemas.microsoft.com/office/drawing/2014/main" id="{891F9E85-F20B-4593-84A0-DF1F01230B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83" name="Picture 1" descr="cmyk">
          <a:extLst>
            <a:ext uri="{FF2B5EF4-FFF2-40B4-BE49-F238E27FC236}">
              <a16:creationId xmlns:a16="http://schemas.microsoft.com/office/drawing/2014/main" id="{3782ACB8-97F3-4F2F-AC3F-3C70CA9A64E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84" name="Picture 1" descr="cmyk">
          <a:extLst>
            <a:ext uri="{FF2B5EF4-FFF2-40B4-BE49-F238E27FC236}">
              <a16:creationId xmlns:a16="http://schemas.microsoft.com/office/drawing/2014/main" id="{CFC1B049-8F3D-4D90-99B9-A6CA69C934F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85" name="Picture 1" descr="cmyk">
          <a:extLst>
            <a:ext uri="{FF2B5EF4-FFF2-40B4-BE49-F238E27FC236}">
              <a16:creationId xmlns:a16="http://schemas.microsoft.com/office/drawing/2014/main" id="{02CD3740-5875-46A6-84F4-54CC6722447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86" name="Picture 1" descr="cmyk">
          <a:extLst>
            <a:ext uri="{FF2B5EF4-FFF2-40B4-BE49-F238E27FC236}">
              <a16:creationId xmlns:a16="http://schemas.microsoft.com/office/drawing/2014/main" id="{724BF2E8-54EC-4A1E-9EBC-5941AE6E93E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87" name="Picture 1" descr="cmyk">
          <a:extLst>
            <a:ext uri="{FF2B5EF4-FFF2-40B4-BE49-F238E27FC236}">
              <a16:creationId xmlns:a16="http://schemas.microsoft.com/office/drawing/2014/main" id="{761C1CBF-8E0E-482E-87C0-F5202E029EC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88" name="Picture 1" descr="cmyk">
          <a:extLst>
            <a:ext uri="{FF2B5EF4-FFF2-40B4-BE49-F238E27FC236}">
              <a16:creationId xmlns:a16="http://schemas.microsoft.com/office/drawing/2014/main" id="{C235270D-AE49-4718-9052-B996F5CEC26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89" name="Picture 1" descr="cmyk">
          <a:extLst>
            <a:ext uri="{FF2B5EF4-FFF2-40B4-BE49-F238E27FC236}">
              <a16:creationId xmlns:a16="http://schemas.microsoft.com/office/drawing/2014/main" id="{320B1A62-EE71-4750-B055-09F896B5C57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90" name="Picture 1" descr="cmyk">
          <a:extLst>
            <a:ext uri="{FF2B5EF4-FFF2-40B4-BE49-F238E27FC236}">
              <a16:creationId xmlns:a16="http://schemas.microsoft.com/office/drawing/2014/main" id="{7DC6AEAB-8B2A-4364-9157-B37E182A3A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91" name="Picture 1" descr="cmyk">
          <a:extLst>
            <a:ext uri="{FF2B5EF4-FFF2-40B4-BE49-F238E27FC236}">
              <a16:creationId xmlns:a16="http://schemas.microsoft.com/office/drawing/2014/main" id="{ECCB2137-9C9A-4CF0-B96C-4798D7FA9F6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92" name="Picture 1" descr="cmyk">
          <a:extLst>
            <a:ext uri="{FF2B5EF4-FFF2-40B4-BE49-F238E27FC236}">
              <a16:creationId xmlns:a16="http://schemas.microsoft.com/office/drawing/2014/main" id="{40A97369-911E-4371-8574-F4DA9CDDC5E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93" name="Picture 1" descr="cmyk">
          <a:extLst>
            <a:ext uri="{FF2B5EF4-FFF2-40B4-BE49-F238E27FC236}">
              <a16:creationId xmlns:a16="http://schemas.microsoft.com/office/drawing/2014/main" id="{332F3760-899A-4B56-9BFE-8BBF16BCC81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94" name="Picture 1" descr="cmyk">
          <a:extLst>
            <a:ext uri="{FF2B5EF4-FFF2-40B4-BE49-F238E27FC236}">
              <a16:creationId xmlns:a16="http://schemas.microsoft.com/office/drawing/2014/main" id="{4A2B90CF-0558-4583-B3B5-CEEBB183885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95" name="Picture 1" descr="cmyk">
          <a:extLst>
            <a:ext uri="{FF2B5EF4-FFF2-40B4-BE49-F238E27FC236}">
              <a16:creationId xmlns:a16="http://schemas.microsoft.com/office/drawing/2014/main" id="{E0F65244-8ED0-43B0-BFBA-88C938CF4F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96" name="Picture 1" descr="cmyk">
          <a:extLst>
            <a:ext uri="{FF2B5EF4-FFF2-40B4-BE49-F238E27FC236}">
              <a16:creationId xmlns:a16="http://schemas.microsoft.com/office/drawing/2014/main" id="{DE232CDC-7C1A-49C2-AB43-7FA97104E2E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97" name="Picture 1" descr="cmyk">
          <a:extLst>
            <a:ext uri="{FF2B5EF4-FFF2-40B4-BE49-F238E27FC236}">
              <a16:creationId xmlns:a16="http://schemas.microsoft.com/office/drawing/2014/main" id="{D59CF546-5CC1-489C-968E-71E2BA8EC5F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98" name="Picture 1" descr="cmyk">
          <a:extLst>
            <a:ext uri="{FF2B5EF4-FFF2-40B4-BE49-F238E27FC236}">
              <a16:creationId xmlns:a16="http://schemas.microsoft.com/office/drawing/2014/main" id="{4EC38B11-9458-46C7-94D8-676F4F8A2F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2999" name="Picture 1" descr="cmyk">
          <a:extLst>
            <a:ext uri="{FF2B5EF4-FFF2-40B4-BE49-F238E27FC236}">
              <a16:creationId xmlns:a16="http://schemas.microsoft.com/office/drawing/2014/main" id="{F41401A4-E2E6-47F2-A311-C5A25540A6D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00" name="Picture 1" descr="cmyk">
          <a:extLst>
            <a:ext uri="{FF2B5EF4-FFF2-40B4-BE49-F238E27FC236}">
              <a16:creationId xmlns:a16="http://schemas.microsoft.com/office/drawing/2014/main" id="{0BF5CDDE-8940-48CE-8992-0F026FED02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01" name="Picture 1" descr="cmyk">
          <a:extLst>
            <a:ext uri="{FF2B5EF4-FFF2-40B4-BE49-F238E27FC236}">
              <a16:creationId xmlns:a16="http://schemas.microsoft.com/office/drawing/2014/main" id="{2D8DCED1-5059-49AB-9BC2-92716CD373E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02" name="Picture 1" descr="cmyk">
          <a:extLst>
            <a:ext uri="{FF2B5EF4-FFF2-40B4-BE49-F238E27FC236}">
              <a16:creationId xmlns:a16="http://schemas.microsoft.com/office/drawing/2014/main" id="{A489F5CC-CFD2-4B08-BCD7-E066CC305EA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03" name="Picture 1" descr="cmyk">
          <a:extLst>
            <a:ext uri="{FF2B5EF4-FFF2-40B4-BE49-F238E27FC236}">
              <a16:creationId xmlns:a16="http://schemas.microsoft.com/office/drawing/2014/main" id="{AC7F14CD-84FB-4195-98DD-DABF650D1C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04" name="Picture 1" descr="cmyk">
          <a:extLst>
            <a:ext uri="{FF2B5EF4-FFF2-40B4-BE49-F238E27FC236}">
              <a16:creationId xmlns:a16="http://schemas.microsoft.com/office/drawing/2014/main" id="{2F0C89CD-BD9B-4B80-8067-FAA7FD17A3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05" name="Picture 1" descr="cmyk">
          <a:extLst>
            <a:ext uri="{FF2B5EF4-FFF2-40B4-BE49-F238E27FC236}">
              <a16:creationId xmlns:a16="http://schemas.microsoft.com/office/drawing/2014/main" id="{ED495710-D4E4-4E7D-984A-8A96D49375A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06" name="Picture 1" descr="cmyk">
          <a:extLst>
            <a:ext uri="{FF2B5EF4-FFF2-40B4-BE49-F238E27FC236}">
              <a16:creationId xmlns:a16="http://schemas.microsoft.com/office/drawing/2014/main" id="{5B423CE4-1305-42F6-8B0A-3C6CF61E6BE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07" name="Picture 1" descr="cmyk">
          <a:extLst>
            <a:ext uri="{FF2B5EF4-FFF2-40B4-BE49-F238E27FC236}">
              <a16:creationId xmlns:a16="http://schemas.microsoft.com/office/drawing/2014/main" id="{3CB64093-3E88-45EE-8EEC-4C5558390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08" name="Picture 1" descr="cmyk">
          <a:extLst>
            <a:ext uri="{FF2B5EF4-FFF2-40B4-BE49-F238E27FC236}">
              <a16:creationId xmlns:a16="http://schemas.microsoft.com/office/drawing/2014/main" id="{7094322A-C8BD-4F3D-88AF-1BBB5A60A47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09" name="Picture 1" descr="cmyk">
          <a:extLst>
            <a:ext uri="{FF2B5EF4-FFF2-40B4-BE49-F238E27FC236}">
              <a16:creationId xmlns:a16="http://schemas.microsoft.com/office/drawing/2014/main" id="{B0478082-DC02-49F1-996B-31D69750E78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10" name="Picture 1" descr="cmyk">
          <a:extLst>
            <a:ext uri="{FF2B5EF4-FFF2-40B4-BE49-F238E27FC236}">
              <a16:creationId xmlns:a16="http://schemas.microsoft.com/office/drawing/2014/main" id="{322D5C5D-D5BB-466E-BCE5-7DDAFC709B4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11" name="Picture 1" descr="cmyk">
          <a:extLst>
            <a:ext uri="{FF2B5EF4-FFF2-40B4-BE49-F238E27FC236}">
              <a16:creationId xmlns:a16="http://schemas.microsoft.com/office/drawing/2014/main" id="{04548C4A-D82E-42F8-B3FE-31E610E8CE2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12" name="Picture 1" descr="cmyk">
          <a:extLst>
            <a:ext uri="{FF2B5EF4-FFF2-40B4-BE49-F238E27FC236}">
              <a16:creationId xmlns:a16="http://schemas.microsoft.com/office/drawing/2014/main" id="{22831E4D-C1CD-448C-942C-D9D0CCD3EB2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13" name="Picture 1" descr="cmyk">
          <a:extLst>
            <a:ext uri="{FF2B5EF4-FFF2-40B4-BE49-F238E27FC236}">
              <a16:creationId xmlns:a16="http://schemas.microsoft.com/office/drawing/2014/main" id="{51EB8C21-970E-47FC-9763-CFF4A99682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14" name="Picture 1" descr="cmyk">
          <a:extLst>
            <a:ext uri="{FF2B5EF4-FFF2-40B4-BE49-F238E27FC236}">
              <a16:creationId xmlns:a16="http://schemas.microsoft.com/office/drawing/2014/main" id="{6B68D3B2-A182-4218-BDFB-3FD5010AF96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15" name="Picture 1" descr="cmyk">
          <a:extLst>
            <a:ext uri="{FF2B5EF4-FFF2-40B4-BE49-F238E27FC236}">
              <a16:creationId xmlns:a16="http://schemas.microsoft.com/office/drawing/2014/main" id="{93FCECE1-19E4-4BC9-AB6F-11209AA483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16" name="Picture 1" descr="cmyk">
          <a:extLst>
            <a:ext uri="{FF2B5EF4-FFF2-40B4-BE49-F238E27FC236}">
              <a16:creationId xmlns:a16="http://schemas.microsoft.com/office/drawing/2014/main" id="{98D83D32-EF0B-4821-9033-49BF514977A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17" name="Picture 1" descr="cmyk">
          <a:extLst>
            <a:ext uri="{FF2B5EF4-FFF2-40B4-BE49-F238E27FC236}">
              <a16:creationId xmlns:a16="http://schemas.microsoft.com/office/drawing/2014/main" id="{91B6D437-F65F-4384-A7D8-191A010E23D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18" name="Picture 1" descr="cmyk">
          <a:extLst>
            <a:ext uri="{FF2B5EF4-FFF2-40B4-BE49-F238E27FC236}">
              <a16:creationId xmlns:a16="http://schemas.microsoft.com/office/drawing/2014/main" id="{0374E499-744E-4396-87E9-25577019FF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19" name="Picture 1" descr="cmyk">
          <a:extLst>
            <a:ext uri="{FF2B5EF4-FFF2-40B4-BE49-F238E27FC236}">
              <a16:creationId xmlns:a16="http://schemas.microsoft.com/office/drawing/2014/main" id="{73DDBD68-0F8D-463C-8EFF-308B96822DE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20" name="Picture 1" descr="cmyk">
          <a:extLst>
            <a:ext uri="{FF2B5EF4-FFF2-40B4-BE49-F238E27FC236}">
              <a16:creationId xmlns:a16="http://schemas.microsoft.com/office/drawing/2014/main" id="{5A851D4A-38C0-4582-9105-4C34940CF42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21" name="Picture 1" descr="cmyk">
          <a:extLst>
            <a:ext uri="{FF2B5EF4-FFF2-40B4-BE49-F238E27FC236}">
              <a16:creationId xmlns:a16="http://schemas.microsoft.com/office/drawing/2014/main" id="{532E22E7-4EFB-4479-B9C5-88262E3596C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22" name="Picture 1" descr="cmyk">
          <a:extLst>
            <a:ext uri="{FF2B5EF4-FFF2-40B4-BE49-F238E27FC236}">
              <a16:creationId xmlns:a16="http://schemas.microsoft.com/office/drawing/2014/main" id="{DF3B8D08-29AC-4657-A015-46F856B11DB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23" name="Picture 1" descr="cmyk">
          <a:extLst>
            <a:ext uri="{FF2B5EF4-FFF2-40B4-BE49-F238E27FC236}">
              <a16:creationId xmlns:a16="http://schemas.microsoft.com/office/drawing/2014/main" id="{3DC722BD-8F97-45CC-8C15-9D2100B519D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24" name="Picture 1" descr="cmyk">
          <a:extLst>
            <a:ext uri="{FF2B5EF4-FFF2-40B4-BE49-F238E27FC236}">
              <a16:creationId xmlns:a16="http://schemas.microsoft.com/office/drawing/2014/main" id="{943D33CF-97C3-439E-A1A8-E9F7B2DA72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25" name="Picture 1" descr="cmyk">
          <a:extLst>
            <a:ext uri="{FF2B5EF4-FFF2-40B4-BE49-F238E27FC236}">
              <a16:creationId xmlns:a16="http://schemas.microsoft.com/office/drawing/2014/main" id="{58D986A6-55B4-4C37-AC50-04B40805C3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26" name="Picture 1" descr="cmyk">
          <a:extLst>
            <a:ext uri="{FF2B5EF4-FFF2-40B4-BE49-F238E27FC236}">
              <a16:creationId xmlns:a16="http://schemas.microsoft.com/office/drawing/2014/main" id="{5505CDE7-F342-4A40-A0D1-71FD297750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27" name="Picture 1" descr="cmyk">
          <a:extLst>
            <a:ext uri="{FF2B5EF4-FFF2-40B4-BE49-F238E27FC236}">
              <a16:creationId xmlns:a16="http://schemas.microsoft.com/office/drawing/2014/main" id="{063868CF-784E-4A81-A665-6B60C7DAF2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28" name="Picture 1" descr="cmyk">
          <a:extLst>
            <a:ext uri="{FF2B5EF4-FFF2-40B4-BE49-F238E27FC236}">
              <a16:creationId xmlns:a16="http://schemas.microsoft.com/office/drawing/2014/main" id="{50CEDE14-1A76-4A0C-8E18-2367F55CFF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29" name="Picture 1" descr="cmyk">
          <a:extLst>
            <a:ext uri="{FF2B5EF4-FFF2-40B4-BE49-F238E27FC236}">
              <a16:creationId xmlns:a16="http://schemas.microsoft.com/office/drawing/2014/main" id="{4FEC17F8-96D4-4A7D-A714-B2E18FD1F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30" name="Picture 1" descr="cmyk">
          <a:extLst>
            <a:ext uri="{FF2B5EF4-FFF2-40B4-BE49-F238E27FC236}">
              <a16:creationId xmlns:a16="http://schemas.microsoft.com/office/drawing/2014/main" id="{78DE4E91-4B1A-45D3-907E-9F8302049A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31" name="Picture 1" descr="cmyk">
          <a:extLst>
            <a:ext uri="{FF2B5EF4-FFF2-40B4-BE49-F238E27FC236}">
              <a16:creationId xmlns:a16="http://schemas.microsoft.com/office/drawing/2014/main" id="{1D34945C-AF30-4D62-95D9-A4A0A75BE7B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32" name="Picture 1" descr="cmyk">
          <a:extLst>
            <a:ext uri="{FF2B5EF4-FFF2-40B4-BE49-F238E27FC236}">
              <a16:creationId xmlns:a16="http://schemas.microsoft.com/office/drawing/2014/main" id="{EA42A274-7069-4082-B769-BB23A142900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33" name="Picture 1" descr="cmyk">
          <a:extLst>
            <a:ext uri="{FF2B5EF4-FFF2-40B4-BE49-F238E27FC236}">
              <a16:creationId xmlns:a16="http://schemas.microsoft.com/office/drawing/2014/main" id="{19E86247-5A03-4A77-87CE-20B6421C439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34" name="Picture 1" descr="cmyk">
          <a:extLst>
            <a:ext uri="{FF2B5EF4-FFF2-40B4-BE49-F238E27FC236}">
              <a16:creationId xmlns:a16="http://schemas.microsoft.com/office/drawing/2014/main" id="{8F034FC8-6C4B-4151-B25F-FC55A160DB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35" name="Picture 1" descr="cmyk">
          <a:extLst>
            <a:ext uri="{FF2B5EF4-FFF2-40B4-BE49-F238E27FC236}">
              <a16:creationId xmlns:a16="http://schemas.microsoft.com/office/drawing/2014/main" id="{636CCDC6-9713-4102-A8B5-FE1DB2B241A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36" name="Picture 1" descr="cmyk">
          <a:extLst>
            <a:ext uri="{FF2B5EF4-FFF2-40B4-BE49-F238E27FC236}">
              <a16:creationId xmlns:a16="http://schemas.microsoft.com/office/drawing/2014/main" id="{49EDCD89-72B1-487D-990F-778FB5C29E0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37" name="Picture 1" descr="cmyk">
          <a:extLst>
            <a:ext uri="{FF2B5EF4-FFF2-40B4-BE49-F238E27FC236}">
              <a16:creationId xmlns:a16="http://schemas.microsoft.com/office/drawing/2014/main" id="{71D9E2EB-B0E0-411D-8433-D4AD51CE8AF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38" name="Picture 1" descr="cmyk">
          <a:extLst>
            <a:ext uri="{FF2B5EF4-FFF2-40B4-BE49-F238E27FC236}">
              <a16:creationId xmlns:a16="http://schemas.microsoft.com/office/drawing/2014/main" id="{C841AC66-0311-40C0-8B3B-8B97B20F371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39" name="Picture 1" descr="cmyk">
          <a:extLst>
            <a:ext uri="{FF2B5EF4-FFF2-40B4-BE49-F238E27FC236}">
              <a16:creationId xmlns:a16="http://schemas.microsoft.com/office/drawing/2014/main" id="{AC794BAC-7166-468D-8AAF-78ECA5C57F6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40" name="Picture 1" descr="cmyk">
          <a:extLst>
            <a:ext uri="{FF2B5EF4-FFF2-40B4-BE49-F238E27FC236}">
              <a16:creationId xmlns:a16="http://schemas.microsoft.com/office/drawing/2014/main" id="{977FD33E-89FC-43FA-A3B1-AF2B4C1DC5D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41" name="Picture 1" descr="cmyk">
          <a:extLst>
            <a:ext uri="{FF2B5EF4-FFF2-40B4-BE49-F238E27FC236}">
              <a16:creationId xmlns:a16="http://schemas.microsoft.com/office/drawing/2014/main" id="{0181FFFC-B721-4FC3-905D-0075BEC447E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42" name="Picture 1" descr="cmyk">
          <a:extLst>
            <a:ext uri="{FF2B5EF4-FFF2-40B4-BE49-F238E27FC236}">
              <a16:creationId xmlns:a16="http://schemas.microsoft.com/office/drawing/2014/main" id="{001314A2-FD22-4E86-967D-7B307B85751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43" name="Picture 1" descr="cmyk">
          <a:extLst>
            <a:ext uri="{FF2B5EF4-FFF2-40B4-BE49-F238E27FC236}">
              <a16:creationId xmlns:a16="http://schemas.microsoft.com/office/drawing/2014/main" id="{D8C289E7-F5BC-4EC6-B09C-E0BBA989EBA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44" name="Picture 1" descr="cmyk">
          <a:extLst>
            <a:ext uri="{FF2B5EF4-FFF2-40B4-BE49-F238E27FC236}">
              <a16:creationId xmlns:a16="http://schemas.microsoft.com/office/drawing/2014/main" id="{4230BB70-3C0A-4F92-8A02-4FE2A7053A4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45" name="Picture 1" descr="cmyk">
          <a:extLst>
            <a:ext uri="{FF2B5EF4-FFF2-40B4-BE49-F238E27FC236}">
              <a16:creationId xmlns:a16="http://schemas.microsoft.com/office/drawing/2014/main" id="{ED6CD691-825A-45FC-9391-35B7D27C105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46" name="Picture 1" descr="cmyk">
          <a:extLst>
            <a:ext uri="{FF2B5EF4-FFF2-40B4-BE49-F238E27FC236}">
              <a16:creationId xmlns:a16="http://schemas.microsoft.com/office/drawing/2014/main" id="{25A84C71-7566-4069-986E-3C8636941FD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47" name="Picture 1" descr="cmyk">
          <a:extLst>
            <a:ext uri="{FF2B5EF4-FFF2-40B4-BE49-F238E27FC236}">
              <a16:creationId xmlns:a16="http://schemas.microsoft.com/office/drawing/2014/main" id="{0581603C-F031-4651-A465-495B4C054C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48" name="Picture 1" descr="cmyk">
          <a:extLst>
            <a:ext uri="{FF2B5EF4-FFF2-40B4-BE49-F238E27FC236}">
              <a16:creationId xmlns:a16="http://schemas.microsoft.com/office/drawing/2014/main" id="{A636C706-7307-46A4-B05A-D787ED9C515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49" name="Picture 1" descr="cmyk">
          <a:extLst>
            <a:ext uri="{FF2B5EF4-FFF2-40B4-BE49-F238E27FC236}">
              <a16:creationId xmlns:a16="http://schemas.microsoft.com/office/drawing/2014/main" id="{2E123438-333F-4BC5-B621-6CB744E7C4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50" name="Picture 1" descr="cmyk">
          <a:extLst>
            <a:ext uri="{FF2B5EF4-FFF2-40B4-BE49-F238E27FC236}">
              <a16:creationId xmlns:a16="http://schemas.microsoft.com/office/drawing/2014/main" id="{2DCB622A-D35B-4ABC-963A-A1CED1BC8E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51" name="Picture 1" descr="cmyk">
          <a:extLst>
            <a:ext uri="{FF2B5EF4-FFF2-40B4-BE49-F238E27FC236}">
              <a16:creationId xmlns:a16="http://schemas.microsoft.com/office/drawing/2014/main" id="{C0B1C77E-592A-48DF-8B58-8D17FCA4A5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52" name="Picture 1" descr="cmyk">
          <a:extLst>
            <a:ext uri="{FF2B5EF4-FFF2-40B4-BE49-F238E27FC236}">
              <a16:creationId xmlns:a16="http://schemas.microsoft.com/office/drawing/2014/main" id="{27ED8BB9-DF39-4F4D-BA47-3C57A32AF6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53" name="Picture 1" descr="cmyk">
          <a:extLst>
            <a:ext uri="{FF2B5EF4-FFF2-40B4-BE49-F238E27FC236}">
              <a16:creationId xmlns:a16="http://schemas.microsoft.com/office/drawing/2014/main" id="{D61EA2B0-32CD-4DBB-8CF2-3DBCA7049B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54" name="Picture 1" descr="cmyk">
          <a:extLst>
            <a:ext uri="{FF2B5EF4-FFF2-40B4-BE49-F238E27FC236}">
              <a16:creationId xmlns:a16="http://schemas.microsoft.com/office/drawing/2014/main" id="{52F09582-A538-4626-A618-27803E46F63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55" name="Picture 1" descr="cmyk">
          <a:extLst>
            <a:ext uri="{FF2B5EF4-FFF2-40B4-BE49-F238E27FC236}">
              <a16:creationId xmlns:a16="http://schemas.microsoft.com/office/drawing/2014/main" id="{992F28B9-102F-43CC-B1B3-BF37BC923A8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56" name="Picture 1" descr="cmyk">
          <a:extLst>
            <a:ext uri="{FF2B5EF4-FFF2-40B4-BE49-F238E27FC236}">
              <a16:creationId xmlns:a16="http://schemas.microsoft.com/office/drawing/2014/main" id="{3CEB0DED-4950-479F-980B-CC992CF2F90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57" name="Picture 1" descr="cmyk">
          <a:extLst>
            <a:ext uri="{FF2B5EF4-FFF2-40B4-BE49-F238E27FC236}">
              <a16:creationId xmlns:a16="http://schemas.microsoft.com/office/drawing/2014/main" id="{295AD5AF-EEC9-443D-B230-ABEAD740098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58" name="Picture 1" descr="cmyk">
          <a:extLst>
            <a:ext uri="{FF2B5EF4-FFF2-40B4-BE49-F238E27FC236}">
              <a16:creationId xmlns:a16="http://schemas.microsoft.com/office/drawing/2014/main" id="{1FBF5ED6-3DCC-4931-87D7-41C48BB88D3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59" name="Picture 1" descr="cmyk">
          <a:extLst>
            <a:ext uri="{FF2B5EF4-FFF2-40B4-BE49-F238E27FC236}">
              <a16:creationId xmlns:a16="http://schemas.microsoft.com/office/drawing/2014/main" id="{6E46DEFB-E7F7-4F04-BAE9-0A4AC3964D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60" name="Picture 1" descr="cmyk">
          <a:extLst>
            <a:ext uri="{FF2B5EF4-FFF2-40B4-BE49-F238E27FC236}">
              <a16:creationId xmlns:a16="http://schemas.microsoft.com/office/drawing/2014/main" id="{75786009-3A84-4D65-A551-7E96E2CA122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61" name="Picture 1" descr="cmyk">
          <a:extLst>
            <a:ext uri="{FF2B5EF4-FFF2-40B4-BE49-F238E27FC236}">
              <a16:creationId xmlns:a16="http://schemas.microsoft.com/office/drawing/2014/main" id="{ADCCC878-F5F1-4426-9FCA-0D94FE0D33A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62" name="Picture 1" descr="cmyk">
          <a:extLst>
            <a:ext uri="{FF2B5EF4-FFF2-40B4-BE49-F238E27FC236}">
              <a16:creationId xmlns:a16="http://schemas.microsoft.com/office/drawing/2014/main" id="{B9EBC9A8-433E-4FE6-94F6-FAB3BDBDE8B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63" name="Picture 1" descr="cmyk">
          <a:extLst>
            <a:ext uri="{FF2B5EF4-FFF2-40B4-BE49-F238E27FC236}">
              <a16:creationId xmlns:a16="http://schemas.microsoft.com/office/drawing/2014/main" id="{9156F567-CECF-453C-B9E7-AA6BD0979C2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64" name="Picture 1" descr="cmyk">
          <a:extLst>
            <a:ext uri="{FF2B5EF4-FFF2-40B4-BE49-F238E27FC236}">
              <a16:creationId xmlns:a16="http://schemas.microsoft.com/office/drawing/2014/main" id="{0EAD41AB-939D-4C34-97E9-78FF1DE8AAE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65" name="Picture 1" descr="cmyk">
          <a:extLst>
            <a:ext uri="{FF2B5EF4-FFF2-40B4-BE49-F238E27FC236}">
              <a16:creationId xmlns:a16="http://schemas.microsoft.com/office/drawing/2014/main" id="{23D5A510-CD22-4F72-A8DB-2790B6D6D40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66" name="Picture 1" descr="cmyk">
          <a:extLst>
            <a:ext uri="{FF2B5EF4-FFF2-40B4-BE49-F238E27FC236}">
              <a16:creationId xmlns:a16="http://schemas.microsoft.com/office/drawing/2014/main" id="{8A025826-5341-4D92-BD94-EFFCAFB0B97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67" name="Picture 1" descr="cmyk">
          <a:extLst>
            <a:ext uri="{FF2B5EF4-FFF2-40B4-BE49-F238E27FC236}">
              <a16:creationId xmlns:a16="http://schemas.microsoft.com/office/drawing/2014/main" id="{363307E6-89BA-4FFF-8018-8E28A7253B6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68" name="Picture 1" descr="cmyk">
          <a:extLst>
            <a:ext uri="{FF2B5EF4-FFF2-40B4-BE49-F238E27FC236}">
              <a16:creationId xmlns:a16="http://schemas.microsoft.com/office/drawing/2014/main" id="{17428B0B-1594-44C6-BB34-520713B5CF2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69" name="Picture 1" descr="cmyk">
          <a:extLst>
            <a:ext uri="{FF2B5EF4-FFF2-40B4-BE49-F238E27FC236}">
              <a16:creationId xmlns:a16="http://schemas.microsoft.com/office/drawing/2014/main" id="{47E933F0-3621-42E5-BD88-60CF3F9259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70" name="Picture 1" descr="cmyk">
          <a:extLst>
            <a:ext uri="{FF2B5EF4-FFF2-40B4-BE49-F238E27FC236}">
              <a16:creationId xmlns:a16="http://schemas.microsoft.com/office/drawing/2014/main" id="{BFDE75AD-4491-430B-8EAD-895E1E2702A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71" name="Picture 1" descr="cmyk">
          <a:extLst>
            <a:ext uri="{FF2B5EF4-FFF2-40B4-BE49-F238E27FC236}">
              <a16:creationId xmlns:a16="http://schemas.microsoft.com/office/drawing/2014/main" id="{78F826D9-49FA-47D3-A570-72B3F6758E6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72" name="Picture 1" descr="cmyk">
          <a:extLst>
            <a:ext uri="{FF2B5EF4-FFF2-40B4-BE49-F238E27FC236}">
              <a16:creationId xmlns:a16="http://schemas.microsoft.com/office/drawing/2014/main" id="{97360038-C62B-4967-A6AE-27B40D26EDF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73" name="Picture 1" descr="cmyk">
          <a:extLst>
            <a:ext uri="{FF2B5EF4-FFF2-40B4-BE49-F238E27FC236}">
              <a16:creationId xmlns:a16="http://schemas.microsoft.com/office/drawing/2014/main" id="{D155BA50-0CFA-4657-BBB6-AFB99DDB9A5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74" name="Picture 1" descr="cmyk">
          <a:extLst>
            <a:ext uri="{FF2B5EF4-FFF2-40B4-BE49-F238E27FC236}">
              <a16:creationId xmlns:a16="http://schemas.microsoft.com/office/drawing/2014/main" id="{D019649C-DB46-4337-AE99-2AF56B47D5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75" name="Picture 1" descr="cmyk">
          <a:extLst>
            <a:ext uri="{FF2B5EF4-FFF2-40B4-BE49-F238E27FC236}">
              <a16:creationId xmlns:a16="http://schemas.microsoft.com/office/drawing/2014/main" id="{5B742640-4888-4380-AFFE-AF80BD55BD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76" name="Picture 1" descr="cmyk">
          <a:extLst>
            <a:ext uri="{FF2B5EF4-FFF2-40B4-BE49-F238E27FC236}">
              <a16:creationId xmlns:a16="http://schemas.microsoft.com/office/drawing/2014/main" id="{0AF6FFB9-DB62-46CF-BE92-39A79F758B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77" name="Picture 1" descr="cmyk">
          <a:extLst>
            <a:ext uri="{FF2B5EF4-FFF2-40B4-BE49-F238E27FC236}">
              <a16:creationId xmlns:a16="http://schemas.microsoft.com/office/drawing/2014/main" id="{C13CF222-3FF3-45CE-8BE6-2814240E702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78" name="Picture 1" descr="cmyk">
          <a:extLst>
            <a:ext uri="{FF2B5EF4-FFF2-40B4-BE49-F238E27FC236}">
              <a16:creationId xmlns:a16="http://schemas.microsoft.com/office/drawing/2014/main" id="{7FD65740-EAD8-45E1-8BF7-12747112607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79" name="Picture 1" descr="cmyk">
          <a:extLst>
            <a:ext uri="{FF2B5EF4-FFF2-40B4-BE49-F238E27FC236}">
              <a16:creationId xmlns:a16="http://schemas.microsoft.com/office/drawing/2014/main" id="{A86EC979-043F-408E-BBD0-CC44F9F83CB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80" name="Picture 1" descr="cmyk">
          <a:extLst>
            <a:ext uri="{FF2B5EF4-FFF2-40B4-BE49-F238E27FC236}">
              <a16:creationId xmlns:a16="http://schemas.microsoft.com/office/drawing/2014/main" id="{59CC1D48-71A8-401C-8062-AF7C5AA730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81" name="Picture 1" descr="cmyk">
          <a:extLst>
            <a:ext uri="{FF2B5EF4-FFF2-40B4-BE49-F238E27FC236}">
              <a16:creationId xmlns:a16="http://schemas.microsoft.com/office/drawing/2014/main" id="{DC2F1044-15CC-4A98-8B7A-4EC1F701218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82" name="Picture 1" descr="cmyk">
          <a:extLst>
            <a:ext uri="{FF2B5EF4-FFF2-40B4-BE49-F238E27FC236}">
              <a16:creationId xmlns:a16="http://schemas.microsoft.com/office/drawing/2014/main" id="{A6DE1CA8-DC91-43BA-A7E2-9DCF91B14AA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83" name="Picture 1" descr="cmyk">
          <a:extLst>
            <a:ext uri="{FF2B5EF4-FFF2-40B4-BE49-F238E27FC236}">
              <a16:creationId xmlns:a16="http://schemas.microsoft.com/office/drawing/2014/main" id="{D03B9A8A-1C53-4227-8CFE-3459BA7AE6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84" name="Picture 1" descr="cmyk">
          <a:extLst>
            <a:ext uri="{FF2B5EF4-FFF2-40B4-BE49-F238E27FC236}">
              <a16:creationId xmlns:a16="http://schemas.microsoft.com/office/drawing/2014/main" id="{F46018C8-4CD0-4076-9C8A-B7DBDE233CE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85" name="Picture 1" descr="cmyk">
          <a:extLst>
            <a:ext uri="{FF2B5EF4-FFF2-40B4-BE49-F238E27FC236}">
              <a16:creationId xmlns:a16="http://schemas.microsoft.com/office/drawing/2014/main" id="{BA51DEC4-2525-419D-992A-20AA86CBDC2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86" name="Picture 1" descr="cmyk">
          <a:extLst>
            <a:ext uri="{FF2B5EF4-FFF2-40B4-BE49-F238E27FC236}">
              <a16:creationId xmlns:a16="http://schemas.microsoft.com/office/drawing/2014/main" id="{403DE0DF-40F0-4B23-A27F-E23E1CA1EA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87" name="Picture 1" descr="cmyk">
          <a:extLst>
            <a:ext uri="{FF2B5EF4-FFF2-40B4-BE49-F238E27FC236}">
              <a16:creationId xmlns:a16="http://schemas.microsoft.com/office/drawing/2014/main" id="{1C66A9A7-0E6F-4AB4-B3CF-82B0E6A289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88" name="Picture 1" descr="cmyk">
          <a:extLst>
            <a:ext uri="{FF2B5EF4-FFF2-40B4-BE49-F238E27FC236}">
              <a16:creationId xmlns:a16="http://schemas.microsoft.com/office/drawing/2014/main" id="{8B841046-B662-4FDB-8EB3-67A7654F08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89" name="Picture 1" descr="cmyk">
          <a:extLst>
            <a:ext uri="{FF2B5EF4-FFF2-40B4-BE49-F238E27FC236}">
              <a16:creationId xmlns:a16="http://schemas.microsoft.com/office/drawing/2014/main" id="{60258E73-CF00-488F-B045-1B749DF1E85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90" name="Picture 1" descr="cmyk">
          <a:extLst>
            <a:ext uri="{FF2B5EF4-FFF2-40B4-BE49-F238E27FC236}">
              <a16:creationId xmlns:a16="http://schemas.microsoft.com/office/drawing/2014/main" id="{8F4FFCAA-4BDE-44EB-8A72-F225BC94F2A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91" name="Picture 1" descr="cmyk">
          <a:extLst>
            <a:ext uri="{FF2B5EF4-FFF2-40B4-BE49-F238E27FC236}">
              <a16:creationId xmlns:a16="http://schemas.microsoft.com/office/drawing/2014/main" id="{EDB1C248-C093-4C9F-B797-D5569F71E6D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92" name="Picture 1" descr="cmyk">
          <a:extLst>
            <a:ext uri="{FF2B5EF4-FFF2-40B4-BE49-F238E27FC236}">
              <a16:creationId xmlns:a16="http://schemas.microsoft.com/office/drawing/2014/main" id="{CEE49224-6902-4189-A09A-E65BBF0C9A3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93" name="Picture 1" descr="cmyk">
          <a:extLst>
            <a:ext uri="{FF2B5EF4-FFF2-40B4-BE49-F238E27FC236}">
              <a16:creationId xmlns:a16="http://schemas.microsoft.com/office/drawing/2014/main" id="{338F5F88-58D3-448E-99FD-EC04681D6ED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94" name="Picture 1" descr="cmyk">
          <a:extLst>
            <a:ext uri="{FF2B5EF4-FFF2-40B4-BE49-F238E27FC236}">
              <a16:creationId xmlns:a16="http://schemas.microsoft.com/office/drawing/2014/main" id="{040B1B61-AA96-4A29-AE28-407AD249A2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95" name="Picture 1" descr="cmyk">
          <a:extLst>
            <a:ext uri="{FF2B5EF4-FFF2-40B4-BE49-F238E27FC236}">
              <a16:creationId xmlns:a16="http://schemas.microsoft.com/office/drawing/2014/main" id="{4E706624-26F3-40B3-8DF5-1EC440D3BA5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96" name="Picture 1" descr="cmyk">
          <a:extLst>
            <a:ext uri="{FF2B5EF4-FFF2-40B4-BE49-F238E27FC236}">
              <a16:creationId xmlns:a16="http://schemas.microsoft.com/office/drawing/2014/main" id="{658BEC99-C4D4-4B8A-AE8B-186CDD8C3EB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97" name="Picture 1" descr="cmyk">
          <a:extLst>
            <a:ext uri="{FF2B5EF4-FFF2-40B4-BE49-F238E27FC236}">
              <a16:creationId xmlns:a16="http://schemas.microsoft.com/office/drawing/2014/main" id="{74AA0604-5EF5-4B2E-82C7-791087A32E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98" name="Picture 1" descr="cmyk">
          <a:extLst>
            <a:ext uri="{FF2B5EF4-FFF2-40B4-BE49-F238E27FC236}">
              <a16:creationId xmlns:a16="http://schemas.microsoft.com/office/drawing/2014/main" id="{C654C5FB-1396-4136-ABA6-5C9FE41FAAC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099" name="Picture 1" descr="cmyk">
          <a:extLst>
            <a:ext uri="{FF2B5EF4-FFF2-40B4-BE49-F238E27FC236}">
              <a16:creationId xmlns:a16="http://schemas.microsoft.com/office/drawing/2014/main" id="{E061ECF7-762B-48B3-AB74-B40D1607E5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00" name="Picture 1" descr="cmyk">
          <a:extLst>
            <a:ext uri="{FF2B5EF4-FFF2-40B4-BE49-F238E27FC236}">
              <a16:creationId xmlns:a16="http://schemas.microsoft.com/office/drawing/2014/main" id="{22A85387-4F62-4F6A-9597-9E5970824FA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01" name="Picture 1" descr="cmyk">
          <a:extLst>
            <a:ext uri="{FF2B5EF4-FFF2-40B4-BE49-F238E27FC236}">
              <a16:creationId xmlns:a16="http://schemas.microsoft.com/office/drawing/2014/main" id="{2CD80274-D0E1-40C0-9EB1-A8B426538E2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02" name="Picture 1" descr="cmyk">
          <a:extLst>
            <a:ext uri="{FF2B5EF4-FFF2-40B4-BE49-F238E27FC236}">
              <a16:creationId xmlns:a16="http://schemas.microsoft.com/office/drawing/2014/main" id="{39E9566D-F829-4BA8-98DF-B7CEEDC71CD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03" name="Picture 1" descr="cmyk">
          <a:extLst>
            <a:ext uri="{FF2B5EF4-FFF2-40B4-BE49-F238E27FC236}">
              <a16:creationId xmlns:a16="http://schemas.microsoft.com/office/drawing/2014/main" id="{D1752C69-C6DA-4ECE-9B02-5D6102D167C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04" name="Picture 1" descr="cmyk">
          <a:extLst>
            <a:ext uri="{FF2B5EF4-FFF2-40B4-BE49-F238E27FC236}">
              <a16:creationId xmlns:a16="http://schemas.microsoft.com/office/drawing/2014/main" id="{A97BE32C-B6CD-46F2-9074-DB4BD06BF87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05" name="Picture 1" descr="cmyk">
          <a:extLst>
            <a:ext uri="{FF2B5EF4-FFF2-40B4-BE49-F238E27FC236}">
              <a16:creationId xmlns:a16="http://schemas.microsoft.com/office/drawing/2014/main" id="{2303A6EE-D2B5-45C0-8DF3-0CBE98EB6B0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06" name="Picture 1" descr="cmyk">
          <a:extLst>
            <a:ext uri="{FF2B5EF4-FFF2-40B4-BE49-F238E27FC236}">
              <a16:creationId xmlns:a16="http://schemas.microsoft.com/office/drawing/2014/main" id="{3A2C5F59-6FBC-4B18-90FF-49523FF8886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07" name="Picture 1" descr="cmyk">
          <a:extLst>
            <a:ext uri="{FF2B5EF4-FFF2-40B4-BE49-F238E27FC236}">
              <a16:creationId xmlns:a16="http://schemas.microsoft.com/office/drawing/2014/main" id="{EE12A538-5C95-4EFD-B844-817C7715ED3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08" name="Picture 1" descr="cmyk">
          <a:extLst>
            <a:ext uri="{FF2B5EF4-FFF2-40B4-BE49-F238E27FC236}">
              <a16:creationId xmlns:a16="http://schemas.microsoft.com/office/drawing/2014/main" id="{8BAFF9E4-05D8-4CB2-8EE6-21DAAEC2B7E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09" name="Picture 1" descr="cmyk">
          <a:extLst>
            <a:ext uri="{FF2B5EF4-FFF2-40B4-BE49-F238E27FC236}">
              <a16:creationId xmlns:a16="http://schemas.microsoft.com/office/drawing/2014/main" id="{AC658B7F-CD63-43EE-BD5E-7E9CB45C8BC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10" name="Picture 1" descr="cmyk">
          <a:extLst>
            <a:ext uri="{FF2B5EF4-FFF2-40B4-BE49-F238E27FC236}">
              <a16:creationId xmlns:a16="http://schemas.microsoft.com/office/drawing/2014/main" id="{00AB165D-1A11-4F65-A33E-00C553D05A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11" name="Picture 1" descr="cmyk">
          <a:extLst>
            <a:ext uri="{FF2B5EF4-FFF2-40B4-BE49-F238E27FC236}">
              <a16:creationId xmlns:a16="http://schemas.microsoft.com/office/drawing/2014/main" id="{F42F08D8-ED0C-4AC3-870A-50FCC0D04C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12" name="Picture 1" descr="cmyk">
          <a:extLst>
            <a:ext uri="{FF2B5EF4-FFF2-40B4-BE49-F238E27FC236}">
              <a16:creationId xmlns:a16="http://schemas.microsoft.com/office/drawing/2014/main" id="{F507F723-E363-4AE2-8B56-60EB69AA62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13" name="Picture 1" descr="cmyk">
          <a:extLst>
            <a:ext uri="{FF2B5EF4-FFF2-40B4-BE49-F238E27FC236}">
              <a16:creationId xmlns:a16="http://schemas.microsoft.com/office/drawing/2014/main" id="{6E67DD1A-A70B-4AAD-B904-CCC39485AB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14" name="Picture 1" descr="cmyk">
          <a:extLst>
            <a:ext uri="{FF2B5EF4-FFF2-40B4-BE49-F238E27FC236}">
              <a16:creationId xmlns:a16="http://schemas.microsoft.com/office/drawing/2014/main" id="{20EF28CD-2C3A-4F85-ABD3-0C8771B2DDB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15" name="Picture 1" descr="cmyk">
          <a:extLst>
            <a:ext uri="{FF2B5EF4-FFF2-40B4-BE49-F238E27FC236}">
              <a16:creationId xmlns:a16="http://schemas.microsoft.com/office/drawing/2014/main" id="{B52DEAB9-DE31-48FB-AA5A-A5A7DE2B26A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16" name="Picture 1" descr="cmyk">
          <a:extLst>
            <a:ext uri="{FF2B5EF4-FFF2-40B4-BE49-F238E27FC236}">
              <a16:creationId xmlns:a16="http://schemas.microsoft.com/office/drawing/2014/main" id="{9CDA81B4-1B3C-4CEC-BC66-5B65FFBCA25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17" name="Picture 1" descr="cmyk">
          <a:extLst>
            <a:ext uri="{FF2B5EF4-FFF2-40B4-BE49-F238E27FC236}">
              <a16:creationId xmlns:a16="http://schemas.microsoft.com/office/drawing/2014/main" id="{822D1A4F-3C67-4C70-986C-1FD10B9A9B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18" name="Picture 1" descr="cmyk">
          <a:extLst>
            <a:ext uri="{FF2B5EF4-FFF2-40B4-BE49-F238E27FC236}">
              <a16:creationId xmlns:a16="http://schemas.microsoft.com/office/drawing/2014/main" id="{11E111E8-8FF5-4A70-8DCF-96E5845198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19" name="Picture 1" descr="cmyk">
          <a:extLst>
            <a:ext uri="{FF2B5EF4-FFF2-40B4-BE49-F238E27FC236}">
              <a16:creationId xmlns:a16="http://schemas.microsoft.com/office/drawing/2014/main" id="{96C36AD0-B430-40FF-A52E-C1CF061D4C3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20" name="Picture 1" descr="cmyk">
          <a:extLst>
            <a:ext uri="{FF2B5EF4-FFF2-40B4-BE49-F238E27FC236}">
              <a16:creationId xmlns:a16="http://schemas.microsoft.com/office/drawing/2014/main" id="{AB1BD5AC-5170-4DB9-9B01-6155378D435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21" name="Picture 1" descr="cmyk">
          <a:extLst>
            <a:ext uri="{FF2B5EF4-FFF2-40B4-BE49-F238E27FC236}">
              <a16:creationId xmlns:a16="http://schemas.microsoft.com/office/drawing/2014/main" id="{ED1ABBE3-5A53-4F0B-AA35-052ED404762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22" name="Picture 1" descr="cmyk">
          <a:extLst>
            <a:ext uri="{FF2B5EF4-FFF2-40B4-BE49-F238E27FC236}">
              <a16:creationId xmlns:a16="http://schemas.microsoft.com/office/drawing/2014/main" id="{7EAA3608-42B8-42A4-A829-AF72E870576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23" name="Picture 1" descr="cmyk">
          <a:extLst>
            <a:ext uri="{FF2B5EF4-FFF2-40B4-BE49-F238E27FC236}">
              <a16:creationId xmlns:a16="http://schemas.microsoft.com/office/drawing/2014/main" id="{C26FA00C-40C3-4B67-B4ED-018D2C1243D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24" name="Picture 1" descr="cmyk">
          <a:extLst>
            <a:ext uri="{FF2B5EF4-FFF2-40B4-BE49-F238E27FC236}">
              <a16:creationId xmlns:a16="http://schemas.microsoft.com/office/drawing/2014/main" id="{D5EFA6C9-31C2-41A3-A7A6-456E75F6D05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25" name="Picture 1" descr="cmyk">
          <a:extLst>
            <a:ext uri="{FF2B5EF4-FFF2-40B4-BE49-F238E27FC236}">
              <a16:creationId xmlns:a16="http://schemas.microsoft.com/office/drawing/2014/main" id="{5AE0F58F-E416-488C-AE97-533E37AD38E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26" name="Picture 1" descr="cmyk">
          <a:extLst>
            <a:ext uri="{FF2B5EF4-FFF2-40B4-BE49-F238E27FC236}">
              <a16:creationId xmlns:a16="http://schemas.microsoft.com/office/drawing/2014/main" id="{CB064643-E433-4081-B485-FEF7251EA4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27" name="Picture 1" descr="cmyk">
          <a:extLst>
            <a:ext uri="{FF2B5EF4-FFF2-40B4-BE49-F238E27FC236}">
              <a16:creationId xmlns:a16="http://schemas.microsoft.com/office/drawing/2014/main" id="{107EC73C-8DD1-48D7-84F7-02AB184E2EA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28" name="Picture 1" descr="cmyk">
          <a:extLst>
            <a:ext uri="{FF2B5EF4-FFF2-40B4-BE49-F238E27FC236}">
              <a16:creationId xmlns:a16="http://schemas.microsoft.com/office/drawing/2014/main" id="{2FE20F73-1FC0-4789-BDEC-52EF4F18C9F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29" name="Picture 1" descr="cmyk">
          <a:extLst>
            <a:ext uri="{FF2B5EF4-FFF2-40B4-BE49-F238E27FC236}">
              <a16:creationId xmlns:a16="http://schemas.microsoft.com/office/drawing/2014/main" id="{DC3758FB-494A-4FA6-BBB6-106F4D1C462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30" name="Picture 1" descr="cmyk">
          <a:extLst>
            <a:ext uri="{FF2B5EF4-FFF2-40B4-BE49-F238E27FC236}">
              <a16:creationId xmlns:a16="http://schemas.microsoft.com/office/drawing/2014/main" id="{0EBE1379-9915-4F78-9029-373ECA3A70D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31" name="Picture 1" descr="cmyk">
          <a:extLst>
            <a:ext uri="{FF2B5EF4-FFF2-40B4-BE49-F238E27FC236}">
              <a16:creationId xmlns:a16="http://schemas.microsoft.com/office/drawing/2014/main" id="{5548C97D-CE2F-46DF-ADEA-76E3FC1BA6C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32" name="Picture 1" descr="cmyk">
          <a:extLst>
            <a:ext uri="{FF2B5EF4-FFF2-40B4-BE49-F238E27FC236}">
              <a16:creationId xmlns:a16="http://schemas.microsoft.com/office/drawing/2014/main" id="{59C31B71-F8B0-4B9B-BE6E-CA78233C1FB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33" name="Picture 1" descr="cmyk">
          <a:extLst>
            <a:ext uri="{FF2B5EF4-FFF2-40B4-BE49-F238E27FC236}">
              <a16:creationId xmlns:a16="http://schemas.microsoft.com/office/drawing/2014/main" id="{B15D8B21-AD90-46F7-A231-5DB2189AFF4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34" name="Picture 1" descr="cmyk">
          <a:extLst>
            <a:ext uri="{FF2B5EF4-FFF2-40B4-BE49-F238E27FC236}">
              <a16:creationId xmlns:a16="http://schemas.microsoft.com/office/drawing/2014/main" id="{FE6E1F24-AB50-4B08-BB4F-DF5EF9BEFE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60960</xdr:colOff>
      <xdr:row>1</xdr:row>
      <xdr:rowOff>83820</xdr:rowOff>
    </xdr:from>
    <xdr:to>
      <xdr:col>0</xdr:col>
      <xdr:colOff>762000</xdr:colOff>
      <xdr:row>4</xdr:row>
      <xdr:rowOff>60960</xdr:rowOff>
    </xdr:to>
    <xdr:pic>
      <xdr:nvPicPr>
        <xdr:cNvPr id="343135" name="Picture 1" descr="cmyk">
          <a:extLst>
            <a:ext uri="{FF2B5EF4-FFF2-40B4-BE49-F238E27FC236}">
              <a16:creationId xmlns:a16="http://schemas.microsoft.com/office/drawing/2014/main" id="{87BFA0EF-A55E-47F7-BE20-7D3AD381CFD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60" y="259080"/>
          <a:ext cx="701040" cy="5029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906780</xdr:colOff>
      <xdr:row>3</xdr:row>
      <xdr:rowOff>38100</xdr:rowOff>
    </xdr:from>
    <xdr:to>
      <xdr:col>2</xdr:col>
      <xdr:colOff>640080</xdr:colOff>
      <xdr:row>9</xdr:row>
      <xdr:rowOff>236220</xdr:rowOff>
    </xdr:to>
    <xdr:pic>
      <xdr:nvPicPr>
        <xdr:cNvPr id="321631" name="Picture 3" descr="cmyk">
          <a:extLst>
            <a:ext uri="{FF2B5EF4-FFF2-40B4-BE49-F238E27FC236}">
              <a16:creationId xmlns:a16="http://schemas.microsoft.com/office/drawing/2014/main" id="{5D91750E-50F8-4C8E-9A40-6F4D8E1E4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3420" y="662940"/>
          <a:ext cx="784860" cy="815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792480</xdr:colOff>
      <xdr:row>4</xdr:row>
      <xdr:rowOff>68580</xdr:rowOff>
    </xdr:from>
    <xdr:to>
      <xdr:col>2</xdr:col>
      <xdr:colOff>350520</xdr:colOff>
      <xdr:row>7</xdr:row>
      <xdr:rowOff>30480</xdr:rowOff>
    </xdr:to>
    <xdr:pic>
      <xdr:nvPicPr>
        <xdr:cNvPr id="322655" name="Picture 3" descr="cmyk">
          <a:extLst>
            <a:ext uri="{FF2B5EF4-FFF2-40B4-BE49-F238E27FC236}">
              <a16:creationId xmlns:a16="http://schemas.microsoft.com/office/drawing/2014/main" id="{85FAB7E2-33EA-4BCF-B5F3-D07B1DF88BD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4860" y="899160"/>
          <a:ext cx="48006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822960</xdr:colOff>
      <xdr:row>3</xdr:row>
      <xdr:rowOff>83820</xdr:rowOff>
    </xdr:from>
    <xdr:to>
      <xdr:col>2</xdr:col>
      <xdr:colOff>411480</xdr:colOff>
      <xdr:row>6</xdr:row>
      <xdr:rowOff>91440</xdr:rowOff>
    </xdr:to>
    <xdr:pic>
      <xdr:nvPicPr>
        <xdr:cNvPr id="323679" name="Picture 3" descr="cmyk">
          <a:extLst>
            <a:ext uri="{FF2B5EF4-FFF2-40B4-BE49-F238E27FC236}">
              <a16:creationId xmlns:a16="http://schemas.microsoft.com/office/drawing/2014/main" id="{2AFD878D-C9C6-4478-B3E8-B49864B5777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4860" y="708660"/>
          <a:ext cx="571500"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182880</xdr:colOff>
      <xdr:row>0</xdr:row>
      <xdr:rowOff>68580</xdr:rowOff>
    </xdr:from>
    <xdr:to>
      <xdr:col>0</xdr:col>
      <xdr:colOff>1158240</xdr:colOff>
      <xdr:row>3</xdr:row>
      <xdr:rowOff>114300</xdr:rowOff>
    </xdr:to>
    <xdr:pic>
      <xdr:nvPicPr>
        <xdr:cNvPr id="306271" name="Picture 1" descr="cmyk">
          <a:extLst>
            <a:ext uri="{FF2B5EF4-FFF2-40B4-BE49-F238E27FC236}">
              <a16:creationId xmlns:a16="http://schemas.microsoft.com/office/drawing/2014/main" id="{D0B3D5E1-4772-41D3-BDA4-5089EF01F40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2880" y="68580"/>
          <a:ext cx="975360" cy="662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1</xdr:col>
      <xdr:colOff>45720</xdr:colOff>
      <xdr:row>3</xdr:row>
      <xdr:rowOff>198120</xdr:rowOff>
    </xdr:from>
    <xdr:to>
      <xdr:col>2</xdr:col>
      <xdr:colOff>647700</xdr:colOff>
      <xdr:row>7</xdr:row>
      <xdr:rowOff>114300</xdr:rowOff>
    </xdr:to>
    <xdr:pic>
      <xdr:nvPicPr>
        <xdr:cNvPr id="324703" name="Picture 3" descr="cmyk">
          <a:extLst>
            <a:ext uri="{FF2B5EF4-FFF2-40B4-BE49-F238E27FC236}">
              <a16:creationId xmlns:a16="http://schemas.microsoft.com/office/drawing/2014/main" id="{3B4471FF-A7A9-4E08-AF14-9059469A134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7220" y="792480"/>
          <a:ext cx="746760" cy="739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502920</xdr:colOff>
      <xdr:row>2</xdr:row>
      <xdr:rowOff>213360</xdr:rowOff>
    </xdr:from>
    <xdr:to>
      <xdr:col>2</xdr:col>
      <xdr:colOff>182880</xdr:colOff>
      <xdr:row>5</xdr:row>
      <xdr:rowOff>175260</xdr:rowOff>
    </xdr:to>
    <xdr:pic>
      <xdr:nvPicPr>
        <xdr:cNvPr id="325727" name="Picture 3" descr="cmyk">
          <a:extLst>
            <a:ext uri="{FF2B5EF4-FFF2-40B4-BE49-F238E27FC236}">
              <a16:creationId xmlns:a16="http://schemas.microsoft.com/office/drawing/2014/main" id="{CDDE2D97-F8D2-48B0-B434-16EA13FA883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2920" y="624840"/>
          <a:ext cx="480060" cy="586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251460</xdr:colOff>
      <xdr:row>1</xdr:row>
      <xdr:rowOff>30480</xdr:rowOff>
    </xdr:from>
    <xdr:to>
      <xdr:col>1</xdr:col>
      <xdr:colOff>922020</xdr:colOff>
      <xdr:row>5</xdr:row>
      <xdr:rowOff>114300</xdr:rowOff>
    </xdr:to>
    <xdr:pic>
      <xdr:nvPicPr>
        <xdr:cNvPr id="117462" name="Imagen 2">
          <a:extLst>
            <a:ext uri="{FF2B5EF4-FFF2-40B4-BE49-F238E27FC236}">
              <a16:creationId xmlns:a16="http://schemas.microsoft.com/office/drawing/2014/main" id="{5E7A1EDD-C763-47E8-A50F-4B7ED7594F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880" y="175260"/>
          <a:ext cx="655320" cy="662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251460</xdr:colOff>
      <xdr:row>1</xdr:row>
      <xdr:rowOff>30480</xdr:rowOff>
    </xdr:from>
    <xdr:to>
      <xdr:col>1</xdr:col>
      <xdr:colOff>922020</xdr:colOff>
      <xdr:row>5</xdr:row>
      <xdr:rowOff>114300</xdr:rowOff>
    </xdr:to>
    <xdr:pic>
      <xdr:nvPicPr>
        <xdr:cNvPr id="214360" name="Imagen 2">
          <a:extLst>
            <a:ext uri="{FF2B5EF4-FFF2-40B4-BE49-F238E27FC236}">
              <a16:creationId xmlns:a16="http://schemas.microsoft.com/office/drawing/2014/main" id="{04651711-D089-4F5B-BDEA-612224938E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880" y="175260"/>
          <a:ext cx="655320" cy="662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1</xdr:col>
      <xdr:colOff>701040</xdr:colOff>
      <xdr:row>0</xdr:row>
      <xdr:rowOff>160020</xdr:rowOff>
    </xdr:from>
    <xdr:to>
      <xdr:col>1</xdr:col>
      <xdr:colOff>1653540</xdr:colOff>
      <xdr:row>5</xdr:row>
      <xdr:rowOff>30480</xdr:rowOff>
    </xdr:to>
    <xdr:pic>
      <xdr:nvPicPr>
        <xdr:cNvPr id="118482" name="Imagen 2">
          <a:extLst>
            <a:ext uri="{FF2B5EF4-FFF2-40B4-BE49-F238E27FC236}">
              <a16:creationId xmlns:a16="http://schemas.microsoft.com/office/drawing/2014/main" id="{8E913563-F48D-4F05-B980-96600B9D4E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 y="144780"/>
          <a:ext cx="44196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411480</xdr:colOff>
      <xdr:row>0</xdr:row>
      <xdr:rowOff>76200</xdr:rowOff>
    </xdr:from>
    <xdr:to>
      <xdr:col>0</xdr:col>
      <xdr:colOff>1546860</xdr:colOff>
      <xdr:row>4</xdr:row>
      <xdr:rowOff>160020</xdr:rowOff>
    </xdr:to>
    <xdr:pic>
      <xdr:nvPicPr>
        <xdr:cNvPr id="326846" name="Picture 1" descr="cmyk">
          <a:extLst>
            <a:ext uri="{FF2B5EF4-FFF2-40B4-BE49-F238E27FC236}">
              <a16:creationId xmlns:a16="http://schemas.microsoft.com/office/drawing/2014/main" id="{D5DE880C-2E3D-452C-8917-6D9DC07B9E2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1480" y="76200"/>
          <a:ext cx="113538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411480</xdr:colOff>
      <xdr:row>0</xdr:row>
      <xdr:rowOff>76200</xdr:rowOff>
    </xdr:from>
    <xdr:to>
      <xdr:col>0</xdr:col>
      <xdr:colOff>1546860</xdr:colOff>
      <xdr:row>4</xdr:row>
      <xdr:rowOff>160020</xdr:rowOff>
    </xdr:to>
    <xdr:pic>
      <xdr:nvPicPr>
        <xdr:cNvPr id="326847" name="Picture 1" descr="cmyk">
          <a:extLst>
            <a:ext uri="{FF2B5EF4-FFF2-40B4-BE49-F238E27FC236}">
              <a16:creationId xmlns:a16="http://schemas.microsoft.com/office/drawing/2014/main" id="{5041B649-A2DC-47F7-99D6-D887CB667E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1480" y="76200"/>
          <a:ext cx="113538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xdr:from>
      <xdr:col>0</xdr:col>
      <xdr:colOff>205740</xdr:colOff>
      <xdr:row>0</xdr:row>
      <xdr:rowOff>0</xdr:rowOff>
    </xdr:from>
    <xdr:to>
      <xdr:col>1</xdr:col>
      <xdr:colOff>381000</xdr:colOff>
      <xdr:row>4</xdr:row>
      <xdr:rowOff>83820</xdr:rowOff>
    </xdr:to>
    <xdr:pic>
      <xdr:nvPicPr>
        <xdr:cNvPr id="327775" name="Picture 1" descr="cmyk">
          <a:extLst>
            <a:ext uri="{FF2B5EF4-FFF2-40B4-BE49-F238E27FC236}">
              <a16:creationId xmlns:a16="http://schemas.microsoft.com/office/drawing/2014/main" id="{95E35C71-3CE8-43D8-90E6-B7266B12BAA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5740" y="0"/>
          <a:ext cx="815340" cy="693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22860</xdr:colOff>
      <xdr:row>0</xdr:row>
      <xdr:rowOff>0</xdr:rowOff>
    </xdr:from>
    <xdr:to>
      <xdr:col>1</xdr:col>
      <xdr:colOff>1173480</xdr:colOff>
      <xdr:row>0</xdr:row>
      <xdr:rowOff>0</xdr:rowOff>
    </xdr:to>
    <xdr:pic>
      <xdr:nvPicPr>
        <xdr:cNvPr id="307390" name="Picture 3" descr="Logoin INEC, Color">
          <a:extLst>
            <a:ext uri="{FF2B5EF4-FFF2-40B4-BE49-F238E27FC236}">
              <a16:creationId xmlns:a16="http://schemas.microsoft.com/office/drawing/2014/main" id="{1DABE9FF-203E-4BA7-8D2F-7E89A686E9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1734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350520</xdr:colOff>
      <xdr:row>0</xdr:row>
      <xdr:rowOff>68580</xdr:rowOff>
    </xdr:from>
    <xdr:to>
      <xdr:col>1</xdr:col>
      <xdr:colOff>1104900</xdr:colOff>
      <xdr:row>2</xdr:row>
      <xdr:rowOff>220980</xdr:rowOff>
    </xdr:to>
    <xdr:pic>
      <xdr:nvPicPr>
        <xdr:cNvPr id="307391" name="Picture 4" descr="cmyk">
          <a:extLst>
            <a:ext uri="{FF2B5EF4-FFF2-40B4-BE49-F238E27FC236}">
              <a16:creationId xmlns:a16="http://schemas.microsoft.com/office/drawing/2014/main" id="{3D1C1A62-1A88-4D7B-91ED-09610886AA8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50520" y="68580"/>
          <a:ext cx="754380" cy="5410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243840</xdr:colOff>
      <xdr:row>0</xdr:row>
      <xdr:rowOff>38100</xdr:rowOff>
    </xdr:from>
    <xdr:to>
      <xdr:col>0</xdr:col>
      <xdr:colOff>1089660</xdr:colOff>
      <xdr:row>2</xdr:row>
      <xdr:rowOff>198120</xdr:rowOff>
    </xdr:to>
    <xdr:pic>
      <xdr:nvPicPr>
        <xdr:cNvPr id="308319" name="Picture 8" descr="cmyk">
          <a:extLst>
            <a:ext uri="{FF2B5EF4-FFF2-40B4-BE49-F238E27FC236}">
              <a16:creationId xmlns:a16="http://schemas.microsoft.com/office/drawing/2014/main" id="{759A72F2-FF01-4FE3-94E5-9154DBFB2A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3840" y="38100"/>
          <a:ext cx="84582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360680</xdr:colOff>
      <xdr:row>0</xdr:row>
      <xdr:rowOff>193040</xdr:rowOff>
    </xdr:from>
    <xdr:to>
      <xdr:col>1</xdr:col>
      <xdr:colOff>1333500</xdr:colOff>
      <xdr:row>3</xdr:row>
      <xdr:rowOff>195088</xdr:rowOff>
    </xdr:to>
    <xdr:pic>
      <xdr:nvPicPr>
        <xdr:cNvPr id="309343" name="Picture 3" descr="cmyk">
          <a:extLst>
            <a:ext uri="{FF2B5EF4-FFF2-40B4-BE49-F238E27FC236}">
              <a16:creationId xmlns:a16="http://schemas.microsoft.com/office/drawing/2014/main" id="{7E0B7E82-6299-4EDC-8C34-6BA1667BE60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780" y="193040"/>
          <a:ext cx="972820" cy="6370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274320</xdr:colOff>
      <xdr:row>0</xdr:row>
      <xdr:rowOff>30480</xdr:rowOff>
    </xdr:from>
    <xdr:to>
      <xdr:col>0</xdr:col>
      <xdr:colOff>891540</xdr:colOff>
      <xdr:row>2</xdr:row>
      <xdr:rowOff>68580</xdr:rowOff>
    </xdr:to>
    <xdr:pic>
      <xdr:nvPicPr>
        <xdr:cNvPr id="310367" name="Picture 3" descr="cmyk">
          <a:extLst>
            <a:ext uri="{FF2B5EF4-FFF2-40B4-BE49-F238E27FC236}">
              <a16:creationId xmlns:a16="http://schemas.microsoft.com/office/drawing/2014/main" id="{362AB25A-4CB4-4568-9553-27C57128AAD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4320" y="30480"/>
          <a:ext cx="617220" cy="426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685800</xdr:colOff>
      <xdr:row>0</xdr:row>
      <xdr:rowOff>99061</xdr:rowOff>
    </xdr:from>
    <xdr:to>
      <xdr:col>0</xdr:col>
      <xdr:colOff>1738312</xdr:colOff>
      <xdr:row>3</xdr:row>
      <xdr:rowOff>125380</xdr:rowOff>
    </xdr:to>
    <xdr:pic>
      <xdr:nvPicPr>
        <xdr:cNvPr id="311391" name="Picture 4" descr="cmyk">
          <a:extLst>
            <a:ext uri="{FF2B5EF4-FFF2-40B4-BE49-F238E27FC236}">
              <a16:creationId xmlns:a16="http://schemas.microsoft.com/office/drawing/2014/main" id="{DE96BCF0-1144-4E18-A724-88AEB71F396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5800" y="99061"/>
          <a:ext cx="1052512" cy="6335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586740</xdr:colOff>
      <xdr:row>0</xdr:row>
      <xdr:rowOff>38100</xdr:rowOff>
    </xdr:from>
    <xdr:to>
      <xdr:col>0</xdr:col>
      <xdr:colOff>1577340</xdr:colOff>
      <xdr:row>3</xdr:row>
      <xdr:rowOff>99060</xdr:rowOff>
    </xdr:to>
    <xdr:pic>
      <xdr:nvPicPr>
        <xdr:cNvPr id="312415" name="Picture 3" descr="cmyk">
          <a:extLst>
            <a:ext uri="{FF2B5EF4-FFF2-40B4-BE49-F238E27FC236}">
              <a16:creationId xmlns:a16="http://schemas.microsoft.com/office/drawing/2014/main" id="{1D0C2EBC-193A-4DFD-8B98-AF0C9D2CDA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6740" y="38100"/>
          <a:ext cx="990600" cy="662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448309</xdr:colOff>
      <xdr:row>0</xdr:row>
      <xdr:rowOff>31751</xdr:rowOff>
    </xdr:from>
    <xdr:to>
      <xdr:col>0</xdr:col>
      <xdr:colOff>1259416</xdr:colOff>
      <xdr:row>2</xdr:row>
      <xdr:rowOff>153108</xdr:rowOff>
    </xdr:to>
    <xdr:pic>
      <xdr:nvPicPr>
        <xdr:cNvPr id="313534" name="Picture 96" descr="cmyk">
          <a:extLst>
            <a:ext uri="{FF2B5EF4-FFF2-40B4-BE49-F238E27FC236}">
              <a16:creationId xmlns:a16="http://schemas.microsoft.com/office/drawing/2014/main" id="{0C7960A8-26FD-4DBC-AE28-EC5283EE654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8309" y="31751"/>
          <a:ext cx="811107" cy="544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ERVER\Finan\Users\lilliana.carvajal\AppData\Local\Microsoft\Windows\INetCache\Content.Outlook\Y0IGTLD7\04%20INGRESOS%20Y%20GASTOS%20-%20PRESUPUESTO%20ORDINARIO%202020.xls"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file:///\\FILE-SERVER\Users\vladimir.calero\OneDrive%20-%20INEC\Escritorio\Vladimir\3.%20A&#241;o%202023\1.%20Temas%20Presupuestarios\4.%20Formulaci&#243;n%20presupuesto%202024\1.%20Revision%20Carga%20Anteproyecto\Datos%20Definitivos%20Formulaci&#243;n%202024\EGRESOS%202022.xls?BBCA75FA" TargetMode="External"/><Relationship Id="rId1" Type="http://schemas.openxmlformats.org/officeDocument/2006/relationships/externalLinkPath" Target="file:///\\BBCA75FA\EGRESOS%20202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LE-SERVER\Finan\Users\lilliana.carvajal.INEC\AppData\Local\Microsoft\Windows\Temporary%20Internet%20Files\Content.Outlook\SNF2IB9Z\PRESUPUESTO%20ORDINARIO%202015%20-%20JUSTIFICACIO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PRESUPUESTO%202014\PRESUPUESTO%20ORDINARIO%202012%20-%20CD%20-%2007%20SET.%202011%20-%20JUSTIFICACION%20AP.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ILE-SERVER\Finan\Users\osvaldo.vindas\Desktop\2024%200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ILE-SERVER\Finan\Users\osvaldo.vindas\Desktop\PO-2024%20DEFINITIVO\REPORTE%202024%20SIAF.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ILE-SERVER\Finan\Users\lilliana.carvajal.INEC\AppData\Local\Microsoft\Windows\Temporary%20Internet%20Files\Content.Outlook\SNF2IB9Z\PRESUPUESTO%20ORDINARIO%20201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CLASIFICACION DE INGRESOS 2020"/>
      <sheetName val="INGRESOS 2020"/>
      <sheetName val="JUSTIFICACION"/>
      <sheetName val="INGRESOS 2014-2019"/>
      <sheetName val="COMPARATIVO"/>
      <sheetName val="OBJETO "/>
      <sheetName val="EGRESOS"/>
      <sheetName val="GASTO"/>
      <sheetName val="CLASIF.ECONOMICO DEL GTO"/>
      <sheetName val="PROYECTO DE INVERSIÓN"/>
      <sheetName val="EST.ORIGEN Y APLICACION"/>
      <sheetName val=" CLASIFICACION DE GASTOS 2020"/>
      <sheetName val="JUST. PROG.01"/>
      <sheetName val="JUST. PROG.02"/>
      <sheetName val="JUST. PROG.03"/>
      <sheetName val="JUST. PROG.04"/>
      <sheetName val="PRESUPUESTO 2020"/>
      <sheetName val="RESUMEN INEC"/>
      <sheetName val="RESUMEN 01"/>
      <sheetName val="RESUMEN 02"/>
      <sheetName val="RESUMEN 03"/>
      <sheetName val="RESUMEN 04"/>
      <sheetName val="Hoja2"/>
      <sheetName val="EST.ORIGEN Y APLICACION AP"/>
      <sheetName val="Hoja1"/>
    </sheetNames>
    <sheetDataSet>
      <sheetData sheetId="0" refreshError="1"/>
      <sheetData sheetId="1" refreshError="1"/>
      <sheetData sheetId="2" refreshError="1">
        <row r="19">
          <cell r="B19" t="str">
            <v>Transferencias Ctes de Instituciones  Descentralizadas No Empresariales</v>
          </cell>
        </row>
      </sheetData>
      <sheetData sheetId="3" refreshError="1"/>
      <sheetData sheetId="4" refreshError="1"/>
      <sheetData sheetId="5" refreshError="1"/>
      <sheetData sheetId="6" refreshError="1"/>
      <sheetData sheetId="7" refreshError="1">
        <row r="10">
          <cell r="J10" t="str">
            <v>Programa 04</v>
          </cell>
        </row>
        <row r="11">
          <cell r="F11" t="str">
            <v>Rectoría Técnica de las Estadísticas Nacionales</v>
          </cell>
          <cell r="J11" t="str">
            <v>Difusión y Promoción de la Producción  Estadística</v>
          </cell>
        </row>
        <row r="172">
          <cell r="F172">
            <v>0</v>
          </cell>
          <cell r="H172">
            <v>0</v>
          </cell>
          <cell r="J172">
            <v>0</v>
          </cell>
        </row>
        <row r="198">
          <cell r="F198">
            <v>0</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51">
          <cell r="I51">
            <v>480000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ESEMPEÑO ESPECIFICO"/>
      <sheetName val="INDICE"/>
      <sheetName val="CLASIFICACION PRESUPUESTARIA"/>
      <sheetName val="AUDITORIA"/>
      <sheetName val="JUSTIF. 01"/>
      <sheetName val="JUSTIF. 02"/>
      <sheetName val="JUSTIF. 03 (con Proyec)"/>
      <sheetName val="JUSTIF. 04"/>
      <sheetName val="JUSTIF. ENAHO"/>
      <sheetName val="JUSTIF. ECE"/>
      <sheetName val="JUSTIF. ENHOPRO"/>
      <sheetName val="JUSTIF. MODULO DE GASTOS"/>
      <sheetName val="JUSTIF. ETAPA"/>
      <sheetName val="JUSTIF. ENAE"/>
      <sheetName val="JUSTIF.CENAGRO"/>
      <sheetName val="JUSTIF. ACT IPC"/>
      <sheetName val="JUSTIF. EEE"/>
      <sheetName val="JUSTIF.ENC"/>
      <sheetName val="JUSTIF. 03"/>
      <sheetName val="JUSTIF. 01 (14)"/>
      <sheetName val="JUSTIF. 01 (15)"/>
      <sheetName val="JUSTIF. 01 (16)"/>
      <sheetName val="JUSTIF. 01 (17)"/>
      <sheetName val="Hoja2"/>
      <sheetName val="Hoja1"/>
      <sheetName val="RESUMEN POR PROGRAMA"/>
      <sheetName val="RESUMEN POR SUBPROGRAMAS"/>
      <sheetName val="RESUMEN DE EGRESOS"/>
      <sheetName val="GRAFICOS"/>
    </sheetNames>
    <sheetDataSet>
      <sheetData sheetId="0"/>
      <sheetData sheetId="1"/>
      <sheetData sheetId="2" refreshError="1">
        <row r="131">
          <cell r="Q131">
            <v>0</v>
          </cell>
        </row>
        <row r="169">
          <cell r="Q169">
            <v>0</v>
          </cell>
        </row>
        <row r="170">
          <cell r="Q170">
            <v>0</v>
          </cell>
        </row>
        <row r="171">
          <cell r="Q171">
            <v>0</v>
          </cell>
        </row>
        <row r="212">
          <cell r="Q212">
            <v>0</v>
          </cell>
          <cell r="AS212">
            <v>0</v>
          </cell>
          <cell r="AZ212">
            <v>0</v>
          </cell>
        </row>
      </sheetData>
      <sheetData sheetId="3"/>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SUPUESTO "/>
      <sheetName val="PRESUPUESTO 2011"/>
      <sheetName val="PRESUPUESTO 2012"/>
      <sheetName val="JUSTIF. 01"/>
      <sheetName val="JUST. IND."/>
      <sheetName val="JUST. DUIE"/>
      <sheetName val="ENIGH"/>
      <sheetName val="JUSTIF. 02"/>
      <sheetName val="JUSTIF. PEA"/>
      <sheetName val="JUSTIF. ECE"/>
      <sheetName val="EHP-BCCR"/>
      <sheetName val="ENAHO"/>
      <sheetName val="JUSTIF. 03"/>
      <sheetName val="CENSOS"/>
      <sheetName val="ORIGEN Y APLICACION"/>
      <sheetName val="INGRESOS"/>
      <sheetName val="Hoja6"/>
      <sheetName val="PROGRAMA 01"/>
      <sheetName val="PROGRAMA 02"/>
      <sheetName val="JUST. 01"/>
      <sheetName val="ENDE"/>
      <sheetName val="INDICES"/>
      <sheetName val="DUIE"/>
      <sheetName val="JUST. 02"/>
      <sheetName val="JUST. ECE"/>
      <sheetName val="ENC. AGROPEC."/>
      <sheetName val="JUST. BCCR"/>
      <sheetName val="JUST.ENAHO"/>
      <sheetName val="JUST. 03"/>
      <sheetName val="JUST. CENSOS"/>
      <sheetName val="COMP. 2009-2010 PROY"/>
      <sheetName val="CONTRALORIA 1"/>
      <sheetName val="CONTRALORIA 2"/>
      <sheetName val="CONTRALORIA 3"/>
      <sheetName val="Hoja1"/>
      <sheetName val="COMP 2009 - 2011"/>
      <sheetName val="Hoja2"/>
      <sheetName val="PROGRAMA 03"/>
      <sheetName val="PROGRAMA 04"/>
      <sheetName val="Hoja3"/>
      <sheetName val="JUST. ING."/>
    </sheetNames>
    <sheetDataSet>
      <sheetData sheetId="0" refreshError="1"/>
      <sheetData sheetId="1" refreshError="1"/>
      <sheetData sheetId="2" refreshError="1">
        <row r="195">
          <cell r="A195" t="str">
            <v>9.02.01</v>
          </cell>
        </row>
        <row r="196">
          <cell r="A196" t="str">
            <v>9.02.02</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efreshError="1">
        <row r="45">
          <cell r="Q45">
            <v>4094100</v>
          </cell>
        </row>
        <row r="48">
          <cell r="Q48">
            <v>1550000</v>
          </cell>
        </row>
        <row r="49">
          <cell r="Q49">
            <v>16000000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2)"/>
      <sheetName val="SALARIOS"/>
    </sheetNames>
    <sheetDataSet>
      <sheetData sheetId="0"/>
      <sheetData sheetId="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SIFICACION DE INGRESOS 2015"/>
      <sheetName val="INGRESOS 2015"/>
      <sheetName val="JUSTIFICACION"/>
      <sheetName val="INGRESOS 2008-2013"/>
      <sheetName val="COMPARATIVO"/>
      <sheetName val="OBJETO "/>
      <sheetName val="EGRESOS"/>
      <sheetName val="EST.ORIGEN Y APLICACION"/>
      <sheetName val="CONTRALORIA"/>
      <sheetName val="PRESUPUESTO 2015"/>
      <sheetName val="GASTO"/>
      <sheetName val="RESUMEN INEC"/>
      <sheetName val="RESUMEN 01"/>
      <sheetName val="RESUMEN 02"/>
      <sheetName val="RESUMEN 03"/>
      <sheetName val="RESUMEN 04"/>
      <sheetName val="EST.ORIGEN Y APLICACION AP"/>
      <sheetName val="Hoja1"/>
    </sheetNames>
    <sheetDataSet>
      <sheetData sheetId="0" refreshError="1">
        <row r="17">
          <cell r="F17">
            <v>3000000</v>
          </cell>
        </row>
        <row r="23">
          <cell r="F23">
            <v>3628000000</v>
          </cell>
        </row>
        <row r="25">
          <cell r="F25">
            <v>2554100000</v>
          </cell>
        </row>
        <row r="40">
          <cell r="F40">
            <v>53880986</v>
          </cell>
        </row>
        <row r="41">
          <cell r="F41">
            <v>51303982</v>
          </cell>
        </row>
        <row r="43">
          <cell r="F43">
            <v>687070032</v>
          </cell>
        </row>
        <row r="46">
          <cell r="F46">
            <v>56895000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18">
          <cell r="AI18">
            <v>0</v>
          </cell>
          <cell r="BB18">
            <v>1117894425</v>
          </cell>
          <cell r="BD18">
            <v>0</v>
          </cell>
        </row>
        <row r="19">
          <cell r="AI19">
            <v>118295300</v>
          </cell>
          <cell r="BB19">
            <v>152766059</v>
          </cell>
          <cell r="BD19">
            <v>671462498</v>
          </cell>
        </row>
        <row r="20">
          <cell r="AI20">
            <v>0</v>
          </cell>
          <cell r="BB20">
            <v>0</v>
          </cell>
          <cell r="BD20">
            <v>1000000</v>
          </cell>
        </row>
        <row r="24">
          <cell r="AI24">
            <v>26468900</v>
          </cell>
          <cell r="BB24">
            <v>52579159</v>
          </cell>
          <cell r="BD24">
            <v>96735889</v>
          </cell>
        </row>
        <row r="25">
          <cell r="AI25">
            <v>0</v>
          </cell>
          <cell r="BB25">
            <v>12200000</v>
          </cell>
          <cell r="BD25">
            <v>0</v>
          </cell>
        </row>
        <row r="29">
          <cell r="AI29">
            <v>13111800</v>
          </cell>
          <cell r="BB29">
            <v>401418945</v>
          </cell>
          <cell r="BD29">
            <v>48260224</v>
          </cell>
        </row>
        <row r="30">
          <cell r="AI30">
            <v>28985500</v>
          </cell>
          <cell r="BB30">
            <v>399928088</v>
          </cell>
          <cell r="BD30">
            <v>102889947</v>
          </cell>
        </row>
        <row r="31">
          <cell r="AI31">
            <v>17381900</v>
          </cell>
          <cell r="BB31">
            <v>200241309</v>
          </cell>
          <cell r="BD31">
            <v>83816654</v>
          </cell>
        </row>
        <row r="32">
          <cell r="AI32">
            <v>25775500</v>
          </cell>
          <cell r="BB32">
            <v>171081588</v>
          </cell>
          <cell r="BD32">
            <v>77912573</v>
          </cell>
        </row>
        <row r="33">
          <cell r="AI33">
            <v>7070900</v>
          </cell>
          <cell r="BB33">
            <v>111253864</v>
          </cell>
          <cell r="BD33">
            <v>21812930</v>
          </cell>
        </row>
        <row r="38">
          <cell r="AI38">
            <v>31484100</v>
          </cell>
          <cell r="BB38">
            <v>344911944</v>
          </cell>
          <cell r="BD38">
            <v>146033314</v>
          </cell>
        </row>
        <row r="39">
          <cell r="AI39">
            <v>1098600</v>
          </cell>
          <cell r="BB39">
            <v>12034608</v>
          </cell>
          <cell r="BD39">
            <v>5095370</v>
          </cell>
        </row>
        <row r="40">
          <cell r="AI40">
            <v>3295700</v>
          </cell>
          <cell r="BB40">
            <v>36103832</v>
          </cell>
          <cell r="BD40">
            <v>15286110</v>
          </cell>
        </row>
        <row r="41">
          <cell r="AI41">
            <v>10985400</v>
          </cell>
          <cell r="BB41">
            <v>120346107</v>
          </cell>
          <cell r="BD41">
            <v>50953703</v>
          </cell>
        </row>
        <row r="42">
          <cell r="AI42">
            <v>1098600</v>
          </cell>
          <cell r="BB42">
            <v>12034608</v>
          </cell>
          <cell r="BD42">
            <v>5095370</v>
          </cell>
        </row>
        <row r="46">
          <cell r="AI46">
            <v>3295700</v>
          </cell>
          <cell r="BB46">
            <v>36103832</v>
          </cell>
          <cell r="BD46">
            <v>15286110</v>
          </cell>
        </row>
        <row r="47">
          <cell r="AI47">
            <v>6591300</v>
          </cell>
          <cell r="BB47">
            <v>72207666</v>
          </cell>
          <cell r="BD47">
            <v>30572223</v>
          </cell>
        </row>
        <row r="51">
          <cell r="AI51">
            <v>0</v>
          </cell>
          <cell r="BB51">
            <v>1500000</v>
          </cell>
          <cell r="BD51">
            <v>0</v>
          </cell>
        </row>
        <row r="57">
          <cell r="AI57">
            <v>126212040</v>
          </cell>
          <cell r="BB57">
            <v>122901522</v>
          </cell>
          <cell r="BD57">
            <v>60421702</v>
          </cell>
        </row>
        <row r="58">
          <cell r="AI58">
            <v>0</v>
          </cell>
          <cell r="BB58">
            <v>11166667</v>
          </cell>
          <cell r="BD58">
            <v>33856611</v>
          </cell>
        </row>
        <row r="59">
          <cell r="AI59">
            <v>0</v>
          </cell>
          <cell r="BB59">
            <v>4233600</v>
          </cell>
          <cell r="BD59">
            <v>3331760</v>
          </cell>
        </row>
        <row r="60">
          <cell r="AI60">
            <v>0</v>
          </cell>
          <cell r="BB60">
            <v>0</v>
          </cell>
          <cell r="BD60">
            <v>0</v>
          </cell>
        </row>
        <row r="64">
          <cell r="AI64">
            <v>5735655</v>
          </cell>
          <cell r="BB64">
            <v>2967657</v>
          </cell>
          <cell r="BD64">
            <v>11739374</v>
          </cell>
        </row>
        <row r="65">
          <cell r="AI65">
            <v>12128478</v>
          </cell>
          <cell r="BB65">
            <v>4796255</v>
          </cell>
          <cell r="BD65">
            <v>19614489</v>
          </cell>
        </row>
        <row r="66">
          <cell r="AI66">
            <v>300000</v>
          </cell>
          <cell r="BB66">
            <v>740000</v>
          </cell>
          <cell r="BD66">
            <v>1250000</v>
          </cell>
        </row>
        <row r="67">
          <cell r="AI67">
            <v>7814000</v>
          </cell>
          <cell r="BB67">
            <v>3356635</v>
          </cell>
          <cell r="BD67">
            <v>18250158</v>
          </cell>
        </row>
        <row r="68">
          <cell r="AI68">
            <v>0</v>
          </cell>
          <cell r="BB68">
            <v>1474443</v>
          </cell>
          <cell r="BD68">
            <v>0</v>
          </cell>
        </row>
        <row r="72">
          <cell r="AI72">
            <v>0</v>
          </cell>
          <cell r="BD72">
            <v>0</v>
          </cell>
        </row>
        <row r="73">
          <cell r="AI73">
            <v>0</v>
          </cell>
          <cell r="BD73">
            <v>0</v>
          </cell>
        </row>
        <row r="74">
          <cell r="AI74">
            <v>10200000</v>
          </cell>
          <cell r="BB74">
            <v>7143490</v>
          </cell>
          <cell r="BD74">
            <v>14639430</v>
          </cell>
        </row>
        <row r="75">
          <cell r="AI75">
            <v>0</v>
          </cell>
          <cell r="BB75">
            <v>565000</v>
          </cell>
          <cell r="BD75">
            <v>1230000</v>
          </cell>
        </row>
        <row r="76">
          <cell r="AI76">
            <v>11000</v>
          </cell>
          <cell r="BB76">
            <v>868100</v>
          </cell>
          <cell r="BD76">
            <v>1938000</v>
          </cell>
        </row>
        <row r="77">
          <cell r="AI77">
            <v>0</v>
          </cell>
          <cell r="BB77">
            <v>0</v>
          </cell>
          <cell r="BD77">
            <v>0</v>
          </cell>
        </row>
        <row r="81">
          <cell r="AI81">
            <v>0</v>
          </cell>
          <cell r="BB81">
            <v>1000000</v>
          </cell>
          <cell r="BD81">
            <v>0</v>
          </cell>
        </row>
        <row r="82">
          <cell r="BB82">
            <v>0</v>
          </cell>
          <cell r="BD82">
            <v>0</v>
          </cell>
        </row>
        <row r="83">
          <cell r="AI83">
            <v>0</v>
          </cell>
          <cell r="BB83">
            <v>0</v>
          </cell>
          <cell r="BD83">
            <v>0</v>
          </cell>
        </row>
        <row r="84">
          <cell r="AI84">
            <v>28400000</v>
          </cell>
          <cell r="BB84">
            <v>4600000</v>
          </cell>
          <cell r="BD84">
            <v>31000000</v>
          </cell>
        </row>
        <row r="85">
          <cell r="AI85">
            <v>0</v>
          </cell>
          <cell r="BB85">
            <v>0</v>
          </cell>
          <cell r="BD85">
            <v>0</v>
          </cell>
        </row>
        <row r="86">
          <cell r="AI86">
            <v>42286501</v>
          </cell>
          <cell r="BB86">
            <v>8246940</v>
          </cell>
          <cell r="BD86">
            <v>36518679</v>
          </cell>
        </row>
        <row r="87">
          <cell r="AI87">
            <v>1000000</v>
          </cell>
          <cell r="BB87">
            <v>4350000</v>
          </cell>
        </row>
        <row r="91">
          <cell r="AI91">
            <v>0</v>
          </cell>
          <cell r="BB91">
            <v>1110000</v>
          </cell>
          <cell r="BD91">
            <v>6275105</v>
          </cell>
        </row>
        <row r="92">
          <cell r="AI92">
            <v>39800000</v>
          </cell>
          <cell r="BB92">
            <v>85252622</v>
          </cell>
          <cell r="BD92">
            <v>308283150</v>
          </cell>
        </row>
        <row r="93">
          <cell r="AI93">
            <v>0</v>
          </cell>
          <cell r="BB93">
            <v>7500000</v>
          </cell>
          <cell r="BD93">
            <v>2000000</v>
          </cell>
        </row>
        <row r="94">
          <cell r="AI94">
            <v>0</v>
          </cell>
          <cell r="BB94">
            <v>6200000</v>
          </cell>
          <cell r="BD94">
            <v>1350000</v>
          </cell>
        </row>
        <row r="98">
          <cell r="AI98">
            <v>5100000</v>
          </cell>
          <cell r="BB98">
            <v>46815250</v>
          </cell>
          <cell r="BD98">
            <v>42100000</v>
          </cell>
        </row>
        <row r="102">
          <cell r="AI102">
            <v>5000000</v>
          </cell>
          <cell r="BB102">
            <v>32852000</v>
          </cell>
          <cell r="BD102">
            <v>46623668</v>
          </cell>
        </row>
        <row r="103">
          <cell r="AI103">
            <v>140000</v>
          </cell>
          <cell r="BB103">
            <v>100000</v>
          </cell>
          <cell r="BD103">
            <v>100000</v>
          </cell>
        </row>
        <row r="104">
          <cell r="AI104">
            <v>0</v>
          </cell>
          <cell r="BB104">
            <v>0</v>
          </cell>
          <cell r="BD104">
            <v>0</v>
          </cell>
        </row>
        <row r="108">
          <cell r="AI108">
            <v>0</v>
          </cell>
          <cell r="BB108">
            <v>3300000</v>
          </cell>
          <cell r="BD108">
            <v>0</v>
          </cell>
        </row>
        <row r="109">
          <cell r="AI109">
            <v>0</v>
          </cell>
          <cell r="BB109">
            <v>300000</v>
          </cell>
          <cell r="BD109">
            <v>0</v>
          </cell>
        </row>
        <row r="110">
          <cell r="AI110">
            <v>0</v>
          </cell>
          <cell r="BB110">
            <v>60000</v>
          </cell>
          <cell r="BD110">
            <v>0</v>
          </cell>
        </row>
        <row r="111">
          <cell r="AI111">
            <v>1222500</v>
          </cell>
          <cell r="BB111">
            <v>2377500</v>
          </cell>
          <cell r="BD111">
            <v>14940000</v>
          </cell>
        </row>
        <row r="112">
          <cell r="AI112">
            <v>0</v>
          </cell>
          <cell r="BB112">
            <v>300000</v>
          </cell>
          <cell r="BD112">
            <v>0</v>
          </cell>
        </row>
        <row r="113">
          <cell r="AI113">
            <v>1250000</v>
          </cell>
          <cell r="BB113">
            <v>2986000</v>
          </cell>
          <cell r="BD113">
            <v>250000</v>
          </cell>
        </row>
        <row r="114">
          <cell r="AI114">
            <v>500000</v>
          </cell>
          <cell r="BB114">
            <v>6823000</v>
          </cell>
          <cell r="BD114">
            <v>750000</v>
          </cell>
        </row>
        <row r="115">
          <cell r="AI115">
            <v>0</v>
          </cell>
          <cell r="BB115">
            <v>200000</v>
          </cell>
          <cell r="BD115">
            <v>0</v>
          </cell>
        </row>
        <row r="119">
          <cell r="AI119">
            <v>49000</v>
          </cell>
          <cell r="BB119">
            <v>558423.16999999993</v>
          </cell>
          <cell r="BD119">
            <v>895707</v>
          </cell>
        </row>
        <row r="123">
          <cell r="AI123">
            <v>0</v>
          </cell>
          <cell r="BB123">
            <v>0</v>
          </cell>
          <cell r="BD123">
            <v>0</v>
          </cell>
        </row>
        <row r="124">
          <cell r="AI124">
            <v>49000</v>
          </cell>
          <cell r="BB124">
            <v>558423.14000000013</v>
          </cell>
          <cell r="BD124">
            <v>895707</v>
          </cell>
        </row>
        <row r="125">
          <cell r="AI125">
            <v>0</v>
          </cell>
          <cell r="BB125">
            <v>400000</v>
          </cell>
          <cell r="BD125">
            <v>200000</v>
          </cell>
        </row>
        <row r="131">
          <cell r="AI131">
            <v>362640</v>
          </cell>
          <cell r="BB131">
            <v>0</v>
          </cell>
          <cell r="BD131">
            <v>39547210</v>
          </cell>
        </row>
        <row r="132">
          <cell r="AI132">
            <v>96740</v>
          </cell>
          <cell r="BB132">
            <v>691200</v>
          </cell>
          <cell r="BD132">
            <v>1523052</v>
          </cell>
        </row>
        <row r="133">
          <cell r="AI133">
            <v>2036540</v>
          </cell>
          <cell r="BB133">
            <v>8765290</v>
          </cell>
          <cell r="BD133">
            <v>18537754</v>
          </cell>
        </row>
        <row r="134">
          <cell r="AI134">
            <v>99170</v>
          </cell>
          <cell r="BB134">
            <v>865300</v>
          </cell>
          <cell r="BD134">
            <v>360810</v>
          </cell>
        </row>
        <row r="138">
          <cell r="AI138">
            <v>0</v>
          </cell>
          <cell r="BB138">
            <v>2001230</v>
          </cell>
          <cell r="BD138">
            <v>0</v>
          </cell>
        </row>
        <row r="142">
          <cell r="AI142">
            <v>0</v>
          </cell>
          <cell r="BB142">
            <v>410252</v>
          </cell>
          <cell r="BD142">
            <v>1652940</v>
          </cell>
        </row>
        <row r="143">
          <cell r="AI143">
            <v>0</v>
          </cell>
          <cell r="BB143">
            <v>37750</v>
          </cell>
          <cell r="BD143">
            <v>0</v>
          </cell>
        </row>
        <row r="144">
          <cell r="AI144">
            <v>485500</v>
          </cell>
          <cell r="BB144">
            <v>1158720</v>
          </cell>
          <cell r="BD144">
            <v>116173</v>
          </cell>
        </row>
        <row r="145">
          <cell r="AI145">
            <v>0</v>
          </cell>
          <cell r="BB145">
            <v>80000</v>
          </cell>
          <cell r="BD145">
            <v>0</v>
          </cell>
        </row>
        <row r="146">
          <cell r="AI146">
            <v>0</v>
          </cell>
          <cell r="BB146">
            <v>45210</v>
          </cell>
          <cell r="BD146">
            <v>12768</v>
          </cell>
        </row>
        <row r="147">
          <cell r="AI147">
            <v>0</v>
          </cell>
          <cell r="BB147">
            <v>231880</v>
          </cell>
          <cell r="BD147">
            <v>0</v>
          </cell>
        </row>
        <row r="151">
          <cell r="AI151">
            <v>0</v>
          </cell>
          <cell r="BB151">
            <v>45400</v>
          </cell>
          <cell r="BD151">
            <v>0</v>
          </cell>
        </row>
        <row r="152">
          <cell r="AI152">
            <v>0</v>
          </cell>
          <cell r="BB152">
            <v>838476</v>
          </cell>
          <cell r="BD152">
            <v>13025260</v>
          </cell>
        </row>
        <row r="156">
          <cell r="AI156">
            <v>0</v>
          </cell>
          <cell r="BB156">
            <v>2247601.66</v>
          </cell>
          <cell r="BD156">
            <v>1274341</v>
          </cell>
        </row>
        <row r="157">
          <cell r="AI157">
            <v>0</v>
          </cell>
          <cell r="BB157">
            <v>189000</v>
          </cell>
          <cell r="BD157">
            <v>0</v>
          </cell>
        </row>
        <row r="158">
          <cell r="AI158">
            <v>894081</v>
          </cell>
          <cell r="BB158">
            <v>9818612</v>
          </cell>
          <cell r="BD158">
            <v>4389856</v>
          </cell>
        </row>
        <row r="159">
          <cell r="AI159">
            <v>74788</v>
          </cell>
          <cell r="BB159">
            <v>3741934</v>
          </cell>
          <cell r="BD159">
            <v>3486108</v>
          </cell>
        </row>
        <row r="160">
          <cell r="AI160">
            <v>609202</v>
          </cell>
          <cell r="BB160">
            <v>1124443</v>
          </cell>
          <cell r="BD160">
            <v>946592</v>
          </cell>
        </row>
        <row r="161">
          <cell r="BB161">
            <v>763950</v>
          </cell>
          <cell r="BD161">
            <v>0</v>
          </cell>
        </row>
        <row r="162">
          <cell r="AI162">
            <v>0</v>
          </cell>
          <cell r="BB162">
            <v>69200</v>
          </cell>
          <cell r="BD162">
            <v>0</v>
          </cell>
        </row>
        <row r="163">
          <cell r="AI163">
            <v>0</v>
          </cell>
          <cell r="BB163">
            <v>35800</v>
          </cell>
          <cell r="BD163">
            <v>0</v>
          </cell>
        </row>
        <row r="169">
          <cell r="BB169">
            <v>0</v>
          </cell>
          <cell r="BD169">
            <v>0</v>
          </cell>
        </row>
        <row r="170">
          <cell r="AI170">
            <v>0</v>
          </cell>
          <cell r="BB170">
            <v>0</v>
          </cell>
          <cell r="BD170">
            <v>0</v>
          </cell>
        </row>
        <row r="171">
          <cell r="AI171">
            <v>0</v>
          </cell>
          <cell r="BB171">
            <v>0</v>
          </cell>
          <cell r="BD171">
            <v>710000</v>
          </cell>
        </row>
        <row r="172">
          <cell r="AI172">
            <v>0</v>
          </cell>
          <cell r="BB172">
            <v>795000</v>
          </cell>
          <cell r="BD172">
            <v>386800</v>
          </cell>
        </row>
        <row r="173">
          <cell r="AI173">
            <v>0</v>
          </cell>
          <cell r="BB173">
            <v>4640000</v>
          </cell>
          <cell r="BD173">
            <v>6320000</v>
          </cell>
        </row>
        <row r="174">
          <cell r="BB174">
            <v>0</v>
          </cell>
          <cell r="BD174">
            <v>0</v>
          </cell>
        </row>
        <row r="175">
          <cell r="AI175">
            <v>0</v>
          </cell>
          <cell r="BB175">
            <v>0</v>
          </cell>
          <cell r="BD175">
            <v>0</v>
          </cell>
        </row>
        <row r="176">
          <cell r="AI176">
            <v>0</v>
          </cell>
          <cell r="BB176">
            <v>65000</v>
          </cell>
          <cell r="BD176">
            <v>180000</v>
          </cell>
        </row>
        <row r="180">
          <cell r="AI180">
            <v>0</v>
          </cell>
          <cell r="BB180">
            <v>0</v>
          </cell>
          <cell r="BD180">
            <v>0</v>
          </cell>
        </row>
        <row r="181">
          <cell r="AI181">
            <v>0</v>
          </cell>
          <cell r="BB181">
            <v>0</v>
          </cell>
          <cell r="BD181">
            <v>0</v>
          </cell>
        </row>
        <row r="185">
          <cell r="AI185">
            <v>0</v>
          </cell>
          <cell r="BB185">
            <v>346500</v>
          </cell>
          <cell r="BD185">
            <v>0</v>
          </cell>
        </row>
        <row r="186">
          <cell r="BB186">
            <v>0</v>
          </cell>
          <cell r="BD186">
            <v>0</v>
          </cell>
        </row>
        <row r="192">
          <cell r="AI192">
            <v>0</v>
          </cell>
          <cell r="BB192">
            <v>3500000</v>
          </cell>
          <cell r="BD192">
            <v>476500000</v>
          </cell>
        </row>
        <row r="193">
          <cell r="AI193">
            <v>0</v>
          </cell>
          <cell r="BB193">
            <v>8000000</v>
          </cell>
          <cell r="BD193">
            <v>0</v>
          </cell>
        </row>
        <row r="197">
          <cell r="AI197">
            <v>100273997</v>
          </cell>
          <cell r="BB197">
            <v>22947690</v>
          </cell>
          <cell r="BD197">
            <v>8344867</v>
          </cell>
        </row>
        <row r="201">
          <cell r="AI201">
            <v>0</v>
          </cell>
          <cell r="BB201">
            <v>0</v>
          </cell>
          <cell r="BD201">
            <v>0</v>
          </cell>
        </row>
        <row r="205">
          <cell r="AI205">
            <v>0</v>
          </cell>
          <cell r="BB205">
            <v>0</v>
          </cell>
          <cell r="BD205">
            <v>0</v>
          </cell>
        </row>
        <row r="206">
          <cell r="AI206">
            <v>0</v>
          </cell>
          <cell r="BB206">
            <v>180000</v>
          </cell>
          <cell r="BD206">
            <v>0</v>
          </cell>
        </row>
        <row r="212">
          <cell r="AI212">
            <v>0</v>
          </cell>
          <cell r="BB212">
            <v>0</v>
          </cell>
          <cell r="BD212">
            <v>0</v>
          </cell>
        </row>
        <row r="213">
          <cell r="AI213">
            <v>0</v>
          </cell>
          <cell r="BB213">
            <v>0</v>
          </cell>
          <cell r="BD213">
            <v>0</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713B4-4789-43B9-90F6-B1488B98B6E0}">
  <sheetPr filterMode="1">
    <tabColor theme="9" tint="-0.499984740745262"/>
  </sheetPr>
  <dimension ref="A1:P1681"/>
  <sheetViews>
    <sheetView workbookViewId="0">
      <pane ySplit="1" topLeftCell="A2" activePane="bottomLeft" state="frozen"/>
      <selection activeCell="D23" sqref="D23"/>
      <selection pane="bottomLeft" activeCell="F1692" sqref="F1692"/>
    </sheetView>
  </sheetViews>
  <sheetFormatPr baseColWidth="10" defaultColWidth="11.44140625" defaultRowHeight="15" x14ac:dyDescent="0.4"/>
  <cols>
    <col min="1" max="1" width="7.33203125" style="434" customWidth="1"/>
    <col min="2" max="2" width="21.88671875" style="434" customWidth="1"/>
    <col min="3" max="3" width="20.33203125" style="434" bestFit="1" customWidth="1"/>
    <col min="4" max="4" width="10.6640625" style="434" customWidth="1"/>
    <col min="5" max="5" width="33.88671875" style="434" customWidth="1"/>
    <col min="6" max="6" width="68.5546875" style="1471" customWidth="1"/>
    <col min="7" max="7" width="13" style="593" bestFit="1" customWidth="1"/>
    <col min="8" max="8" width="13.33203125" style="434" bestFit="1" customWidth="1"/>
    <col min="9" max="9" width="11.44140625" style="434"/>
    <col min="10" max="12" width="11.44140625" style="1444"/>
    <col min="13" max="14" width="11.44140625" style="434"/>
    <col min="15" max="15" width="17.6640625" style="434" customWidth="1"/>
    <col min="16" max="258" width="11.44140625" style="434"/>
    <col min="259" max="259" width="29.6640625" style="434" customWidth="1"/>
    <col min="260" max="260" width="20.33203125" style="434" bestFit="1" customWidth="1"/>
    <col min="261" max="261" width="83.88671875" style="434" bestFit="1" customWidth="1"/>
    <col min="262" max="262" width="255.6640625" style="434" bestFit="1" customWidth="1"/>
    <col min="263" max="263" width="11.6640625" style="434" bestFit="1" customWidth="1"/>
    <col min="264" max="264" width="13.33203125" style="434" bestFit="1" customWidth="1"/>
    <col min="265" max="514" width="11.44140625" style="434"/>
    <col min="515" max="515" width="29.6640625" style="434" customWidth="1"/>
    <col min="516" max="516" width="20.33203125" style="434" bestFit="1" customWidth="1"/>
    <col min="517" max="517" width="83.88671875" style="434" bestFit="1" customWidth="1"/>
    <col min="518" max="518" width="255.6640625" style="434" bestFit="1" customWidth="1"/>
    <col min="519" max="519" width="11.6640625" style="434" bestFit="1" customWidth="1"/>
    <col min="520" max="520" width="13.33203125" style="434" bestFit="1" customWidth="1"/>
    <col min="521" max="770" width="11.44140625" style="434"/>
    <col min="771" max="771" width="29.6640625" style="434" customWidth="1"/>
    <col min="772" max="772" width="20.33203125" style="434" bestFit="1" customWidth="1"/>
    <col min="773" max="773" width="83.88671875" style="434" bestFit="1" customWidth="1"/>
    <col min="774" max="774" width="255.6640625" style="434" bestFit="1" customWidth="1"/>
    <col min="775" max="775" width="11.6640625" style="434" bestFit="1" customWidth="1"/>
    <col min="776" max="776" width="13.33203125" style="434" bestFit="1" customWidth="1"/>
    <col min="777" max="1026" width="11.44140625" style="434"/>
    <col min="1027" max="1027" width="29.6640625" style="434" customWidth="1"/>
    <col min="1028" max="1028" width="20.33203125" style="434" bestFit="1" customWidth="1"/>
    <col min="1029" max="1029" width="83.88671875" style="434" bestFit="1" customWidth="1"/>
    <col min="1030" max="1030" width="255.6640625" style="434" bestFit="1" customWidth="1"/>
    <col min="1031" max="1031" width="11.6640625" style="434" bestFit="1" customWidth="1"/>
    <col min="1032" max="1032" width="13.33203125" style="434" bestFit="1" customWidth="1"/>
    <col min="1033" max="1282" width="11.44140625" style="434"/>
    <col min="1283" max="1283" width="29.6640625" style="434" customWidth="1"/>
    <col min="1284" max="1284" width="20.33203125" style="434" bestFit="1" customWidth="1"/>
    <col min="1285" max="1285" width="83.88671875" style="434" bestFit="1" customWidth="1"/>
    <col min="1286" max="1286" width="255.6640625" style="434" bestFit="1" customWidth="1"/>
    <col min="1287" max="1287" width="11.6640625" style="434" bestFit="1" customWidth="1"/>
    <col min="1288" max="1288" width="13.33203125" style="434" bestFit="1" customWidth="1"/>
    <col min="1289" max="1538" width="11.44140625" style="434"/>
    <col min="1539" max="1539" width="29.6640625" style="434" customWidth="1"/>
    <col min="1540" max="1540" width="20.33203125" style="434" bestFit="1" customWidth="1"/>
    <col min="1541" max="1541" width="83.88671875" style="434" bestFit="1" customWidth="1"/>
    <col min="1542" max="1542" width="255.6640625" style="434" bestFit="1" customWidth="1"/>
    <col min="1543" max="1543" width="11.6640625" style="434" bestFit="1" customWidth="1"/>
    <col min="1544" max="1544" width="13.33203125" style="434" bestFit="1" customWidth="1"/>
    <col min="1545" max="1794" width="11.44140625" style="434"/>
    <col min="1795" max="1795" width="29.6640625" style="434" customWidth="1"/>
    <col min="1796" max="1796" width="20.33203125" style="434" bestFit="1" customWidth="1"/>
    <col min="1797" max="1797" width="83.88671875" style="434" bestFit="1" customWidth="1"/>
    <col min="1798" max="1798" width="255.6640625" style="434" bestFit="1" customWidth="1"/>
    <col min="1799" max="1799" width="11.6640625" style="434" bestFit="1" customWidth="1"/>
    <col min="1800" max="1800" width="13.33203125" style="434" bestFit="1" customWidth="1"/>
    <col min="1801" max="2050" width="11.44140625" style="434"/>
    <col min="2051" max="2051" width="29.6640625" style="434" customWidth="1"/>
    <col min="2052" max="2052" width="20.33203125" style="434" bestFit="1" customWidth="1"/>
    <col min="2053" max="2053" width="83.88671875" style="434" bestFit="1" customWidth="1"/>
    <col min="2054" max="2054" width="255.6640625" style="434" bestFit="1" customWidth="1"/>
    <col min="2055" max="2055" width="11.6640625" style="434" bestFit="1" customWidth="1"/>
    <col min="2056" max="2056" width="13.33203125" style="434" bestFit="1" customWidth="1"/>
    <col min="2057" max="2306" width="11.44140625" style="434"/>
    <col min="2307" max="2307" width="29.6640625" style="434" customWidth="1"/>
    <col min="2308" max="2308" width="20.33203125" style="434" bestFit="1" customWidth="1"/>
    <col min="2309" max="2309" width="83.88671875" style="434" bestFit="1" customWidth="1"/>
    <col min="2310" max="2310" width="255.6640625" style="434" bestFit="1" customWidth="1"/>
    <col min="2311" max="2311" width="11.6640625" style="434" bestFit="1" customWidth="1"/>
    <col min="2312" max="2312" width="13.33203125" style="434" bestFit="1" customWidth="1"/>
    <col min="2313" max="2562" width="11.44140625" style="434"/>
    <col min="2563" max="2563" width="29.6640625" style="434" customWidth="1"/>
    <col min="2564" max="2564" width="20.33203125" style="434" bestFit="1" customWidth="1"/>
    <col min="2565" max="2565" width="83.88671875" style="434" bestFit="1" customWidth="1"/>
    <col min="2566" max="2566" width="255.6640625" style="434" bestFit="1" customWidth="1"/>
    <col min="2567" max="2567" width="11.6640625" style="434" bestFit="1" customWidth="1"/>
    <col min="2568" max="2568" width="13.33203125" style="434" bestFit="1" customWidth="1"/>
    <col min="2569" max="2818" width="11.44140625" style="434"/>
    <col min="2819" max="2819" width="29.6640625" style="434" customWidth="1"/>
    <col min="2820" max="2820" width="20.33203125" style="434" bestFit="1" customWidth="1"/>
    <col min="2821" max="2821" width="83.88671875" style="434" bestFit="1" customWidth="1"/>
    <col min="2822" max="2822" width="255.6640625" style="434" bestFit="1" customWidth="1"/>
    <col min="2823" max="2823" width="11.6640625" style="434" bestFit="1" customWidth="1"/>
    <col min="2824" max="2824" width="13.33203125" style="434" bestFit="1" customWidth="1"/>
    <col min="2825" max="3074" width="11.44140625" style="434"/>
    <col min="3075" max="3075" width="29.6640625" style="434" customWidth="1"/>
    <col min="3076" max="3076" width="20.33203125" style="434" bestFit="1" customWidth="1"/>
    <col min="3077" max="3077" width="83.88671875" style="434" bestFit="1" customWidth="1"/>
    <col min="3078" max="3078" width="255.6640625" style="434" bestFit="1" customWidth="1"/>
    <col min="3079" max="3079" width="11.6640625" style="434" bestFit="1" customWidth="1"/>
    <col min="3080" max="3080" width="13.33203125" style="434" bestFit="1" customWidth="1"/>
    <col min="3081" max="3330" width="11.44140625" style="434"/>
    <col min="3331" max="3331" width="29.6640625" style="434" customWidth="1"/>
    <col min="3332" max="3332" width="20.33203125" style="434" bestFit="1" customWidth="1"/>
    <col min="3333" max="3333" width="83.88671875" style="434" bestFit="1" customWidth="1"/>
    <col min="3334" max="3334" width="255.6640625" style="434" bestFit="1" customWidth="1"/>
    <col min="3335" max="3335" width="11.6640625" style="434" bestFit="1" customWidth="1"/>
    <col min="3336" max="3336" width="13.33203125" style="434" bestFit="1" customWidth="1"/>
    <col min="3337" max="3586" width="11.44140625" style="434"/>
    <col min="3587" max="3587" width="29.6640625" style="434" customWidth="1"/>
    <col min="3588" max="3588" width="20.33203125" style="434" bestFit="1" customWidth="1"/>
    <col min="3589" max="3589" width="83.88671875" style="434" bestFit="1" customWidth="1"/>
    <col min="3590" max="3590" width="255.6640625" style="434" bestFit="1" customWidth="1"/>
    <col min="3591" max="3591" width="11.6640625" style="434" bestFit="1" customWidth="1"/>
    <col min="3592" max="3592" width="13.33203125" style="434" bestFit="1" customWidth="1"/>
    <col min="3593" max="3842" width="11.44140625" style="434"/>
    <col min="3843" max="3843" width="29.6640625" style="434" customWidth="1"/>
    <col min="3844" max="3844" width="20.33203125" style="434" bestFit="1" customWidth="1"/>
    <col min="3845" max="3845" width="83.88671875" style="434" bestFit="1" customWidth="1"/>
    <col min="3846" max="3846" width="255.6640625" style="434" bestFit="1" customWidth="1"/>
    <col min="3847" max="3847" width="11.6640625" style="434" bestFit="1" customWidth="1"/>
    <col min="3848" max="3848" width="13.33203125" style="434" bestFit="1" customWidth="1"/>
    <col min="3849" max="4098" width="11.44140625" style="434"/>
    <col min="4099" max="4099" width="29.6640625" style="434" customWidth="1"/>
    <col min="4100" max="4100" width="20.33203125" style="434" bestFit="1" customWidth="1"/>
    <col min="4101" max="4101" width="83.88671875" style="434" bestFit="1" customWidth="1"/>
    <col min="4102" max="4102" width="255.6640625" style="434" bestFit="1" customWidth="1"/>
    <col min="4103" max="4103" width="11.6640625" style="434" bestFit="1" customWidth="1"/>
    <col min="4104" max="4104" width="13.33203125" style="434" bestFit="1" customWidth="1"/>
    <col min="4105" max="4354" width="11.44140625" style="434"/>
    <col min="4355" max="4355" width="29.6640625" style="434" customWidth="1"/>
    <col min="4356" max="4356" width="20.33203125" style="434" bestFit="1" customWidth="1"/>
    <col min="4357" max="4357" width="83.88671875" style="434" bestFit="1" customWidth="1"/>
    <col min="4358" max="4358" width="255.6640625" style="434" bestFit="1" customWidth="1"/>
    <col min="4359" max="4359" width="11.6640625" style="434" bestFit="1" customWidth="1"/>
    <col min="4360" max="4360" width="13.33203125" style="434" bestFit="1" customWidth="1"/>
    <col min="4361" max="4610" width="11.44140625" style="434"/>
    <col min="4611" max="4611" width="29.6640625" style="434" customWidth="1"/>
    <col min="4612" max="4612" width="20.33203125" style="434" bestFit="1" customWidth="1"/>
    <col min="4613" max="4613" width="83.88671875" style="434" bestFit="1" customWidth="1"/>
    <col min="4614" max="4614" width="255.6640625" style="434" bestFit="1" customWidth="1"/>
    <col min="4615" max="4615" width="11.6640625" style="434" bestFit="1" customWidth="1"/>
    <col min="4616" max="4616" width="13.33203125" style="434" bestFit="1" customWidth="1"/>
    <col min="4617" max="4866" width="11.44140625" style="434"/>
    <col min="4867" max="4867" width="29.6640625" style="434" customWidth="1"/>
    <col min="4868" max="4868" width="20.33203125" style="434" bestFit="1" customWidth="1"/>
    <col min="4869" max="4869" width="83.88671875" style="434" bestFit="1" customWidth="1"/>
    <col min="4870" max="4870" width="255.6640625" style="434" bestFit="1" customWidth="1"/>
    <col min="4871" max="4871" width="11.6640625" style="434" bestFit="1" customWidth="1"/>
    <col min="4872" max="4872" width="13.33203125" style="434" bestFit="1" customWidth="1"/>
    <col min="4873" max="5122" width="11.44140625" style="434"/>
    <col min="5123" max="5123" width="29.6640625" style="434" customWidth="1"/>
    <col min="5124" max="5124" width="20.33203125" style="434" bestFit="1" customWidth="1"/>
    <col min="5125" max="5125" width="83.88671875" style="434" bestFit="1" customWidth="1"/>
    <col min="5126" max="5126" width="255.6640625" style="434" bestFit="1" customWidth="1"/>
    <col min="5127" max="5127" width="11.6640625" style="434" bestFit="1" customWidth="1"/>
    <col min="5128" max="5128" width="13.33203125" style="434" bestFit="1" customWidth="1"/>
    <col min="5129" max="5378" width="11.44140625" style="434"/>
    <col min="5379" max="5379" width="29.6640625" style="434" customWidth="1"/>
    <col min="5380" max="5380" width="20.33203125" style="434" bestFit="1" customWidth="1"/>
    <col min="5381" max="5381" width="83.88671875" style="434" bestFit="1" customWidth="1"/>
    <col min="5382" max="5382" width="255.6640625" style="434" bestFit="1" customWidth="1"/>
    <col min="5383" max="5383" width="11.6640625" style="434" bestFit="1" customWidth="1"/>
    <col min="5384" max="5384" width="13.33203125" style="434" bestFit="1" customWidth="1"/>
    <col min="5385" max="5634" width="11.44140625" style="434"/>
    <col min="5635" max="5635" width="29.6640625" style="434" customWidth="1"/>
    <col min="5636" max="5636" width="20.33203125" style="434" bestFit="1" customWidth="1"/>
    <col min="5637" max="5637" width="83.88671875" style="434" bestFit="1" customWidth="1"/>
    <col min="5638" max="5638" width="255.6640625" style="434" bestFit="1" customWidth="1"/>
    <col min="5639" max="5639" width="11.6640625" style="434" bestFit="1" customWidth="1"/>
    <col min="5640" max="5640" width="13.33203125" style="434" bestFit="1" customWidth="1"/>
    <col min="5641" max="5890" width="11.44140625" style="434"/>
    <col min="5891" max="5891" width="29.6640625" style="434" customWidth="1"/>
    <col min="5892" max="5892" width="20.33203125" style="434" bestFit="1" customWidth="1"/>
    <col min="5893" max="5893" width="83.88671875" style="434" bestFit="1" customWidth="1"/>
    <col min="5894" max="5894" width="255.6640625" style="434" bestFit="1" customWidth="1"/>
    <col min="5895" max="5895" width="11.6640625" style="434" bestFit="1" customWidth="1"/>
    <col min="5896" max="5896" width="13.33203125" style="434" bestFit="1" customWidth="1"/>
    <col min="5897" max="6146" width="11.44140625" style="434"/>
    <col min="6147" max="6147" width="29.6640625" style="434" customWidth="1"/>
    <col min="6148" max="6148" width="20.33203125" style="434" bestFit="1" customWidth="1"/>
    <col min="6149" max="6149" width="83.88671875" style="434" bestFit="1" customWidth="1"/>
    <col min="6150" max="6150" width="255.6640625" style="434" bestFit="1" customWidth="1"/>
    <col min="6151" max="6151" width="11.6640625" style="434" bestFit="1" customWidth="1"/>
    <col min="6152" max="6152" width="13.33203125" style="434" bestFit="1" customWidth="1"/>
    <col min="6153" max="6402" width="11.44140625" style="434"/>
    <col min="6403" max="6403" width="29.6640625" style="434" customWidth="1"/>
    <col min="6404" max="6404" width="20.33203125" style="434" bestFit="1" customWidth="1"/>
    <col min="6405" max="6405" width="83.88671875" style="434" bestFit="1" customWidth="1"/>
    <col min="6406" max="6406" width="255.6640625" style="434" bestFit="1" customWidth="1"/>
    <col min="6407" max="6407" width="11.6640625" style="434" bestFit="1" customWidth="1"/>
    <col min="6408" max="6408" width="13.33203125" style="434" bestFit="1" customWidth="1"/>
    <col min="6409" max="6658" width="11.44140625" style="434"/>
    <col min="6659" max="6659" width="29.6640625" style="434" customWidth="1"/>
    <col min="6660" max="6660" width="20.33203125" style="434" bestFit="1" customWidth="1"/>
    <col min="6661" max="6661" width="83.88671875" style="434" bestFit="1" customWidth="1"/>
    <col min="6662" max="6662" width="255.6640625" style="434" bestFit="1" customWidth="1"/>
    <col min="6663" max="6663" width="11.6640625" style="434" bestFit="1" customWidth="1"/>
    <col min="6664" max="6664" width="13.33203125" style="434" bestFit="1" customWidth="1"/>
    <col min="6665" max="6914" width="11.44140625" style="434"/>
    <col min="6915" max="6915" width="29.6640625" style="434" customWidth="1"/>
    <col min="6916" max="6916" width="20.33203125" style="434" bestFit="1" customWidth="1"/>
    <col min="6917" max="6917" width="83.88671875" style="434" bestFit="1" customWidth="1"/>
    <col min="6918" max="6918" width="255.6640625" style="434" bestFit="1" customWidth="1"/>
    <col min="6919" max="6919" width="11.6640625" style="434" bestFit="1" customWidth="1"/>
    <col min="6920" max="6920" width="13.33203125" style="434" bestFit="1" customWidth="1"/>
    <col min="6921" max="7170" width="11.44140625" style="434"/>
    <col min="7171" max="7171" width="29.6640625" style="434" customWidth="1"/>
    <col min="7172" max="7172" width="20.33203125" style="434" bestFit="1" customWidth="1"/>
    <col min="7173" max="7173" width="83.88671875" style="434" bestFit="1" customWidth="1"/>
    <col min="7174" max="7174" width="255.6640625" style="434" bestFit="1" customWidth="1"/>
    <col min="7175" max="7175" width="11.6640625" style="434" bestFit="1" customWidth="1"/>
    <col min="7176" max="7176" width="13.33203125" style="434" bestFit="1" customWidth="1"/>
    <col min="7177" max="7426" width="11.44140625" style="434"/>
    <col min="7427" max="7427" width="29.6640625" style="434" customWidth="1"/>
    <col min="7428" max="7428" width="20.33203125" style="434" bestFit="1" customWidth="1"/>
    <col min="7429" max="7429" width="83.88671875" style="434" bestFit="1" customWidth="1"/>
    <col min="7430" max="7430" width="255.6640625" style="434" bestFit="1" customWidth="1"/>
    <col min="7431" max="7431" width="11.6640625" style="434" bestFit="1" customWidth="1"/>
    <col min="7432" max="7432" width="13.33203125" style="434" bestFit="1" customWidth="1"/>
    <col min="7433" max="7682" width="11.44140625" style="434"/>
    <col min="7683" max="7683" width="29.6640625" style="434" customWidth="1"/>
    <col min="7684" max="7684" width="20.33203125" style="434" bestFit="1" customWidth="1"/>
    <col min="7685" max="7685" width="83.88671875" style="434" bestFit="1" customWidth="1"/>
    <col min="7686" max="7686" width="255.6640625" style="434" bestFit="1" customWidth="1"/>
    <col min="7687" max="7687" width="11.6640625" style="434" bestFit="1" customWidth="1"/>
    <col min="7688" max="7688" width="13.33203125" style="434" bestFit="1" customWidth="1"/>
    <col min="7689" max="7938" width="11.44140625" style="434"/>
    <col min="7939" max="7939" width="29.6640625" style="434" customWidth="1"/>
    <col min="7940" max="7940" width="20.33203125" style="434" bestFit="1" customWidth="1"/>
    <col min="7941" max="7941" width="83.88671875" style="434" bestFit="1" customWidth="1"/>
    <col min="7942" max="7942" width="255.6640625" style="434" bestFit="1" customWidth="1"/>
    <col min="7943" max="7943" width="11.6640625" style="434" bestFit="1" customWidth="1"/>
    <col min="7944" max="7944" width="13.33203125" style="434" bestFit="1" customWidth="1"/>
    <col min="7945" max="8194" width="11.44140625" style="434"/>
    <col min="8195" max="8195" width="29.6640625" style="434" customWidth="1"/>
    <col min="8196" max="8196" width="20.33203125" style="434" bestFit="1" customWidth="1"/>
    <col min="8197" max="8197" width="83.88671875" style="434" bestFit="1" customWidth="1"/>
    <col min="8198" max="8198" width="255.6640625" style="434" bestFit="1" customWidth="1"/>
    <col min="8199" max="8199" width="11.6640625" style="434" bestFit="1" customWidth="1"/>
    <col min="8200" max="8200" width="13.33203125" style="434" bestFit="1" customWidth="1"/>
    <col min="8201" max="8450" width="11.44140625" style="434"/>
    <col min="8451" max="8451" width="29.6640625" style="434" customWidth="1"/>
    <col min="8452" max="8452" width="20.33203125" style="434" bestFit="1" customWidth="1"/>
    <col min="8453" max="8453" width="83.88671875" style="434" bestFit="1" customWidth="1"/>
    <col min="8454" max="8454" width="255.6640625" style="434" bestFit="1" customWidth="1"/>
    <col min="8455" max="8455" width="11.6640625" style="434" bestFit="1" customWidth="1"/>
    <col min="8456" max="8456" width="13.33203125" style="434" bestFit="1" customWidth="1"/>
    <col min="8457" max="8706" width="11.44140625" style="434"/>
    <col min="8707" max="8707" width="29.6640625" style="434" customWidth="1"/>
    <col min="8708" max="8708" width="20.33203125" style="434" bestFit="1" customWidth="1"/>
    <col min="8709" max="8709" width="83.88671875" style="434" bestFit="1" customWidth="1"/>
    <col min="8710" max="8710" width="255.6640625" style="434" bestFit="1" customWidth="1"/>
    <col min="8711" max="8711" width="11.6640625" style="434" bestFit="1" customWidth="1"/>
    <col min="8712" max="8712" width="13.33203125" style="434" bestFit="1" customWidth="1"/>
    <col min="8713" max="8962" width="11.44140625" style="434"/>
    <col min="8963" max="8963" width="29.6640625" style="434" customWidth="1"/>
    <col min="8964" max="8964" width="20.33203125" style="434" bestFit="1" customWidth="1"/>
    <col min="8965" max="8965" width="83.88671875" style="434" bestFit="1" customWidth="1"/>
    <col min="8966" max="8966" width="255.6640625" style="434" bestFit="1" customWidth="1"/>
    <col min="8967" max="8967" width="11.6640625" style="434" bestFit="1" customWidth="1"/>
    <col min="8968" max="8968" width="13.33203125" style="434" bestFit="1" customWidth="1"/>
    <col min="8969" max="9218" width="11.44140625" style="434"/>
    <col min="9219" max="9219" width="29.6640625" style="434" customWidth="1"/>
    <col min="9220" max="9220" width="20.33203125" style="434" bestFit="1" customWidth="1"/>
    <col min="9221" max="9221" width="83.88671875" style="434" bestFit="1" customWidth="1"/>
    <col min="9222" max="9222" width="255.6640625" style="434" bestFit="1" customWidth="1"/>
    <col min="9223" max="9223" width="11.6640625" style="434" bestFit="1" customWidth="1"/>
    <col min="9224" max="9224" width="13.33203125" style="434" bestFit="1" customWidth="1"/>
    <col min="9225" max="9474" width="11.44140625" style="434"/>
    <col min="9475" max="9475" width="29.6640625" style="434" customWidth="1"/>
    <col min="9476" max="9476" width="20.33203125" style="434" bestFit="1" customWidth="1"/>
    <col min="9477" max="9477" width="83.88671875" style="434" bestFit="1" customWidth="1"/>
    <col min="9478" max="9478" width="255.6640625" style="434" bestFit="1" customWidth="1"/>
    <col min="9479" max="9479" width="11.6640625" style="434" bestFit="1" customWidth="1"/>
    <col min="9480" max="9480" width="13.33203125" style="434" bestFit="1" customWidth="1"/>
    <col min="9481" max="9730" width="11.44140625" style="434"/>
    <col min="9731" max="9731" width="29.6640625" style="434" customWidth="1"/>
    <col min="9732" max="9732" width="20.33203125" style="434" bestFit="1" customWidth="1"/>
    <col min="9733" max="9733" width="83.88671875" style="434" bestFit="1" customWidth="1"/>
    <col min="9734" max="9734" width="255.6640625" style="434" bestFit="1" customWidth="1"/>
    <col min="9735" max="9735" width="11.6640625" style="434" bestFit="1" customWidth="1"/>
    <col min="9736" max="9736" width="13.33203125" style="434" bestFit="1" customWidth="1"/>
    <col min="9737" max="9986" width="11.44140625" style="434"/>
    <col min="9987" max="9987" width="29.6640625" style="434" customWidth="1"/>
    <col min="9988" max="9988" width="20.33203125" style="434" bestFit="1" customWidth="1"/>
    <col min="9989" max="9989" width="83.88671875" style="434" bestFit="1" customWidth="1"/>
    <col min="9990" max="9990" width="255.6640625" style="434" bestFit="1" customWidth="1"/>
    <col min="9991" max="9991" width="11.6640625" style="434" bestFit="1" customWidth="1"/>
    <col min="9992" max="9992" width="13.33203125" style="434" bestFit="1" customWidth="1"/>
    <col min="9993" max="10242" width="11.44140625" style="434"/>
    <col min="10243" max="10243" width="29.6640625" style="434" customWidth="1"/>
    <col min="10244" max="10244" width="20.33203125" style="434" bestFit="1" customWidth="1"/>
    <col min="10245" max="10245" width="83.88671875" style="434" bestFit="1" customWidth="1"/>
    <col min="10246" max="10246" width="255.6640625" style="434" bestFit="1" customWidth="1"/>
    <col min="10247" max="10247" width="11.6640625" style="434" bestFit="1" customWidth="1"/>
    <col min="10248" max="10248" width="13.33203125" style="434" bestFit="1" customWidth="1"/>
    <col min="10249" max="10498" width="11.44140625" style="434"/>
    <col min="10499" max="10499" width="29.6640625" style="434" customWidth="1"/>
    <col min="10500" max="10500" width="20.33203125" style="434" bestFit="1" customWidth="1"/>
    <col min="10501" max="10501" width="83.88671875" style="434" bestFit="1" customWidth="1"/>
    <col min="10502" max="10502" width="255.6640625" style="434" bestFit="1" customWidth="1"/>
    <col min="10503" max="10503" width="11.6640625" style="434" bestFit="1" customWidth="1"/>
    <col min="10504" max="10504" width="13.33203125" style="434" bestFit="1" customWidth="1"/>
    <col min="10505" max="10754" width="11.44140625" style="434"/>
    <col min="10755" max="10755" width="29.6640625" style="434" customWidth="1"/>
    <col min="10756" max="10756" width="20.33203125" style="434" bestFit="1" customWidth="1"/>
    <col min="10757" max="10757" width="83.88671875" style="434" bestFit="1" customWidth="1"/>
    <col min="10758" max="10758" width="255.6640625" style="434" bestFit="1" customWidth="1"/>
    <col min="10759" max="10759" width="11.6640625" style="434" bestFit="1" customWidth="1"/>
    <col min="10760" max="10760" width="13.33203125" style="434" bestFit="1" customWidth="1"/>
    <col min="10761" max="11010" width="11.44140625" style="434"/>
    <col min="11011" max="11011" width="29.6640625" style="434" customWidth="1"/>
    <col min="11012" max="11012" width="20.33203125" style="434" bestFit="1" customWidth="1"/>
    <col min="11013" max="11013" width="83.88671875" style="434" bestFit="1" customWidth="1"/>
    <col min="11014" max="11014" width="255.6640625" style="434" bestFit="1" customWidth="1"/>
    <col min="11015" max="11015" width="11.6640625" style="434" bestFit="1" customWidth="1"/>
    <col min="11016" max="11016" width="13.33203125" style="434" bestFit="1" customWidth="1"/>
    <col min="11017" max="11266" width="11.44140625" style="434"/>
    <col min="11267" max="11267" width="29.6640625" style="434" customWidth="1"/>
    <col min="11268" max="11268" width="20.33203125" style="434" bestFit="1" customWidth="1"/>
    <col min="11269" max="11269" width="83.88671875" style="434" bestFit="1" customWidth="1"/>
    <col min="11270" max="11270" width="255.6640625" style="434" bestFit="1" customWidth="1"/>
    <col min="11271" max="11271" width="11.6640625" style="434" bestFit="1" customWidth="1"/>
    <col min="11272" max="11272" width="13.33203125" style="434" bestFit="1" customWidth="1"/>
    <col min="11273" max="11522" width="11.44140625" style="434"/>
    <col min="11523" max="11523" width="29.6640625" style="434" customWidth="1"/>
    <col min="11524" max="11524" width="20.33203125" style="434" bestFit="1" customWidth="1"/>
    <col min="11525" max="11525" width="83.88671875" style="434" bestFit="1" customWidth="1"/>
    <col min="11526" max="11526" width="255.6640625" style="434" bestFit="1" customWidth="1"/>
    <col min="11527" max="11527" width="11.6640625" style="434" bestFit="1" customWidth="1"/>
    <col min="11528" max="11528" width="13.33203125" style="434" bestFit="1" customWidth="1"/>
    <col min="11529" max="11778" width="11.44140625" style="434"/>
    <col min="11779" max="11779" width="29.6640625" style="434" customWidth="1"/>
    <col min="11780" max="11780" width="20.33203125" style="434" bestFit="1" customWidth="1"/>
    <col min="11781" max="11781" width="83.88671875" style="434" bestFit="1" customWidth="1"/>
    <col min="11782" max="11782" width="255.6640625" style="434" bestFit="1" customWidth="1"/>
    <col min="11783" max="11783" width="11.6640625" style="434" bestFit="1" customWidth="1"/>
    <col min="11784" max="11784" width="13.33203125" style="434" bestFit="1" customWidth="1"/>
    <col min="11785" max="12034" width="11.44140625" style="434"/>
    <col min="12035" max="12035" width="29.6640625" style="434" customWidth="1"/>
    <col min="12036" max="12036" width="20.33203125" style="434" bestFit="1" customWidth="1"/>
    <col min="12037" max="12037" width="83.88671875" style="434" bestFit="1" customWidth="1"/>
    <col min="12038" max="12038" width="255.6640625" style="434" bestFit="1" customWidth="1"/>
    <col min="12039" max="12039" width="11.6640625" style="434" bestFit="1" customWidth="1"/>
    <col min="12040" max="12040" width="13.33203125" style="434" bestFit="1" customWidth="1"/>
    <col min="12041" max="12290" width="11.44140625" style="434"/>
    <col min="12291" max="12291" width="29.6640625" style="434" customWidth="1"/>
    <col min="12292" max="12292" width="20.33203125" style="434" bestFit="1" customWidth="1"/>
    <col min="12293" max="12293" width="83.88671875" style="434" bestFit="1" customWidth="1"/>
    <col min="12294" max="12294" width="255.6640625" style="434" bestFit="1" customWidth="1"/>
    <col min="12295" max="12295" width="11.6640625" style="434" bestFit="1" customWidth="1"/>
    <col min="12296" max="12296" width="13.33203125" style="434" bestFit="1" customWidth="1"/>
    <col min="12297" max="12546" width="11.44140625" style="434"/>
    <col min="12547" max="12547" width="29.6640625" style="434" customWidth="1"/>
    <col min="12548" max="12548" width="20.33203125" style="434" bestFit="1" customWidth="1"/>
    <col min="12549" max="12549" width="83.88671875" style="434" bestFit="1" customWidth="1"/>
    <col min="12550" max="12550" width="255.6640625" style="434" bestFit="1" customWidth="1"/>
    <col min="12551" max="12551" width="11.6640625" style="434" bestFit="1" customWidth="1"/>
    <col min="12552" max="12552" width="13.33203125" style="434" bestFit="1" customWidth="1"/>
    <col min="12553" max="12802" width="11.44140625" style="434"/>
    <col min="12803" max="12803" width="29.6640625" style="434" customWidth="1"/>
    <col min="12804" max="12804" width="20.33203125" style="434" bestFit="1" customWidth="1"/>
    <col min="12805" max="12805" width="83.88671875" style="434" bestFit="1" customWidth="1"/>
    <col min="12806" max="12806" width="255.6640625" style="434" bestFit="1" customWidth="1"/>
    <col min="12807" max="12807" width="11.6640625" style="434" bestFit="1" customWidth="1"/>
    <col min="12808" max="12808" width="13.33203125" style="434" bestFit="1" customWidth="1"/>
    <col min="12809" max="13058" width="11.44140625" style="434"/>
    <col min="13059" max="13059" width="29.6640625" style="434" customWidth="1"/>
    <col min="13060" max="13060" width="20.33203125" style="434" bestFit="1" customWidth="1"/>
    <col min="13061" max="13061" width="83.88671875" style="434" bestFit="1" customWidth="1"/>
    <col min="13062" max="13062" width="255.6640625" style="434" bestFit="1" customWidth="1"/>
    <col min="13063" max="13063" width="11.6640625" style="434" bestFit="1" customWidth="1"/>
    <col min="13064" max="13064" width="13.33203125" style="434" bestFit="1" customWidth="1"/>
    <col min="13065" max="13314" width="11.44140625" style="434"/>
    <col min="13315" max="13315" width="29.6640625" style="434" customWidth="1"/>
    <col min="13316" max="13316" width="20.33203125" style="434" bestFit="1" customWidth="1"/>
    <col min="13317" max="13317" width="83.88671875" style="434" bestFit="1" customWidth="1"/>
    <col min="13318" max="13318" width="255.6640625" style="434" bestFit="1" customWidth="1"/>
    <col min="13319" max="13319" width="11.6640625" style="434" bestFit="1" customWidth="1"/>
    <col min="13320" max="13320" width="13.33203125" style="434" bestFit="1" customWidth="1"/>
    <col min="13321" max="13570" width="11.44140625" style="434"/>
    <col min="13571" max="13571" width="29.6640625" style="434" customWidth="1"/>
    <col min="13572" max="13572" width="20.33203125" style="434" bestFit="1" customWidth="1"/>
    <col min="13573" max="13573" width="83.88671875" style="434" bestFit="1" customWidth="1"/>
    <col min="13574" max="13574" width="255.6640625" style="434" bestFit="1" customWidth="1"/>
    <col min="13575" max="13575" width="11.6640625" style="434" bestFit="1" customWidth="1"/>
    <col min="13576" max="13576" width="13.33203125" style="434" bestFit="1" customWidth="1"/>
    <col min="13577" max="13826" width="11.44140625" style="434"/>
    <col min="13827" max="13827" width="29.6640625" style="434" customWidth="1"/>
    <col min="13828" max="13828" width="20.33203125" style="434" bestFit="1" customWidth="1"/>
    <col min="13829" max="13829" width="83.88671875" style="434" bestFit="1" customWidth="1"/>
    <col min="13830" max="13830" width="255.6640625" style="434" bestFit="1" customWidth="1"/>
    <col min="13831" max="13831" width="11.6640625" style="434" bestFit="1" customWidth="1"/>
    <col min="13832" max="13832" width="13.33203125" style="434" bestFit="1" customWidth="1"/>
    <col min="13833" max="14082" width="11.44140625" style="434"/>
    <col min="14083" max="14083" width="29.6640625" style="434" customWidth="1"/>
    <col min="14084" max="14084" width="20.33203125" style="434" bestFit="1" customWidth="1"/>
    <col min="14085" max="14085" width="83.88671875" style="434" bestFit="1" customWidth="1"/>
    <col min="14086" max="14086" width="255.6640625" style="434" bestFit="1" customWidth="1"/>
    <col min="14087" max="14087" width="11.6640625" style="434" bestFit="1" customWidth="1"/>
    <col min="14088" max="14088" width="13.33203125" style="434" bestFit="1" customWidth="1"/>
    <col min="14089" max="14338" width="11.44140625" style="434"/>
    <col min="14339" max="14339" width="29.6640625" style="434" customWidth="1"/>
    <col min="14340" max="14340" width="20.33203125" style="434" bestFit="1" customWidth="1"/>
    <col min="14341" max="14341" width="83.88671875" style="434" bestFit="1" customWidth="1"/>
    <col min="14342" max="14342" width="255.6640625" style="434" bestFit="1" customWidth="1"/>
    <col min="14343" max="14343" width="11.6640625" style="434" bestFit="1" customWidth="1"/>
    <col min="14344" max="14344" width="13.33203125" style="434" bestFit="1" customWidth="1"/>
    <col min="14345" max="14594" width="11.44140625" style="434"/>
    <col min="14595" max="14595" width="29.6640625" style="434" customWidth="1"/>
    <col min="14596" max="14596" width="20.33203125" style="434" bestFit="1" customWidth="1"/>
    <col min="14597" max="14597" width="83.88671875" style="434" bestFit="1" customWidth="1"/>
    <col min="14598" max="14598" width="255.6640625" style="434" bestFit="1" customWidth="1"/>
    <col min="14599" max="14599" width="11.6640625" style="434" bestFit="1" customWidth="1"/>
    <col min="14600" max="14600" width="13.33203125" style="434" bestFit="1" customWidth="1"/>
    <col min="14601" max="14850" width="11.44140625" style="434"/>
    <col min="14851" max="14851" width="29.6640625" style="434" customWidth="1"/>
    <col min="14852" max="14852" width="20.33203125" style="434" bestFit="1" customWidth="1"/>
    <col min="14853" max="14853" width="83.88671875" style="434" bestFit="1" customWidth="1"/>
    <col min="14854" max="14854" width="255.6640625" style="434" bestFit="1" customWidth="1"/>
    <col min="14855" max="14855" width="11.6640625" style="434" bestFit="1" customWidth="1"/>
    <col min="14856" max="14856" width="13.33203125" style="434" bestFit="1" customWidth="1"/>
    <col min="14857" max="15106" width="11.44140625" style="434"/>
    <col min="15107" max="15107" width="29.6640625" style="434" customWidth="1"/>
    <col min="15108" max="15108" width="20.33203125" style="434" bestFit="1" customWidth="1"/>
    <col min="15109" max="15109" width="83.88671875" style="434" bestFit="1" customWidth="1"/>
    <col min="15110" max="15110" width="255.6640625" style="434" bestFit="1" customWidth="1"/>
    <col min="15111" max="15111" width="11.6640625" style="434" bestFit="1" customWidth="1"/>
    <col min="15112" max="15112" width="13.33203125" style="434" bestFit="1" customWidth="1"/>
    <col min="15113" max="15362" width="11.44140625" style="434"/>
    <col min="15363" max="15363" width="29.6640625" style="434" customWidth="1"/>
    <col min="15364" max="15364" width="20.33203125" style="434" bestFit="1" customWidth="1"/>
    <col min="15365" max="15365" width="83.88671875" style="434" bestFit="1" customWidth="1"/>
    <col min="15366" max="15366" width="255.6640625" style="434" bestFit="1" customWidth="1"/>
    <col min="15367" max="15367" width="11.6640625" style="434" bestFit="1" customWidth="1"/>
    <col min="15368" max="15368" width="13.33203125" style="434" bestFit="1" customWidth="1"/>
    <col min="15369" max="15618" width="11.44140625" style="434"/>
    <col min="15619" max="15619" width="29.6640625" style="434" customWidth="1"/>
    <col min="15620" max="15620" width="20.33203125" style="434" bestFit="1" customWidth="1"/>
    <col min="15621" max="15621" width="83.88671875" style="434" bestFit="1" customWidth="1"/>
    <col min="15622" max="15622" width="255.6640625" style="434" bestFit="1" customWidth="1"/>
    <col min="15623" max="15623" width="11.6640625" style="434" bestFit="1" customWidth="1"/>
    <col min="15624" max="15624" width="13.33203125" style="434" bestFit="1" customWidth="1"/>
    <col min="15625" max="15874" width="11.44140625" style="434"/>
    <col min="15875" max="15875" width="29.6640625" style="434" customWidth="1"/>
    <col min="15876" max="15876" width="20.33203125" style="434" bestFit="1" customWidth="1"/>
    <col min="15877" max="15877" width="83.88671875" style="434" bestFit="1" customWidth="1"/>
    <col min="15878" max="15878" width="255.6640625" style="434" bestFit="1" customWidth="1"/>
    <col min="15879" max="15879" width="11.6640625" style="434" bestFit="1" customWidth="1"/>
    <col min="15880" max="15880" width="13.33203125" style="434" bestFit="1" customWidth="1"/>
    <col min="15881" max="16130" width="11.44140625" style="434"/>
    <col min="16131" max="16131" width="29.6640625" style="434" customWidth="1"/>
    <col min="16132" max="16132" width="20.33203125" style="434" bestFit="1" customWidth="1"/>
    <col min="16133" max="16133" width="83.88671875" style="434" bestFit="1" customWidth="1"/>
    <col min="16134" max="16134" width="255.6640625" style="434" bestFit="1" customWidth="1"/>
    <col min="16135" max="16135" width="11.6640625" style="434" bestFit="1" customWidth="1"/>
    <col min="16136" max="16136" width="13.33203125" style="434" bestFit="1" customWidth="1"/>
    <col min="16137" max="16384" width="11.44140625" style="434"/>
  </cols>
  <sheetData>
    <row r="1" spans="1:16" s="1274" customFormat="1" x14ac:dyDescent="0.25">
      <c r="A1" s="1274" t="s">
        <v>1431</v>
      </c>
      <c r="B1" s="1275" t="s">
        <v>1432</v>
      </c>
      <c r="C1" s="1275" t="s">
        <v>43</v>
      </c>
      <c r="D1" s="1275" t="s">
        <v>1716</v>
      </c>
      <c r="E1" s="1275" t="s">
        <v>1144</v>
      </c>
      <c r="F1" s="1470" t="s">
        <v>1433</v>
      </c>
      <c r="G1" s="1276" t="s">
        <v>1750</v>
      </c>
      <c r="H1" s="1275" t="s">
        <v>1434</v>
      </c>
      <c r="I1" s="1275" t="s">
        <v>1434</v>
      </c>
      <c r="J1" s="1443"/>
      <c r="K1" s="1443"/>
      <c r="L1" s="1443"/>
    </row>
    <row r="2" spans="1:16" hidden="1" x14ac:dyDescent="0.4">
      <c r="A2" s="434">
        <v>1</v>
      </c>
      <c r="B2" s="434" t="s">
        <v>1435</v>
      </c>
      <c r="C2" s="434" t="s">
        <v>1436</v>
      </c>
      <c r="D2" s="434" t="s">
        <v>72</v>
      </c>
      <c r="E2" s="434" t="s">
        <v>1348</v>
      </c>
      <c r="F2" s="434" t="s">
        <v>1437</v>
      </c>
      <c r="G2" s="593">
        <v>71541500</v>
      </c>
      <c r="H2" s="434" t="s">
        <v>1438</v>
      </c>
      <c r="I2" s="434" t="s">
        <v>1438</v>
      </c>
      <c r="J2" s="1444">
        <v>71541500</v>
      </c>
      <c r="K2" s="1444">
        <v>96402400</v>
      </c>
      <c r="L2" s="1444">
        <f>+K2-J2</f>
        <v>24860900</v>
      </c>
    </row>
    <row r="3" spans="1:16" hidden="1" x14ac:dyDescent="0.4">
      <c r="A3" s="434">
        <v>1</v>
      </c>
      <c r="B3" s="434" t="s">
        <v>1435</v>
      </c>
      <c r="C3" s="434" t="s">
        <v>1436</v>
      </c>
      <c r="D3" s="434" t="s">
        <v>76</v>
      </c>
      <c r="E3" s="434" t="s">
        <v>1352</v>
      </c>
      <c r="F3" s="434" t="s">
        <v>1056</v>
      </c>
      <c r="G3" s="593">
        <v>1000000</v>
      </c>
      <c r="H3" s="434" t="s">
        <v>1438</v>
      </c>
      <c r="I3" s="434" t="s">
        <v>1438</v>
      </c>
      <c r="J3" s="1444">
        <v>1000000</v>
      </c>
      <c r="K3" s="1444">
        <v>1000000</v>
      </c>
      <c r="L3" s="1444">
        <f t="shared" ref="L3:L16" si="0">+K3-J3</f>
        <v>0</v>
      </c>
    </row>
    <row r="4" spans="1:16" hidden="1" x14ac:dyDescent="0.4">
      <c r="A4" s="434">
        <v>1</v>
      </c>
      <c r="B4" s="434" t="s">
        <v>1435</v>
      </c>
      <c r="C4" s="434" t="s">
        <v>1436</v>
      </c>
      <c r="D4" s="434" t="s">
        <v>80</v>
      </c>
      <c r="E4" s="434" t="s">
        <v>1332</v>
      </c>
      <c r="F4" s="434" t="s">
        <v>481</v>
      </c>
      <c r="G4" s="593">
        <v>4839000</v>
      </c>
      <c r="H4" s="434" t="s">
        <v>1438</v>
      </c>
      <c r="I4" s="434" t="s">
        <v>1438</v>
      </c>
      <c r="J4" s="1444">
        <v>4839000</v>
      </c>
      <c r="K4" s="1444">
        <v>4839000</v>
      </c>
      <c r="L4" s="1444">
        <f t="shared" si="0"/>
        <v>0</v>
      </c>
      <c r="O4" s="434" t="s">
        <v>1438</v>
      </c>
    </row>
    <row r="5" spans="1:16" hidden="1" x14ac:dyDescent="0.4">
      <c r="A5" s="434">
        <v>1</v>
      </c>
      <c r="B5" s="434" t="s">
        <v>1435</v>
      </c>
      <c r="C5" s="434" t="s">
        <v>1436</v>
      </c>
      <c r="D5" s="434" t="s">
        <v>82</v>
      </c>
      <c r="E5" s="434" t="s">
        <v>1333</v>
      </c>
      <c r="F5" s="434" t="s">
        <v>482</v>
      </c>
      <c r="G5" s="593">
        <v>6393800</v>
      </c>
      <c r="H5" s="434" t="s">
        <v>1438</v>
      </c>
      <c r="I5" s="434" t="s">
        <v>1438</v>
      </c>
      <c r="J5" s="1444">
        <v>6393800</v>
      </c>
      <c r="K5" s="1444">
        <v>6393800</v>
      </c>
      <c r="L5" s="1444">
        <f t="shared" si="0"/>
        <v>0</v>
      </c>
      <c r="O5" s="434" t="s">
        <v>534</v>
      </c>
      <c r="P5" s="593"/>
    </row>
    <row r="6" spans="1:16" hidden="1" x14ac:dyDescent="0.4">
      <c r="A6" s="434">
        <v>1</v>
      </c>
      <c r="B6" s="434" t="s">
        <v>1435</v>
      </c>
      <c r="C6" s="434" t="s">
        <v>1436</v>
      </c>
      <c r="D6" s="434" t="s">
        <v>84</v>
      </c>
      <c r="E6" s="434" t="s">
        <v>1355</v>
      </c>
      <c r="F6" s="434" t="s">
        <v>483</v>
      </c>
      <c r="G6" s="593">
        <v>7548100</v>
      </c>
      <c r="H6" s="434" t="s">
        <v>1438</v>
      </c>
      <c r="I6" s="434" t="s">
        <v>1438</v>
      </c>
      <c r="J6" s="1444">
        <v>7548100</v>
      </c>
      <c r="K6" s="1444">
        <v>9619800</v>
      </c>
      <c r="L6" s="1444">
        <f t="shared" si="0"/>
        <v>2071700</v>
      </c>
      <c r="O6" s="434" t="s">
        <v>1626</v>
      </c>
    </row>
    <row r="7" spans="1:16" hidden="1" x14ac:dyDescent="0.4">
      <c r="A7" s="434">
        <v>1</v>
      </c>
      <c r="B7" s="434" t="s">
        <v>1435</v>
      </c>
      <c r="C7" s="434" t="s">
        <v>1436</v>
      </c>
      <c r="D7" s="434" t="s">
        <v>86</v>
      </c>
      <c r="E7" s="434" t="s">
        <v>1356</v>
      </c>
      <c r="F7" s="434" t="s">
        <v>484</v>
      </c>
      <c r="G7" s="593">
        <v>6476400</v>
      </c>
      <c r="H7" s="434" t="s">
        <v>1438</v>
      </c>
      <c r="I7" s="434" t="s">
        <v>1438</v>
      </c>
      <c r="J7" s="1444">
        <v>6476400</v>
      </c>
      <c r="K7" s="1444">
        <v>6476400</v>
      </c>
      <c r="L7" s="1444">
        <f t="shared" si="0"/>
        <v>0</v>
      </c>
      <c r="O7" s="434" t="s">
        <v>1717</v>
      </c>
      <c r="P7" s="593">
        <f>+'EVOLUCION GASTO'!B155</f>
        <v>2546194511.6500001</v>
      </c>
    </row>
    <row r="8" spans="1:16" hidden="1" x14ac:dyDescent="0.4">
      <c r="A8" s="434">
        <v>1</v>
      </c>
      <c r="B8" s="434" t="s">
        <v>1435</v>
      </c>
      <c r="C8" s="434" t="s">
        <v>1436</v>
      </c>
      <c r="D8" s="434" t="s">
        <v>87</v>
      </c>
      <c r="E8" s="434" t="s">
        <v>1334</v>
      </c>
      <c r="F8" s="434" t="s">
        <v>485</v>
      </c>
      <c r="G8" s="593">
        <v>327300</v>
      </c>
      <c r="H8" s="434" t="s">
        <v>1438</v>
      </c>
      <c r="I8" s="434" t="s">
        <v>1438</v>
      </c>
      <c r="J8" s="1444">
        <v>327300</v>
      </c>
      <c r="K8" s="1444">
        <v>327400</v>
      </c>
      <c r="L8" s="1444">
        <f t="shared" si="0"/>
        <v>100</v>
      </c>
    </row>
    <row r="9" spans="1:16" hidden="1" x14ac:dyDescent="0.4">
      <c r="A9" s="434">
        <v>1</v>
      </c>
      <c r="B9" s="434" t="s">
        <v>1435</v>
      </c>
      <c r="C9" s="434" t="s">
        <v>1436</v>
      </c>
      <c r="D9" s="434" t="s">
        <v>90</v>
      </c>
      <c r="E9" s="434" t="s">
        <v>1357</v>
      </c>
      <c r="F9" s="434" t="s">
        <v>486</v>
      </c>
      <c r="G9" s="593">
        <v>8378500</v>
      </c>
      <c r="H9" s="434" t="s">
        <v>1438</v>
      </c>
      <c r="I9" s="434" t="s">
        <v>1438</v>
      </c>
      <c r="J9" s="1444">
        <v>8378500</v>
      </c>
      <c r="K9" s="1444">
        <v>10678000</v>
      </c>
      <c r="L9" s="1444">
        <f t="shared" si="0"/>
        <v>2299500</v>
      </c>
    </row>
    <row r="10" spans="1:16" hidden="1" x14ac:dyDescent="0.4">
      <c r="A10" s="434">
        <v>1</v>
      </c>
      <c r="B10" s="434" t="s">
        <v>1435</v>
      </c>
      <c r="C10" s="434" t="s">
        <v>1436</v>
      </c>
      <c r="D10" s="434" t="s">
        <v>92</v>
      </c>
      <c r="E10" s="434" t="s">
        <v>1358</v>
      </c>
      <c r="F10" s="434" t="s">
        <v>487</v>
      </c>
      <c r="G10" s="593">
        <v>452900</v>
      </c>
      <c r="H10" s="434" t="s">
        <v>1438</v>
      </c>
      <c r="I10" s="434" t="s">
        <v>1438</v>
      </c>
      <c r="J10" s="1444">
        <v>452900</v>
      </c>
      <c r="K10" s="1444">
        <v>577200</v>
      </c>
      <c r="L10" s="1444">
        <f t="shared" si="0"/>
        <v>124300</v>
      </c>
    </row>
    <row r="11" spans="1:16" hidden="1" x14ac:dyDescent="0.4">
      <c r="A11" s="434">
        <v>1</v>
      </c>
      <c r="B11" s="434" t="s">
        <v>1435</v>
      </c>
      <c r="C11" s="434" t="s">
        <v>1436</v>
      </c>
      <c r="D11" s="434" t="s">
        <v>93</v>
      </c>
      <c r="E11" s="434" t="s">
        <v>1359</v>
      </c>
      <c r="F11" s="434" t="s">
        <v>488</v>
      </c>
      <c r="G11" s="593">
        <v>1358700</v>
      </c>
      <c r="H11" s="434" t="s">
        <v>1438</v>
      </c>
      <c r="I11" s="434" t="s">
        <v>1438</v>
      </c>
      <c r="J11" s="1444">
        <v>1358700</v>
      </c>
      <c r="K11" s="1444">
        <v>1731600</v>
      </c>
      <c r="L11" s="1444">
        <f t="shared" si="0"/>
        <v>372900</v>
      </c>
    </row>
    <row r="12" spans="1:16" hidden="1" x14ac:dyDescent="0.4">
      <c r="A12" s="434">
        <v>1</v>
      </c>
      <c r="B12" s="434" t="s">
        <v>1435</v>
      </c>
      <c r="C12" s="434" t="s">
        <v>1436</v>
      </c>
      <c r="D12" s="434" t="s">
        <v>94</v>
      </c>
      <c r="E12" s="434" t="s">
        <v>1360</v>
      </c>
      <c r="F12" s="434" t="s">
        <v>489</v>
      </c>
      <c r="G12" s="593">
        <v>4528900</v>
      </c>
      <c r="H12" s="434" t="s">
        <v>1438</v>
      </c>
      <c r="I12" s="434" t="s">
        <v>1438</v>
      </c>
      <c r="J12" s="1444">
        <v>4528900</v>
      </c>
      <c r="K12" s="1444">
        <v>5772000</v>
      </c>
      <c r="L12" s="1444">
        <f t="shared" si="0"/>
        <v>1243100</v>
      </c>
    </row>
    <row r="13" spans="1:16" hidden="1" x14ac:dyDescent="0.4">
      <c r="A13" s="434">
        <v>1</v>
      </c>
      <c r="B13" s="434" t="s">
        <v>1435</v>
      </c>
      <c r="C13" s="434" t="s">
        <v>1436</v>
      </c>
      <c r="D13" s="434" t="s">
        <v>96</v>
      </c>
      <c r="E13" s="434" t="s">
        <v>1361</v>
      </c>
      <c r="F13" s="434" t="s">
        <v>490</v>
      </c>
      <c r="G13" s="593">
        <v>452900</v>
      </c>
      <c r="H13" s="434" t="s">
        <v>1438</v>
      </c>
      <c r="I13" s="434" t="s">
        <v>1438</v>
      </c>
      <c r="J13" s="1444">
        <v>452900</v>
      </c>
      <c r="K13" s="1444">
        <v>577200</v>
      </c>
      <c r="L13" s="1444">
        <f t="shared" si="0"/>
        <v>124300</v>
      </c>
    </row>
    <row r="14" spans="1:16" hidden="1" x14ac:dyDescent="0.4">
      <c r="A14" s="434">
        <v>1</v>
      </c>
      <c r="B14" s="434" t="s">
        <v>1435</v>
      </c>
      <c r="C14" s="434" t="s">
        <v>1436</v>
      </c>
      <c r="D14" s="434" t="s">
        <v>510</v>
      </c>
      <c r="E14" s="434" t="s">
        <v>1362</v>
      </c>
      <c r="F14" s="434" t="s">
        <v>491</v>
      </c>
      <c r="G14" s="593">
        <v>4909300</v>
      </c>
      <c r="H14" s="434" t="s">
        <v>1438</v>
      </c>
      <c r="I14" s="434" t="s">
        <v>1438</v>
      </c>
      <c r="J14" s="1444">
        <v>4909300</v>
      </c>
      <c r="K14" s="1444">
        <v>6256800</v>
      </c>
      <c r="L14" s="1444">
        <f t="shared" si="0"/>
        <v>1347500</v>
      </c>
    </row>
    <row r="15" spans="1:16" hidden="1" x14ac:dyDescent="0.4">
      <c r="A15" s="434">
        <v>1</v>
      </c>
      <c r="B15" s="434" t="s">
        <v>1435</v>
      </c>
      <c r="C15" s="434" t="s">
        <v>1436</v>
      </c>
      <c r="D15" s="434" t="s">
        <v>100</v>
      </c>
      <c r="E15" s="434" t="s">
        <v>1363</v>
      </c>
      <c r="F15" s="434" t="s">
        <v>491</v>
      </c>
      <c r="G15" s="593">
        <v>2717400</v>
      </c>
      <c r="H15" s="434" t="s">
        <v>1438</v>
      </c>
      <c r="I15" s="434" t="s">
        <v>1438</v>
      </c>
      <c r="J15" s="1444">
        <v>2717400</v>
      </c>
      <c r="K15" s="1444">
        <v>3463200</v>
      </c>
      <c r="L15" s="1444">
        <f t="shared" si="0"/>
        <v>745800</v>
      </c>
    </row>
    <row r="16" spans="1:16" hidden="1" x14ac:dyDescent="0.4">
      <c r="A16" s="434">
        <v>1</v>
      </c>
      <c r="B16" s="434" t="s">
        <v>1435</v>
      </c>
      <c r="C16" s="434" t="s">
        <v>1436</v>
      </c>
      <c r="D16" s="434" t="s">
        <v>101</v>
      </c>
      <c r="E16" s="434" t="s">
        <v>1364</v>
      </c>
      <c r="F16" s="434" t="s">
        <v>1135</v>
      </c>
      <c r="G16" s="593">
        <v>1358700</v>
      </c>
      <c r="H16" s="434" t="s">
        <v>1438</v>
      </c>
      <c r="I16" s="434" t="s">
        <v>1438</v>
      </c>
      <c r="J16" s="1444">
        <v>1358700</v>
      </c>
      <c r="K16" s="1444">
        <v>1731600</v>
      </c>
      <c r="L16" s="1444">
        <f t="shared" si="0"/>
        <v>372900</v>
      </c>
    </row>
    <row r="17" spans="1:12" s="1437" customFormat="1" hidden="1" x14ac:dyDescent="0.4">
      <c r="A17" s="434">
        <v>1</v>
      </c>
      <c r="B17" s="1437" t="s">
        <v>1435</v>
      </c>
      <c r="C17" s="1437" t="s">
        <v>1436</v>
      </c>
      <c r="D17" s="434" t="s">
        <v>72</v>
      </c>
      <c r="E17" s="1437" t="s">
        <v>1348</v>
      </c>
      <c r="F17" s="1437" t="s">
        <v>1745</v>
      </c>
      <c r="G17" s="1438">
        <v>24860900</v>
      </c>
      <c r="H17" s="1437" t="s">
        <v>534</v>
      </c>
      <c r="I17" s="1437" t="s">
        <v>534</v>
      </c>
      <c r="J17" s="1445"/>
      <c r="K17" s="1445"/>
      <c r="L17" s="1445"/>
    </row>
    <row r="18" spans="1:12" s="1437" customFormat="1" hidden="1" x14ac:dyDescent="0.4">
      <c r="A18" s="434">
        <v>1</v>
      </c>
      <c r="B18" s="1437" t="s">
        <v>1435</v>
      </c>
      <c r="C18" s="1437" t="s">
        <v>1436</v>
      </c>
      <c r="D18" s="434" t="s">
        <v>76</v>
      </c>
      <c r="E18" s="1437" t="s">
        <v>1352</v>
      </c>
      <c r="F18" s="1437" t="s">
        <v>1745</v>
      </c>
      <c r="G18" s="1438">
        <v>0</v>
      </c>
      <c r="H18" s="1437" t="s">
        <v>534</v>
      </c>
      <c r="I18" s="1437" t="s">
        <v>534</v>
      </c>
      <c r="J18" s="1445"/>
      <c r="K18" s="1445"/>
      <c r="L18" s="1445"/>
    </row>
    <row r="19" spans="1:12" s="1437" customFormat="1" hidden="1" x14ac:dyDescent="0.4">
      <c r="A19" s="434">
        <v>1</v>
      </c>
      <c r="B19" s="1437" t="s">
        <v>1435</v>
      </c>
      <c r="C19" s="1437" t="s">
        <v>1436</v>
      </c>
      <c r="D19" s="434" t="s">
        <v>80</v>
      </c>
      <c r="E19" s="1437" t="s">
        <v>1332</v>
      </c>
      <c r="F19" s="1437" t="s">
        <v>1745</v>
      </c>
      <c r="G19" s="1438">
        <v>0</v>
      </c>
      <c r="H19" s="1437" t="s">
        <v>534</v>
      </c>
      <c r="I19" s="1437" t="s">
        <v>534</v>
      </c>
      <c r="J19" s="1445"/>
      <c r="K19" s="1445"/>
      <c r="L19" s="1445"/>
    </row>
    <row r="20" spans="1:12" s="1437" customFormat="1" hidden="1" x14ac:dyDescent="0.4">
      <c r="A20" s="434">
        <v>1</v>
      </c>
      <c r="B20" s="1437" t="s">
        <v>1435</v>
      </c>
      <c r="C20" s="1437" t="s">
        <v>1436</v>
      </c>
      <c r="D20" s="434" t="s">
        <v>82</v>
      </c>
      <c r="E20" s="1437" t="s">
        <v>1333</v>
      </c>
      <c r="F20" s="1437" t="s">
        <v>1745</v>
      </c>
      <c r="G20" s="1438">
        <v>0</v>
      </c>
      <c r="H20" s="1437" t="s">
        <v>534</v>
      </c>
      <c r="I20" s="1437" t="s">
        <v>534</v>
      </c>
      <c r="J20" s="1445"/>
      <c r="K20" s="1445"/>
      <c r="L20" s="1445"/>
    </row>
    <row r="21" spans="1:12" s="1437" customFormat="1" hidden="1" x14ac:dyDescent="0.4">
      <c r="A21" s="434">
        <v>1</v>
      </c>
      <c r="B21" s="1437" t="s">
        <v>1435</v>
      </c>
      <c r="C21" s="1437" t="s">
        <v>1436</v>
      </c>
      <c r="D21" s="434" t="s">
        <v>84</v>
      </c>
      <c r="E21" s="1437" t="s">
        <v>1355</v>
      </c>
      <c r="F21" s="1437" t="s">
        <v>1745</v>
      </c>
      <c r="G21" s="1438">
        <v>2071700</v>
      </c>
      <c r="H21" s="1437" t="s">
        <v>534</v>
      </c>
      <c r="I21" s="1437" t="s">
        <v>534</v>
      </c>
      <c r="J21" s="1445"/>
      <c r="K21" s="1445"/>
      <c r="L21" s="1445"/>
    </row>
    <row r="22" spans="1:12" s="1437" customFormat="1" hidden="1" x14ac:dyDescent="0.4">
      <c r="A22" s="434">
        <v>1</v>
      </c>
      <c r="B22" s="1437" t="s">
        <v>1435</v>
      </c>
      <c r="C22" s="1437" t="s">
        <v>1436</v>
      </c>
      <c r="D22" s="434" t="s">
        <v>86</v>
      </c>
      <c r="E22" s="1437" t="s">
        <v>1356</v>
      </c>
      <c r="F22" s="1437" t="s">
        <v>1745</v>
      </c>
      <c r="G22" s="1438">
        <v>0</v>
      </c>
      <c r="H22" s="1437" t="s">
        <v>534</v>
      </c>
      <c r="I22" s="1437" t="s">
        <v>534</v>
      </c>
      <c r="J22" s="1445"/>
      <c r="K22" s="1445"/>
      <c r="L22" s="1445"/>
    </row>
    <row r="23" spans="1:12" s="1437" customFormat="1" hidden="1" x14ac:dyDescent="0.4">
      <c r="A23" s="434">
        <v>1</v>
      </c>
      <c r="B23" s="1437" t="s">
        <v>1435</v>
      </c>
      <c r="C23" s="1437" t="s">
        <v>1436</v>
      </c>
      <c r="D23" s="434" t="s">
        <v>87</v>
      </c>
      <c r="E23" s="1437" t="s">
        <v>1334</v>
      </c>
      <c r="F23" s="1437" t="s">
        <v>1745</v>
      </c>
      <c r="G23" s="1438">
        <v>100</v>
      </c>
      <c r="H23" s="1437" t="s">
        <v>534</v>
      </c>
      <c r="I23" s="1437" t="s">
        <v>534</v>
      </c>
      <c r="J23" s="1445"/>
      <c r="K23" s="1445"/>
      <c r="L23" s="1445"/>
    </row>
    <row r="24" spans="1:12" s="1437" customFormat="1" hidden="1" x14ac:dyDescent="0.4">
      <c r="A24" s="434">
        <v>1</v>
      </c>
      <c r="B24" s="1437" t="s">
        <v>1435</v>
      </c>
      <c r="C24" s="1437" t="s">
        <v>1436</v>
      </c>
      <c r="D24" s="434" t="s">
        <v>90</v>
      </c>
      <c r="E24" s="1437" t="s">
        <v>1357</v>
      </c>
      <c r="F24" s="1437" t="s">
        <v>1745</v>
      </c>
      <c r="G24" s="1438">
        <v>2299500</v>
      </c>
      <c r="H24" s="1437" t="s">
        <v>534</v>
      </c>
      <c r="I24" s="1437" t="s">
        <v>534</v>
      </c>
      <c r="J24" s="1445"/>
      <c r="K24" s="1445"/>
      <c r="L24" s="1445"/>
    </row>
    <row r="25" spans="1:12" s="1437" customFormat="1" hidden="1" x14ac:dyDescent="0.4">
      <c r="A25" s="434">
        <v>1</v>
      </c>
      <c r="B25" s="1437" t="s">
        <v>1435</v>
      </c>
      <c r="C25" s="1437" t="s">
        <v>1436</v>
      </c>
      <c r="D25" s="434" t="s">
        <v>92</v>
      </c>
      <c r="E25" s="1437" t="s">
        <v>1358</v>
      </c>
      <c r="F25" s="1437" t="s">
        <v>1745</v>
      </c>
      <c r="G25" s="1438">
        <v>124300</v>
      </c>
      <c r="H25" s="1437" t="s">
        <v>534</v>
      </c>
      <c r="I25" s="1437" t="s">
        <v>534</v>
      </c>
      <c r="J25" s="1445"/>
      <c r="K25" s="1445"/>
      <c r="L25" s="1445"/>
    </row>
    <row r="26" spans="1:12" s="1437" customFormat="1" hidden="1" x14ac:dyDescent="0.4">
      <c r="A26" s="434">
        <v>1</v>
      </c>
      <c r="B26" s="1437" t="s">
        <v>1435</v>
      </c>
      <c r="C26" s="1437" t="s">
        <v>1436</v>
      </c>
      <c r="D26" s="434" t="s">
        <v>93</v>
      </c>
      <c r="E26" s="1437" t="s">
        <v>1359</v>
      </c>
      <c r="F26" s="1437" t="s">
        <v>1745</v>
      </c>
      <c r="G26" s="1438">
        <v>372900</v>
      </c>
      <c r="H26" s="1437" t="s">
        <v>534</v>
      </c>
      <c r="I26" s="1437" t="s">
        <v>534</v>
      </c>
      <c r="J26" s="1445"/>
      <c r="K26" s="1445"/>
      <c r="L26" s="1445"/>
    </row>
    <row r="27" spans="1:12" s="1437" customFormat="1" hidden="1" x14ac:dyDescent="0.4">
      <c r="A27" s="434">
        <v>1</v>
      </c>
      <c r="B27" s="1437" t="s">
        <v>1435</v>
      </c>
      <c r="C27" s="1437" t="s">
        <v>1436</v>
      </c>
      <c r="D27" s="434" t="s">
        <v>94</v>
      </c>
      <c r="E27" s="1437" t="s">
        <v>1360</v>
      </c>
      <c r="F27" s="1437" t="s">
        <v>1745</v>
      </c>
      <c r="G27" s="1438">
        <v>1243100</v>
      </c>
      <c r="H27" s="1437" t="s">
        <v>534</v>
      </c>
      <c r="I27" s="1437" t="s">
        <v>534</v>
      </c>
      <c r="J27" s="1445"/>
      <c r="K27" s="1445"/>
      <c r="L27" s="1445"/>
    </row>
    <row r="28" spans="1:12" s="1437" customFormat="1" hidden="1" x14ac:dyDescent="0.4">
      <c r="A28" s="434">
        <v>1</v>
      </c>
      <c r="B28" s="1437" t="s">
        <v>1435</v>
      </c>
      <c r="C28" s="1437" t="s">
        <v>1436</v>
      </c>
      <c r="D28" s="434" t="s">
        <v>96</v>
      </c>
      <c r="E28" s="1437" t="s">
        <v>1361</v>
      </c>
      <c r="F28" s="1437" t="s">
        <v>1745</v>
      </c>
      <c r="G28" s="1438">
        <v>124300</v>
      </c>
      <c r="H28" s="1437" t="s">
        <v>534</v>
      </c>
      <c r="I28" s="1437" t="s">
        <v>534</v>
      </c>
      <c r="J28" s="1445"/>
      <c r="K28" s="1445"/>
      <c r="L28" s="1445"/>
    </row>
    <row r="29" spans="1:12" s="1437" customFormat="1" hidden="1" x14ac:dyDescent="0.4">
      <c r="A29" s="434">
        <v>1</v>
      </c>
      <c r="B29" s="1437" t="s">
        <v>1435</v>
      </c>
      <c r="C29" s="1437" t="s">
        <v>1436</v>
      </c>
      <c r="D29" s="434" t="s">
        <v>510</v>
      </c>
      <c r="E29" s="1437" t="s">
        <v>1362</v>
      </c>
      <c r="F29" s="1437" t="s">
        <v>1745</v>
      </c>
      <c r="G29" s="1438">
        <v>1347500</v>
      </c>
      <c r="H29" s="1437" t="s">
        <v>534</v>
      </c>
      <c r="I29" s="1437" t="s">
        <v>534</v>
      </c>
      <c r="J29" s="1445"/>
      <c r="K29" s="1445"/>
      <c r="L29" s="1445"/>
    </row>
    <row r="30" spans="1:12" s="1437" customFormat="1" hidden="1" x14ac:dyDescent="0.4">
      <c r="A30" s="434">
        <v>1</v>
      </c>
      <c r="B30" s="1437" t="s">
        <v>1435</v>
      </c>
      <c r="C30" s="1437" t="s">
        <v>1436</v>
      </c>
      <c r="D30" s="434" t="s">
        <v>100</v>
      </c>
      <c r="E30" s="1437" t="s">
        <v>1363</v>
      </c>
      <c r="F30" s="1437" t="s">
        <v>1745</v>
      </c>
      <c r="G30" s="1438">
        <v>745800</v>
      </c>
      <c r="H30" s="1437" t="s">
        <v>534</v>
      </c>
      <c r="I30" s="1437" t="s">
        <v>534</v>
      </c>
      <c r="J30" s="1445"/>
      <c r="K30" s="1445"/>
      <c r="L30" s="1445"/>
    </row>
    <row r="31" spans="1:12" s="1437" customFormat="1" hidden="1" x14ac:dyDescent="0.4">
      <c r="A31" s="434">
        <v>1</v>
      </c>
      <c r="B31" s="1437" t="s">
        <v>1435</v>
      </c>
      <c r="C31" s="1437" t="s">
        <v>1436</v>
      </c>
      <c r="D31" s="434" t="s">
        <v>101</v>
      </c>
      <c r="E31" s="1437" t="s">
        <v>1364</v>
      </c>
      <c r="F31" s="1437" t="s">
        <v>1745</v>
      </c>
      <c r="G31" s="1438">
        <v>372900</v>
      </c>
      <c r="H31" s="1437" t="s">
        <v>534</v>
      </c>
      <c r="I31" s="1437" t="s">
        <v>534</v>
      </c>
      <c r="J31" s="1445"/>
      <c r="K31" s="1445"/>
      <c r="L31" s="1445"/>
    </row>
    <row r="32" spans="1:12" s="1448" customFormat="1" hidden="1" x14ac:dyDescent="0.4">
      <c r="A32" s="434">
        <v>1</v>
      </c>
      <c r="B32" s="1448" t="s">
        <v>1435</v>
      </c>
      <c r="C32" s="1448" t="s">
        <v>1436</v>
      </c>
      <c r="D32" s="434" t="s">
        <v>72</v>
      </c>
      <c r="F32" s="1448" t="s">
        <v>1749</v>
      </c>
      <c r="G32" s="1449">
        <v>100</v>
      </c>
      <c r="H32" s="1448" t="s">
        <v>534</v>
      </c>
      <c r="I32" s="1448" t="s">
        <v>534</v>
      </c>
      <c r="J32" s="1450"/>
      <c r="K32" s="1450"/>
      <c r="L32" s="1450"/>
    </row>
    <row r="33" spans="1:12" s="1448" customFormat="1" hidden="1" x14ac:dyDescent="0.4">
      <c r="A33" s="434">
        <v>1</v>
      </c>
      <c r="B33" s="1448" t="s">
        <v>1435</v>
      </c>
      <c r="C33" s="1448" t="s">
        <v>1436</v>
      </c>
      <c r="D33" s="434" t="s">
        <v>76</v>
      </c>
      <c r="F33" s="1448" t="s">
        <v>1749</v>
      </c>
      <c r="G33" s="1449">
        <v>0</v>
      </c>
      <c r="H33" s="1448" t="s">
        <v>534</v>
      </c>
      <c r="I33" s="1448" t="s">
        <v>534</v>
      </c>
      <c r="J33" s="1450"/>
      <c r="K33" s="1450"/>
      <c r="L33" s="1450"/>
    </row>
    <row r="34" spans="1:12" s="1448" customFormat="1" hidden="1" x14ac:dyDescent="0.4">
      <c r="A34" s="434">
        <v>1</v>
      </c>
      <c r="B34" s="1448" t="s">
        <v>1435</v>
      </c>
      <c r="C34" s="1448" t="s">
        <v>1436</v>
      </c>
      <c r="D34" s="434" t="s">
        <v>80</v>
      </c>
      <c r="F34" s="1448" t="s">
        <v>1749</v>
      </c>
      <c r="G34" s="1449">
        <v>0</v>
      </c>
      <c r="H34" s="1448" t="s">
        <v>534</v>
      </c>
      <c r="I34" s="1448" t="s">
        <v>534</v>
      </c>
      <c r="J34" s="1450"/>
      <c r="K34" s="1450"/>
      <c r="L34" s="1450"/>
    </row>
    <row r="35" spans="1:12" s="1448" customFormat="1" hidden="1" x14ac:dyDescent="0.4">
      <c r="A35" s="434">
        <v>1</v>
      </c>
      <c r="B35" s="1448" t="s">
        <v>1435</v>
      </c>
      <c r="C35" s="1448" t="s">
        <v>1436</v>
      </c>
      <c r="D35" s="434" t="s">
        <v>82</v>
      </c>
      <c r="F35" s="1448" t="s">
        <v>1749</v>
      </c>
      <c r="G35" s="1449">
        <v>200</v>
      </c>
      <c r="H35" s="1448" t="s">
        <v>534</v>
      </c>
      <c r="I35" s="1448" t="s">
        <v>534</v>
      </c>
      <c r="J35" s="1450"/>
      <c r="K35" s="1450"/>
      <c r="L35" s="1450"/>
    </row>
    <row r="36" spans="1:12" s="1448" customFormat="1" hidden="1" x14ac:dyDescent="0.4">
      <c r="A36" s="434">
        <v>1</v>
      </c>
      <c r="B36" s="1448" t="s">
        <v>1435</v>
      </c>
      <c r="C36" s="1448" t="s">
        <v>1436</v>
      </c>
      <c r="D36" s="434" t="s">
        <v>84</v>
      </c>
      <c r="F36" s="1448" t="s">
        <v>1749</v>
      </c>
      <c r="G36" s="1449">
        <v>200</v>
      </c>
      <c r="H36" s="1448" t="s">
        <v>534</v>
      </c>
      <c r="I36" s="1448" t="s">
        <v>534</v>
      </c>
      <c r="J36" s="1450"/>
      <c r="K36" s="1450"/>
      <c r="L36" s="1450"/>
    </row>
    <row r="37" spans="1:12" s="1448" customFormat="1" hidden="1" x14ac:dyDescent="0.4">
      <c r="A37" s="434">
        <v>1</v>
      </c>
      <c r="B37" s="1448" t="s">
        <v>1435</v>
      </c>
      <c r="C37" s="1448" t="s">
        <v>1436</v>
      </c>
      <c r="D37" s="434" t="s">
        <v>86</v>
      </c>
      <c r="F37" s="1448" t="s">
        <v>1749</v>
      </c>
      <c r="G37" s="1449">
        <v>100</v>
      </c>
      <c r="H37" s="1448" t="s">
        <v>534</v>
      </c>
      <c r="I37" s="1448" t="s">
        <v>534</v>
      </c>
      <c r="J37" s="1450"/>
      <c r="K37" s="1450"/>
      <c r="L37" s="1450"/>
    </row>
    <row r="38" spans="1:12" s="1448" customFormat="1" hidden="1" x14ac:dyDescent="0.4">
      <c r="A38" s="434">
        <v>1</v>
      </c>
      <c r="B38" s="1448" t="s">
        <v>1435</v>
      </c>
      <c r="C38" s="1448" t="s">
        <v>1436</v>
      </c>
      <c r="D38" s="434" t="s">
        <v>87</v>
      </c>
      <c r="F38" s="1448" t="s">
        <v>1749</v>
      </c>
      <c r="G38" s="1449">
        <v>100</v>
      </c>
      <c r="H38" s="1448" t="s">
        <v>534</v>
      </c>
      <c r="I38" s="1448" t="s">
        <v>534</v>
      </c>
      <c r="J38" s="1450"/>
      <c r="K38" s="1450"/>
      <c r="L38" s="1450"/>
    </row>
    <row r="39" spans="1:12" s="1448" customFormat="1" hidden="1" x14ac:dyDescent="0.4">
      <c r="A39" s="434">
        <v>1</v>
      </c>
      <c r="B39" s="1448" t="s">
        <v>1435</v>
      </c>
      <c r="C39" s="1448" t="s">
        <v>1436</v>
      </c>
      <c r="D39" s="434" t="s">
        <v>90</v>
      </c>
      <c r="F39" s="1448" t="s">
        <v>1749</v>
      </c>
      <c r="G39" s="1449">
        <v>0</v>
      </c>
      <c r="H39" s="1448" t="s">
        <v>534</v>
      </c>
      <c r="I39" s="1448" t="s">
        <v>534</v>
      </c>
      <c r="J39" s="1450"/>
      <c r="K39" s="1450"/>
      <c r="L39" s="1450"/>
    </row>
    <row r="40" spans="1:12" s="1448" customFormat="1" hidden="1" x14ac:dyDescent="0.4">
      <c r="A40" s="434">
        <v>1</v>
      </c>
      <c r="B40" s="1448" t="s">
        <v>1435</v>
      </c>
      <c r="C40" s="1448" t="s">
        <v>1436</v>
      </c>
      <c r="D40" s="434" t="s">
        <v>92</v>
      </c>
      <c r="F40" s="1448" t="s">
        <v>1749</v>
      </c>
      <c r="G40" s="1449">
        <v>-200</v>
      </c>
      <c r="H40" s="1448" t="s">
        <v>534</v>
      </c>
      <c r="I40" s="1448" t="s">
        <v>534</v>
      </c>
      <c r="J40" s="1450"/>
      <c r="K40" s="1450"/>
      <c r="L40" s="1450"/>
    </row>
    <row r="41" spans="1:12" s="1448" customFormat="1" hidden="1" x14ac:dyDescent="0.4">
      <c r="A41" s="434">
        <v>1</v>
      </c>
      <c r="B41" s="1448" t="s">
        <v>1435</v>
      </c>
      <c r="C41" s="1448" t="s">
        <v>1436</v>
      </c>
      <c r="D41" s="434" t="s">
        <v>93</v>
      </c>
      <c r="F41" s="1448" t="s">
        <v>1749</v>
      </c>
      <c r="G41" s="1449">
        <v>-100</v>
      </c>
      <c r="H41" s="1448" t="s">
        <v>534</v>
      </c>
      <c r="I41" s="1448" t="s">
        <v>534</v>
      </c>
      <c r="J41" s="1450"/>
      <c r="K41" s="1450"/>
      <c r="L41" s="1450"/>
    </row>
    <row r="42" spans="1:12" s="1448" customFormat="1" hidden="1" x14ac:dyDescent="0.4">
      <c r="A42" s="434">
        <v>1</v>
      </c>
      <c r="B42" s="1448" t="s">
        <v>1435</v>
      </c>
      <c r="C42" s="1448" t="s">
        <v>1436</v>
      </c>
      <c r="D42" s="434" t="s">
        <v>94</v>
      </c>
      <c r="F42" s="1448" t="s">
        <v>1749</v>
      </c>
      <c r="G42" s="1449">
        <v>0</v>
      </c>
      <c r="H42" s="1448" t="s">
        <v>534</v>
      </c>
      <c r="I42" s="1448" t="s">
        <v>534</v>
      </c>
      <c r="J42" s="1450"/>
      <c r="K42" s="1450"/>
      <c r="L42" s="1450"/>
    </row>
    <row r="43" spans="1:12" s="1448" customFormat="1" hidden="1" x14ac:dyDescent="0.4">
      <c r="A43" s="434">
        <v>1</v>
      </c>
      <c r="B43" s="1448" t="s">
        <v>1435</v>
      </c>
      <c r="C43" s="1448" t="s">
        <v>1436</v>
      </c>
      <c r="D43" s="434" t="s">
        <v>96</v>
      </c>
      <c r="F43" s="1448" t="s">
        <v>1749</v>
      </c>
      <c r="G43" s="1449">
        <v>-200</v>
      </c>
      <c r="H43" s="1448" t="s">
        <v>534</v>
      </c>
      <c r="I43" s="1448" t="s">
        <v>534</v>
      </c>
      <c r="J43" s="1450"/>
      <c r="K43" s="1450"/>
      <c r="L43" s="1450"/>
    </row>
    <row r="44" spans="1:12" s="1448" customFormat="1" hidden="1" x14ac:dyDescent="0.4">
      <c r="A44" s="434">
        <v>1</v>
      </c>
      <c r="B44" s="1448" t="s">
        <v>1435</v>
      </c>
      <c r="C44" s="1448" t="s">
        <v>1436</v>
      </c>
      <c r="D44" s="434" t="s">
        <v>510</v>
      </c>
      <c r="F44" s="1448" t="s">
        <v>1749</v>
      </c>
      <c r="G44" s="1449">
        <v>200</v>
      </c>
      <c r="H44" s="1448" t="s">
        <v>534</v>
      </c>
      <c r="I44" s="1448" t="s">
        <v>534</v>
      </c>
      <c r="J44" s="1450"/>
      <c r="K44" s="1450"/>
      <c r="L44" s="1450"/>
    </row>
    <row r="45" spans="1:12" s="1448" customFormat="1" hidden="1" x14ac:dyDescent="0.4">
      <c r="A45" s="434">
        <v>1</v>
      </c>
      <c r="B45" s="1448" t="s">
        <v>1435</v>
      </c>
      <c r="C45" s="1448" t="s">
        <v>1436</v>
      </c>
      <c r="D45" s="434" t="s">
        <v>100</v>
      </c>
      <c r="F45" s="1448" t="s">
        <v>1749</v>
      </c>
      <c r="G45" s="1449">
        <v>300</v>
      </c>
      <c r="H45" s="1448" t="s">
        <v>534</v>
      </c>
      <c r="I45" s="1448" t="s">
        <v>534</v>
      </c>
      <c r="J45" s="1450"/>
      <c r="K45" s="1450"/>
      <c r="L45" s="1450"/>
    </row>
    <row r="46" spans="1:12" s="1448" customFormat="1" hidden="1" x14ac:dyDescent="0.4">
      <c r="A46" s="434">
        <v>1</v>
      </c>
      <c r="B46" s="1448" t="s">
        <v>1435</v>
      </c>
      <c r="C46" s="1448" t="s">
        <v>1436</v>
      </c>
      <c r="D46" s="434" t="s">
        <v>101</v>
      </c>
      <c r="F46" s="1448" t="s">
        <v>1749</v>
      </c>
      <c r="G46" s="1449">
        <v>-100</v>
      </c>
      <c r="H46" s="1448" t="s">
        <v>534</v>
      </c>
      <c r="I46" s="1448" t="s">
        <v>534</v>
      </c>
      <c r="J46" s="1450"/>
      <c r="K46" s="1450"/>
      <c r="L46" s="1450"/>
    </row>
    <row r="47" spans="1:12" hidden="1" x14ac:dyDescent="0.4">
      <c r="A47" s="434">
        <v>1</v>
      </c>
      <c r="B47" s="434" t="s">
        <v>1435</v>
      </c>
      <c r="C47" s="434" t="s">
        <v>1439</v>
      </c>
      <c r="D47" s="434" t="s">
        <v>106</v>
      </c>
      <c r="E47" s="434" t="s">
        <v>1366</v>
      </c>
      <c r="F47" s="434" t="s">
        <v>1440</v>
      </c>
      <c r="G47" s="593">
        <v>10969800</v>
      </c>
      <c r="H47" s="434" t="s">
        <v>1441</v>
      </c>
      <c r="I47" s="434" t="s">
        <v>1438</v>
      </c>
    </row>
    <row r="48" spans="1:12" hidden="1" x14ac:dyDescent="0.4">
      <c r="A48" s="434">
        <v>1</v>
      </c>
      <c r="B48" s="434" t="s">
        <v>1435</v>
      </c>
      <c r="C48" s="434" t="s">
        <v>1439</v>
      </c>
      <c r="D48" s="434" t="s">
        <v>116</v>
      </c>
      <c r="E48" s="434" t="s">
        <v>1370</v>
      </c>
      <c r="F48" s="434" t="s">
        <v>1442</v>
      </c>
      <c r="G48" s="593">
        <v>444700</v>
      </c>
      <c r="H48" s="434" t="s">
        <v>1441</v>
      </c>
      <c r="I48" s="434" t="s">
        <v>1438</v>
      </c>
    </row>
    <row r="49" spans="1:9" hidden="1" x14ac:dyDescent="0.4">
      <c r="A49" s="434">
        <v>1</v>
      </c>
      <c r="B49" s="434" t="s">
        <v>1435</v>
      </c>
      <c r="C49" s="434" t="s">
        <v>1439</v>
      </c>
      <c r="D49" s="434" t="s">
        <v>118</v>
      </c>
      <c r="E49" s="434" t="s">
        <v>1371</v>
      </c>
      <c r="F49" s="434" t="s">
        <v>1443</v>
      </c>
      <c r="G49" s="593">
        <v>1572900</v>
      </c>
      <c r="H49" s="434" t="s">
        <v>1441</v>
      </c>
      <c r="I49" s="434" t="s">
        <v>1438</v>
      </c>
    </row>
    <row r="50" spans="1:9" x14ac:dyDescent="0.4">
      <c r="A50" s="434">
        <v>1</v>
      </c>
      <c r="B50" s="434" t="s">
        <v>1435</v>
      </c>
      <c r="C50" s="434" t="s">
        <v>1439</v>
      </c>
      <c r="D50" s="434" t="s">
        <v>326</v>
      </c>
      <c r="E50" s="434" t="s">
        <v>1373</v>
      </c>
      <c r="F50" s="434" t="s">
        <v>1444</v>
      </c>
      <c r="G50" s="593">
        <v>680600</v>
      </c>
      <c r="H50" s="434" t="s">
        <v>534</v>
      </c>
      <c r="I50" s="434" t="s">
        <v>534</v>
      </c>
    </row>
    <row r="51" spans="1:9" hidden="1" x14ac:dyDescent="0.4">
      <c r="A51" s="434">
        <v>1</v>
      </c>
      <c r="B51" s="434" t="s">
        <v>1435</v>
      </c>
      <c r="C51" s="434" t="s">
        <v>1439</v>
      </c>
      <c r="D51" s="434" t="s">
        <v>131</v>
      </c>
      <c r="E51" s="434" t="s">
        <v>1377</v>
      </c>
      <c r="F51" s="434" t="s">
        <v>1445</v>
      </c>
      <c r="G51" s="593">
        <v>750000</v>
      </c>
      <c r="H51" s="434" t="s">
        <v>534</v>
      </c>
      <c r="I51" s="434" t="s">
        <v>534</v>
      </c>
    </row>
    <row r="52" spans="1:9" hidden="1" x14ac:dyDescent="0.4">
      <c r="A52" s="434">
        <v>1</v>
      </c>
      <c r="B52" s="434" t="s">
        <v>1435</v>
      </c>
      <c r="C52" s="434" t="s">
        <v>1439</v>
      </c>
      <c r="D52" s="434" t="s">
        <v>399</v>
      </c>
      <c r="E52" s="434" t="s">
        <v>1382</v>
      </c>
      <c r="F52" s="434" t="s">
        <v>1446</v>
      </c>
      <c r="G52" s="593">
        <v>7000000</v>
      </c>
      <c r="H52" s="434" t="s">
        <v>534</v>
      </c>
      <c r="I52" s="434" t="s">
        <v>534</v>
      </c>
    </row>
    <row r="53" spans="1:9" hidden="1" x14ac:dyDescent="0.4">
      <c r="A53" s="434">
        <v>1</v>
      </c>
      <c r="B53" s="434" t="s">
        <v>1435</v>
      </c>
      <c r="C53" s="434" t="s">
        <v>1439</v>
      </c>
      <c r="D53" s="434" t="s">
        <v>141</v>
      </c>
      <c r="E53" s="434" t="s">
        <v>1383</v>
      </c>
      <c r="F53" s="434" t="s">
        <v>1447</v>
      </c>
      <c r="G53" s="593">
        <v>15000000</v>
      </c>
      <c r="H53" s="434" t="s">
        <v>534</v>
      </c>
      <c r="I53" s="434" t="s">
        <v>534</v>
      </c>
    </row>
    <row r="54" spans="1:9" hidden="1" x14ac:dyDescent="0.4">
      <c r="A54" s="434">
        <v>1</v>
      </c>
      <c r="B54" s="434" t="s">
        <v>1435</v>
      </c>
      <c r="C54" s="434" t="s">
        <v>1439</v>
      </c>
      <c r="D54" s="434" t="s">
        <v>145</v>
      </c>
      <c r="E54" s="434" t="s">
        <v>1385</v>
      </c>
      <c r="F54" s="434" t="s">
        <v>1448</v>
      </c>
      <c r="G54" s="593">
        <v>3227100</v>
      </c>
      <c r="H54" s="434" t="s">
        <v>534</v>
      </c>
      <c r="I54" s="434" t="s">
        <v>534</v>
      </c>
    </row>
    <row r="55" spans="1:9" ht="60" hidden="1" x14ac:dyDescent="0.4">
      <c r="A55" s="434">
        <v>1</v>
      </c>
      <c r="B55" s="434" t="s">
        <v>1435</v>
      </c>
      <c r="C55" s="434" t="s">
        <v>1439</v>
      </c>
      <c r="D55" s="434" t="s">
        <v>155</v>
      </c>
      <c r="E55" s="434" t="s">
        <v>1389</v>
      </c>
      <c r="F55" s="1359" t="s">
        <v>1723</v>
      </c>
      <c r="G55" s="593">
        <v>8000000</v>
      </c>
      <c r="H55" s="434" t="s">
        <v>534</v>
      </c>
      <c r="I55" s="434" t="s">
        <v>534</v>
      </c>
    </row>
    <row r="56" spans="1:9" ht="60" hidden="1" x14ac:dyDescent="0.4">
      <c r="A56" s="434">
        <v>1</v>
      </c>
      <c r="B56" s="434" t="s">
        <v>1435</v>
      </c>
      <c r="C56" s="434" t="s">
        <v>1439</v>
      </c>
      <c r="D56" s="434" t="s">
        <v>157</v>
      </c>
      <c r="E56" s="434" t="s">
        <v>1390</v>
      </c>
      <c r="F56" s="1359" t="s">
        <v>1724</v>
      </c>
      <c r="G56" s="593">
        <v>9000000</v>
      </c>
      <c r="H56" s="434" t="s">
        <v>534</v>
      </c>
      <c r="I56" s="434" t="s">
        <v>534</v>
      </c>
    </row>
    <row r="57" spans="1:9" hidden="1" x14ac:dyDescent="0.4">
      <c r="A57" s="434">
        <v>1</v>
      </c>
      <c r="B57" s="434" t="s">
        <v>1435</v>
      </c>
      <c r="C57" s="434" t="s">
        <v>1439</v>
      </c>
      <c r="D57" s="434" t="s">
        <v>160</v>
      </c>
      <c r="E57" s="434" t="s">
        <v>1391</v>
      </c>
      <c r="F57" s="434" t="s">
        <v>1449</v>
      </c>
      <c r="G57" s="593">
        <v>622700</v>
      </c>
      <c r="H57" s="434" t="s">
        <v>534</v>
      </c>
      <c r="I57" s="434" t="s">
        <v>534</v>
      </c>
    </row>
    <row r="58" spans="1:9" hidden="1" x14ac:dyDescent="0.4">
      <c r="A58" s="434">
        <v>1</v>
      </c>
      <c r="B58" s="434" t="s">
        <v>1435</v>
      </c>
      <c r="C58" s="434" t="s">
        <v>1439</v>
      </c>
      <c r="D58" s="434" t="s">
        <v>164</v>
      </c>
      <c r="E58" s="434" t="s">
        <v>1392</v>
      </c>
      <c r="F58" s="434" t="s">
        <v>1450</v>
      </c>
      <c r="G58" s="593">
        <v>3800000</v>
      </c>
      <c r="H58" s="434" t="s">
        <v>534</v>
      </c>
      <c r="I58" s="434" t="s">
        <v>534</v>
      </c>
    </row>
    <row r="59" spans="1:9" hidden="1" x14ac:dyDescent="0.4">
      <c r="A59" s="434">
        <v>1</v>
      </c>
      <c r="B59" s="434" t="s">
        <v>1435</v>
      </c>
      <c r="C59" s="434" t="s">
        <v>1439</v>
      </c>
      <c r="D59" s="434" t="s">
        <v>168</v>
      </c>
      <c r="E59" s="434" t="s">
        <v>1393</v>
      </c>
      <c r="F59" s="434" t="s">
        <v>1451</v>
      </c>
      <c r="G59" s="593">
        <v>150000</v>
      </c>
      <c r="H59" s="434" t="s">
        <v>534</v>
      </c>
      <c r="I59" s="434" t="s">
        <v>534</v>
      </c>
    </row>
    <row r="60" spans="1:9" hidden="1" x14ac:dyDescent="0.4">
      <c r="A60" s="434">
        <v>1</v>
      </c>
      <c r="B60" s="434" t="s">
        <v>1452</v>
      </c>
      <c r="C60" s="434" t="s">
        <v>1436</v>
      </c>
      <c r="D60" s="434" t="s">
        <v>72</v>
      </c>
      <c r="E60" s="434" t="s">
        <v>1348</v>
      </c>
      <c r="F60" s="434" t="s">
        <v>1437</v>
      </c>
      <c r="G60" s="593">
        <v>4626600</v>
      </c>
      <c r="H60" s="434" t="s">
        <v>1438</v>
      </c>
      <c r="I60" s="434" t="s">
        <v>1438</v>
      </c>
    </row>
    <row r="61" spans="1:9" hidden="1" x14ac:dyDescent="0.4">
      <c r="A61" s="434">
        <v>1</v>
      </c>
      <c r="B61" s="434" t="s">
        <v>1452</v>
      </c>
      <c r="C61" s="434" t="s">
        <v>1436</v>
      </c>
      <c r="D61" s="434" t="s">
        <v>76</v>
      </c>
      <c r="E61" s="434" t="s">
        <v>1352</v>
      </c>
      <c r="F61" s="434" t="s">
        <v>1056</v>
      </c>
      <c r="G61" s="593">
        <v>750000</v>
      </c>
      <c r="H61" s="434" t="s">
        <v>1438</v>
      </c>
      <c r="I61" s="434" t="s">
        <v>1438</v>
      </c>
    </row>
    <row r="62" spans="1:9" hidden="1" x14ac:dyDescent="0.4">
      <c r="A62" s="434">
        <v>1</v>
      </c>
      <c r="B62" s="434" t="s">
        <v>1452</v>
      </c>
      <c r="C62" s="434" t="s">
        <v>1436</v>
      </c>
      <c r="D62" s="434" t="s">
        <v>77</v>
      </c>
      <c r="E62" s="434" t="s">
        <v>1354</v>
      </c>
      <c r="F62" s="434" t="s">
        <v>1453</v>
      </c>
      <c r="G62" s="593">
        <v>13685280</v>
      </c>
      <c r="H62" s="434" t="s">
        <v>1438</v>
      </c>
      <c r="I62" s="434" t="s">
        <v>1438</v>
      </c>
    </row>
    <row r="63" spans="1:9" hidden="1" x14ac:dyDescent="0.4">
      <c r="A63" s="434">
        <v>1</v>
      </c>
      <c r="B63" s="434" t="s">
        <v>1452</v>
      </c>
      <c r="C63" s="434" t="s">
        <v>1436</v>
      </c>
      <c r="D63" s="434" t="s">
        <v>80</v>
      </c>
      <c r="E63" s="434" t="s">
        <v>1332</v>
      </c>
      <c r="F63" s="434" t="s">
        <v>481</v>
      </c>
      <c r="G63" s="593">
        <v>2364500</v>
      </c>
      <c r="H63" s="434" t="s">
        <v>1438</v>
      </c>
      <c r="I63" s="434" t="s">
        <v>1438</v>
      </c>
    </row>
    <row r="64" spans="1:9" hidden="1" x14ac:dyDescent="0.4">
      <c r="A64" s="434">
        <v>1</v>
      </c>
      <c r="B64" s="434" t="s">
        <v>1452</v>
      </c>
      <c r="C64" s="434" t="s">
        <v>1436</v>
      </c>
      <c r="D64" s="434" t="s">
        <v>84</v>
      </c>
      <c r="E64" s="434" t="s">
        <v>1355</v>
      </c>
      <c r="F64" s="434" t="s">
        <v>483</v>
      </c>
      <c r="G64" s="593">
        <v>701800</v>
      </c>
      <c r="H64" s="434" t="s">
        <v>1438</v>
      </c>
      <c r="I64" s="434" t="s">
        <v>1438</v>
      </c>
    </row>
    <row r="65" spans="1:12" hidden="1" x14ac:dyDescent="0.4">
      <c r="A65" s="434">
        <v>1</v>
      </c>
      <c r="B65" s="434" t="s">
        <v>1452</v>
      </c>
      <c r="C65" s="434" t="s">
        <v>1436</v>
      </c>
      <c r="D65" s="434" t="s">
        <v>86</v>
      </c>
      <c r="E65" s="434" t="s">
        <v>1356</v>
      </c>
      <c r="F65" s="434" t="s">
        <v>484</v>
      </c>
      <c r="G65" s="593">
        <v>680400</v>
      </c>
      <c r="H65" s="434" t="s">
        <v>1438</v>
      </c>
      <c r="I65" s="434" t="s">
        <v>1438</v>
      </c>
    </row>
    <row r="66" spans="1:12" hidden="1" x14ac:dyDescent="0.4">
      <c r="A66" s="434">
        <v>1</v>
      </c>
      <c r="B66" s="434" t="s">
        <v>1452</v>
      </c>
      <c r="C66" s="434" t="s">
        <v>1436</v>
      </c>
      <c r="D66" s="434" t="s">
        <v>90</v>
      </c>
      <c r="E66" s="434" t="s">
        <v>1357</v>
      </c>
      <c r="F66" s="434" t="s">
        <v>486</v>
      </c>
      <c r="G66" s="593">
        <v>779000</v>
      </c>
      <c r="H66" s="434" t="s">
        <v>1438</v>
      </c>
      <c r="I66" s="434" t="s">
        <v>1438</v>
      </c>
    </row>
    <row r="67" spans="1:12" hidden="1" x14ac:dyDescent="0.4">
      <c r="A67" s="434">
        <v>1</v>
      </c>
      <c r="B67" s="434" t="s">
        <v>1452</v>
      </c>
      <c r="C67" s="434" t="s">
        <v>1436</v>
      </c>
      <c r="D67" s="434" t="s">
        <v>92</v>
      </c>
      <c r="E67" s="434" t="s">
        <v>1358</v>
      </c>
      <c r="F67" s="434" t="s">
        <v>487</v>
      </c>
      <c r="G67" s="593">
        <v>42100</v>
      </c>
      <c r="H67" s="434" t="s">
        <v>1438</v>
      </c>
      <c r="I67" s="434" t="s">
        <v>1438</v>
      </c>
    </row>
    <row r="68" spans="1:12" hidden="1" x14ac:dyDescent="0.4">
      <c r="A68" s="434">
        <v>1</v>
      </c>
      <c r="B68" s="434" t="s">
        <v>1452</v>
      </c>
      <c r="C68" s="434" t="s">
        <v>1436</v>
      </c>
      <c r="D68" s="434" t="s">
        <v>93</v>
      </c>
      <c r="E68" s="434" t="s">
        <v>1359</v>
      </c>
      <c r="F68" s="434" t="s">
        <v>488</v>
      </c>
      <c r="G68" s="593">
        <v>126300</v>
      </c>
      <c r="H68" s="434" t="s">
        <v>1438</v>
      </c>
      <c r="I68" s="434" t="s">
        <v>1438</v>
      </c>
    </row>
    <row r="69" spans="1:12" hidden="1" x14ac:dyDescent="0.4">
      <c r="A69" s="434">
        <v>1</v>
      </c>
      <c r="B69" s="434" t="s">
        <v>1452</v>
      </c>
      <c r="C69" s="434" t="s">
        <v>1436</v>
      </c>
      <c r="D69" s="434" t="s">
        <v>94</v>
      </c>
      <c r="E69" s="434" t="s">
        <v>1360</v>
      </c>
      <c r="F69" s="434" t="s">
        <v>489</v>
      </c>
      <c r="G69" s="593">
        <v>421100</v>
      </c>
      <c r="H69" s="434" t="s">
        <v>1438</v>
      </c>
      <c r="I69" s="434" t="s">
        <v>1438</v>
      </c>
    </row>
    <row r="70" spans="1:12" hidden="1" x14ac:dyDescent="0.4">
      <c r="A70" s="434">
        <v>1</v>
      </c>
      <c r="B70" s="434" t="s">
        <v>1452</v>
      </c>
      <c r="C70" s="434" t="s">
        <v>1436</v>
      </c>
      <c r="D70" s="434" t="s">
        <v>96</v>
      </c>
      <c r="E70" s="434" t="s">
        <v>1361</v>
      </c>
      <c r="F70" s="434" t="s">
        <v>490</v>
      </c>
      <c r="G70" s="593">
        <v>42100</v>
      </c>
      <c r="H70" s="434" t="s">
        <v>1438</v>
      </c>
      <c r="I70" s="434" t="s">
        <v>1438</v>
      </c>
    </row>
    <row r="71" spans="1:12" hidden="1" x14ac:dyDescent="0.4">
      <c r="A71" s="434">
        <v>1</v>
      </c>
      <c r="B71" s="434" t="s">
        <v>1452</v>
      </c>
      <c r="C71" s="434" t="s">
        <v>1436</v>
      </c>
      <c r="D71" s="434" t="s">
        <v>510</v>
      </c>
      <c r="E71" s="434" t="s">
        <v>1362</v>
      </c>
      <c r="F71" s="434" t="s">
        <v>491</v>
      </c>
      <c r="G71" s="593">
        <v>456400</v>
      </c>
      <c r="H71" s="434" t="s">
        <v>1438</v>
      </c>
      <c r="I71" s="434" t="s">
        <v>1438</v>
      </c>
    </row>
    <row r="72" spans="1:12" hidden="1" x14ac:dyDescent="0.4">
      <c r="A72" s="434">
        <v>1</v>
      </c>
      <c r="B72" s="434" t="s">
        <v>1452</v>
      </c>
      <c r="C72" s="434" t="s">
        <v>1436</v>
      </c>
      <c r="D72" s="434" t="s">
        <v>100</v>
      </c>
      <c r="E72" s="434" t="s">
        <v>1363</v>
      </c>
      <c r="F72" s="434" t="s">
        <v>491</v>
      </c>
      <c r="G72" s="593">
        <v>252600</v>
      </c>
      <c r="H72" s="434" t="s">
        <v>1438</v>
      </c>
      <c r="I72" s="434" t="s">
        <v>1438</v>
      </c>
    </row>
    <row r="73" spans="1:12" hidden="1" x14ac:dyDescent="0.4">
      <c r="A73" s="434">
        <v>1</v>
      </c>
      <c r="B73" s="434" t="s">
        <v>1452</v>
      </c>
      <c r="C73" s="434" t="s">
        <v>1436</v>
      </c>
      <c r="D73" s="434" t="s">
        <v>101</v>
      </c>
      <c r="E73" s="434" t="s">
        <v>1364</v>
      </c>
      <c r="F73" s="434" t="s">
        <v>1135</v>
      </c>
      <c r="G73" s="593">
        <v>126300</v>
      </c>
      <c r="H73" s="434" t="s">
        <v>1438</v>
      </c>
      <c r="I73" s="434" t="s">
        <v>1438</v>
      </c>
    </row>
    <row r="74" spans="1:12" s="1448" customFormat="1" hidden="1" x14ac:dyDescent="0.4">
      <c r="A74" s="434">
        <v>1</v>
      </c>
      <c r="B74" s="1448" t="s">
        <v>1452</v>
      </c>
      <c r="C74" s="1448" t="s">
        <v>1436</v>
      </c>
      <c r="D74" s="434" t="s">
        <v>72</v>
      </c>
      <c r="F74" s="1448" t="s">
        <v>1749</v>
      </c>
      <c r="G74" s="1449">
        <v>-100</v>
      </c>
      <c r="H74" s="1448" t="s">
        <v>534</v>
      </c>
      <c r="I74" s="1448" t="s">
        <v>534</v>
      </c>
      <c r="J74" s="1450"/>
      <c r="K74" s="1450"/>
      <c r="L74" s="1450"/>
    </row>
    <row r="75" spans="1:12" s="1448" customFormat="1" hidden="1" x14ac:dyDescent="0.4">
      <c r="A75" s="434">
        <v>1</v>
      </c>
      <c r="B75" s="1448" t="s">
        <v>1452</v>
      </c>
      <c r="C75" s="1448" t="s">
        <v>1436</v>
      </c>
      <c r="D75" s="434" t="s">
        <v>76</v>
      </c>
      <c r="F75" s="1448" t="s">
        <v>1749</v>
      </c>
      <c r="G75" s="1449">
        <v>0</v>
      </c>
      <c r="H75" s="1448" t="s">
        <v>534</v>
      </c>
      <c r="I75" s="1448" t="s">
        <v>534</v>
      </c>
      <c r="J75" s="1450"/>
      <c r="K75" s="1450"/>
      <c r="L75" s="1450"/>
    </row>
    <row r="76" spans="1:12" s="1448" customFormat="1" hidden="1" x14ac:dyDescent="0.4">
      <c r="A76" s="434">
        <v>1</v>
      </c>
      <c r="B76" s="1448" t="s">
        <v>1452</v>
      </c>
      <c r="C76" s="1448" t="s">
        <v>1436</v>
      </c>
      <c r="D76" s="434" t="s">
        <v>77</v>
      </c>
      <c r="F76" s="1448" t="s">
        <v>1749</v>
      </c>
      <c r="G76" s="1449">
        <v>0</v>
      </c>
      <c r="H76" s="1448" t="s">
        <v>534</v>
      </c>
      <c r="I76" s="1448" t="s">
        <v>534</v>
      </c>
      <c r="J76" s="1450"/>
      <c r="K76" s="1450"/>
      <c r="L76" s="1450"/>
    </row>
    <row r="77" spans="1:12" s="1448" customFormat="1" hidden="1" x14ac:dyDescent="0.4">
      <c r="A77" s="434">
        <v>1</v>
      </c>
      <c r="B77" s="1448" t="s">
        <v>1452</v>
      </c>
      <c r="C77" s="1448" t="s">
        <v>1436</v>
      </c>
      <c r="D77" s="434" t="s">
        <v>80</v>
      </c>
      <c r="F77" s="1448" t="s">
        <v>1749</v>
      </c>
      <c r="G77" s="1449">
        <v>0</v>
      </c>
      <c r="H77" s="1448" t="s">
        <v>534</v>
      </c>
      <c r="I77" s="1448" t="s">
        <v>534</v>
      </c>
      <c r="J77" s="1450"/>
      <c r="K77" s="1450"/>
      <c r="L77" s="1450"/>
    </row>
    <row r="78" spans="1:12" s="1448" customFormat="1" hidden="1" x14ac:dyDescent="0.4">
      <c r="A78" s="434">
        <v>1</v>
      </c>
      <c r="B78" s="1448" t="s">
        <v>1452</v>
      </c>
      <c r="C78" s="1448" t="s">
        <v>1436</v>
      </c>
      <c r="D78" s="434" t="s">
        <v>84</v>
      </c>
      <c r="F78" s="1448" t="s">
        <v>1749</v>
      </c>
      <c r="G78" s="1449">
        <v>200</v>
      </c>
      <c r="H78" s="1448" t="s">
        <v>534</v>
      </c>
      <c r="I78" s="1448" t="s">
        <v>534</v>
      </c>
      <c r="J78" s="1450"/>
      <c r="K78" s="1450"/>
      <c r="L78" s="1450"/>
    </row>
    <row r="79" spans="1:12" s="1448" customFormat="1" hidden="1" x14ac:dyDescent="0.4">
      <c r="A79" s="434">
        <v>1</v>
      </c>
      <c r="B79" s="1448" t="s">
        <v>1452</v>
      </c>
      <c r="C79" s="1448" t="s">
        <v>1436</v>
      </c>
      <c r="D79" s="434" t="s">
        <v>86</v>
      </c>
      <c r="F79" s="1448" t="s">
        <v>1749</v>
      </c>
      <c r="G79" s="1449">
        <v>100</v>
      </c>
      <c r="H79" s="1448" t="s">
        <v>534</v>
      </c>
      <c r="I79" s="1448" t="s">
        <v>534</v>
      </c>
      <c r="J79" s="1450"/>
      <c r="K79" s="1450"/>
      <c r="L79" s="1450"/>
    </row>
    <row r="80" spans="1:12" s="1448" customFormat="1" hidden="1" x14ac:dyDescent="0.4">
      <c r="A80" s="434">
        <v>1</v>
      </c>
      <c r="B80" s="1448" t="s">
        <v>1452</v>
      </c>
      <c r="C80" s="1448" t="s">
        <v>1436</v>
      </c>
      <c r="D80" s="434" t="s">
        <v>90</v>
      </c>
      <c r="F80" s="1448" t="s">
        <v>1749</v>
      </c>
      <c r="G80" s="1449">
        <v>0</v>
      </c>
      <c r="H80" s="1448" t="s">
        <v>534</v>
      </c>
      <c r="I80" s="1448" t="s">
        <v>534</v>
      </c>
      <c r="J80" s="1450"/>
      <c r="K80" s="1450"/>
      <c r="L80" s="1450"/>
    </row>
    <row r="81" spans="1:12" s="1448" customFormat="1" hidden="1" x14ac:dyDescent="0.4">
      <c r="A81" s="434">
        <v>1</v>
      </c>
      <c r="B81" s="1448" t="s">
        <v>1452</v>
      </c>
      <c r="C81" s="1448" t="s">
        <v>1436</v>
      </c>
      <c r="D81" s="434" t="s">
        <v>92</v>
      </c>
      <c r="F81" s="1448" t="s">
        <v>1749</v>
      </c>
      <c r="G81" s="1449">
        <v>-100</v>
      </c>
      <c r="H81" s="1448" t="s">
        <v>534</v>
      </c>
      <c r="I81" s="1448" t="s">
        <v>534</v>
      </c>
      <c r="J81" s="1450"/>
      <c r="K81" s="1450"/>
      <c r="L81" s="1450"/>
    </row>
    <row r="82" spans="1:12" s="1448" customFormat="1" hidden="1" x14ac:dyDescent="0.4">
      <c r="A82" s="434">
        <v>1</v>
      </c>
      <c r="B82" s="1448" t="s">
        <v>1452</v>
      </c>
      <c r="C82" s="1448" t="s">
        <v>1436</v>
      </c>
      <c r="D82" s="434" t="s">
        <v>93</v>
      </c>
      <c r="F82" s="1448" t="s">
        <v>1749</v>
      </c>
      <c r="G82" s="1449">
        <v>200</v>
      </c>
      <c r="H82" s="1448" t="s">
        <v>534</v>
      </c>
      <c r="I82" s="1448" t="s">
        <v>534</v>
      </c>
      <c r="J82" s="1450"/>
      <c r="K82" s="1450"/>
      <c r="L82" s="1450"/>
    </row>
    <row r="83" spans="1:12" s="1448" customFormat="1" hidden="1" x14ac:dyDescent="0.4">
      <c r="A83" s="434">
        <v>1</v>
      </c>
      <c r="B83" s="1448" t="s">
        <v>1452</v>
      </c>
      <c r="C83" s="1448" t="s">
        <v>1436</v>
      </c>
      <c r="D83" s="434" t="s">
        <v>94</v>
      </c>
      <c r="F83" s="1448" t="s">
        <v>1749</v>
      </c>
      <c r="G83" s="1449">
        <v>-100</v>
      </c>
      <c r="H83" s="1448" t="s">
        <v>534</v>
      </c>
      <c r="I83" s="1448" t="s">
        <v>534</v>
      </c>
      <c r="J83" s="1450"/>
      <c r="K83" s="1450"/>
      <c r="L83" s="1450"/>
    </row>
    <row r="84" spans="1:12" s="1448" customFormat="1" hidden="1" x14ac:dyDescent="0.4">
      <c r="A84" s="434">
        <v>1</v>
      </c>
      <c r="B84" s="1448" t="s">
        <v>1452</v>
      </c>
      <c r="C84" s="1448" t="s">
        <v>1436</v>
      </c>
      <c r="D84" s="434" t="s">
        <v>96</v>
      </c>
      <c r="F84" s="1448" t="s">
        <v>1749</v>
      </c>
      <c r="G84" s="1449">
        <v>-100</v>
      </c>
      <c r="H84" s="1448" t="s">
        <v>534</v>
      </c>
      <c r="I84" s="1448" t="s">
        <v>534</v>
      </c>
      <c r="J84" s="1450"/>
      <c r="K84" s="1450"/>
      <c r="L84" s="1450"/>
    </row>
    <row r="85" spans="1:12" s="1448" customFormat="1" hidden="1" x14ac:dyDescent="0.4">
      <c r="A85" s="434">
        <v>1</v>
      </c>
      <c r="B85" s="1448" t="s">
        <v>1452</v>
      </c>
      <c r="C85" s="1448" t="s">
        <v>1436</v>
      </c>
      <c r="D85" s="434" t="s">
        <v>510</v>
      </c>
      <c r="F85" s="1448" t="s">
        <v>1749</v>
      </c>
      <c r="G85" s="1449">
        <v>100</v>
      </c>
      <c r="H85" s="1448" t="s">
        <v>534</v>
      </c>
      <c r="I85" s="1448" t="s">
        <v>534</v>
      </c>
      <c r="J85" s="1450"/>
      <c r="K85" s="1450"/>
      <c r="L85" s="1450"/>
    </row>
    <row r="86" spans="1:12" s="1448" customFormat="1" hidden="1" x14ac:dyDescent="0.4">
      <c r="A86" s="434">
        <v>1</v>
      </c>
      <c r="B86" s="1448" t="s">
        <v>1452</v>
      </c>
      <c r="C86" s="1448" t="s">
        <v>1436</v>
      </c>
      <c r="D86" s="434" t="s">
        <v>100</v>
      </c>
      <c r="F86" s="1448" t="s">
        <v>1749</v>
      </c>
      <c r="G86" s="1449">
        <v>-100</v>
      </c>
      <c r="H86" s="1448" t="s">
        <v>534</v>
      </c>
      <c r="I86" s="1448" t="s">
        <v>534</v>
      </c>
      <c r="J86" s="1450"/>
      <c r="K86" s="1450"/>
      <c r="L86" s="1450"/>
    </row>
    <row r="87" spans="1:12" s="1448" customFormat="1" hidden="1" x14ac:dyDescent="0.4">
      <c r="A87" s="434">
        <v>1</v>
      </c>
      <c r="B87" s="1448" t="s">
        <v>1452</v>
      </c>
      <c r="C87" s="1448" t="s">
        <v>1436</v>
      </c>
      <c r="D87" s="434" t="s">
        <v>101</v>
      </c>
      <c r="F87" s="1448" t="s">
        <v>1749</v>
      </c>
      <c r="G87" s="1449">
        <v>200</v>
      </c>
      <c r="H87" s="1448" t="s">
        <v>534</v>
      </c>
      <c r="I87" s="1448" t="s">
        <v>534</v>
      </c>
      <c r="J87" s="1450"/>
      <c r="K87" s="1450"/>
      <c r="L87" s="1450"/>
    </row>
    <row r="88" spans="1:12" hidden="1" x14ac:dyDescent="0.4">
      <c r="A88" s="434">
        <v>1</v>
      </c>
      <c r="B88" s="434" t="s">
        <v>1452</v>
      </c>
      <c r="C88" s="434" t="s">
        <v>1439</v>
      </c>
      <c r="D88" s="434" t="s">
        <v>106</v>
      </c>
      <c r="E88" s="434" t="s">
        <v>1366</v>
      </c>
      <c r="F88" s="434" t="s">
        <v>1454</v>
      </c>
      <c r="G88" s="593">
        <v>969300</v>
      </c>
      <c r="H88" s="434" t="s">
        <v>1441</v>
      </c>
      <c r="I88" s="434" t="s">
        <v>1438</v>
      </c>
    </row>
    <row r="89" spans="1:12" hidden="1" x14ac:dyDescent="0.4">
      <c r="A89" s="434">
        <v>1</v>
      </c>
      <c r="B89" s="434" t="s">
        <v>1452</v>
      </c>
      <c r="C89" s="434" t="s">
        <v>1439</v>
      </c>
      <c r="D89" s="434" t="s">
        <v>116</v>
      </c>
      <c r="E89" s="434" t="s">
        <v>1370</v>
      </c>
      <c r="F89" s="434" t="s">
        <v>1442</v>
      </c>
      <c r="G89" s="593">
        <v>39300</v>
      </c>
      <c r="H89" s="434" t="s">
        <v>1441</v>
      </c>
      <c r="I89" s="434" t="s">
        <v>1438</v>
      </c>
    </row>
    <row r="90" spans="1:12" hidden="1" x14ac:dyDescent="0.4">
      <c r="A90" s="434">
        <v>1</v>
      </c>
      <c r="B90" s="434" t="s">
        <v>1452</v>
      </c>
      <c r="C90" s="434" t="s">
        <v>1439</v>
      </c>
      <c r="D90" s="434" t="s">
        <v>118</v>
      </c>
      <c r="E90" s="434" t="s">
        <v>1371</v>
      </c>
      <c r="F90" s="434" t="s">
        <v>1443</v>
      </c>
      <c r="G90" s="593">
        <v>139000</v>
      </c>
      <c r="H90" s="434" t="s">
        <v>1441</v>
      </c>
      <c r="I90" s="434" t="s">
        <v>1438</v>
      </c>
    </row>
    <row r="91" spans="1:12" x14ac:dyDescent="0.4">
      <c r="A91" s="434">
        <v>1</v>
      </c>
      <c r="B91" s="434" t="s">
        <v>1452</v>
      </c>
      <c r="C91" s="434" t="s">
        <v>1439</v>
      </c>
      <c r="D91" s="434" t="s">
        <v>326</v>
      </c>
      <c r="E91" s="434" t="s">
        <v>1373</v>
      </c>
      <c r="F91" s="434" t="s">
        <v>1455</v>
      </c>
      <c r="G91" s="593">
        <v>60200</v>
      </c>
      <c r="H91" s="434" t="s">
        <v>534</v>
      </c>
      <c r="I91" s="434" t="s">
        <v>534</v>
      </c>
    </row>
    <row r="92" spans="1:12" hidden="1" x14ac:dyDescent="0.4">
      <c r="A92" s="434">
        <v>1</v>
      </c>
      <c r="B92" s="434" t="s">
        <v>1452</v>
      </c>
      <c r="C92" s="434" t="s">
        <v>1439</v>
      </c>
      <c r="D92" s="434" t="s">
        <v>131</v>
      </c>
      <c r="E92" s="434" t="s">
        <v>1377</v>
      </c>
      <c r="F92" s="434" t="s">
        <v>1456</v>
      </c>
      <c r="G92" s="593">
        <v>60000</v>
      </c>
      <c r="H92" s="434" t="s">
        <v>534</v>
      </c>
      <c r="I92" s="434" t="s">
        <v>534</v>
      </c>
    </row>
    <row r="93" spans="1:12" hidden="1" x14ac:dyDescent="0.4">
      <c r="A93" s="434">
        <v>1</v>
      </c>
      <c r="B93" s="434" t="s">
        <v>1452</v>
      </c>
      <c r="C93" s="434" t="s">
        <v>1439</v>
      </c>
      <c r="D93" s="434" t="s">
        <v>145</v>
      </c>
      <c r="E93" s="434" t="s">
        <v>1385</v>
      </c>
      <c r="F93" s="434" t="s">
        <v>1457</v>
      </c>
      <c r="G93" s="593">
        <v>285200</v>
      </c>
      <c r="H93" s="434" t="s">
        <v>534</v>
      </c>
      <c r="I93" s="434" t="s">
        <v>534</v>
      </c>
    </row>
    <row r="94" spans="1:12" hidden="1" x14ac:dyDescent="0.4">
      <c r="A94" s="434">
        <v>1</v>
      </c>
      <c r="B94" s="434" t="s">
        <v>1452</v>
      </c>
      <c r="C94" s="434" t="s">
        <v>1439</v>
      </c>
      <c r="D94" s="434" t="s">
        <v>160</v>
      </c>
      <c r="E94" s="434" t="s">
        <v>1391</v>
      </c>
      <c r="F94" s="434" t="s">
        <v>1449</v>
      </c>
      <c r="G94" s="593">
        <v>58100</v>
      </c>
      <c r="H94" s="434" t="s">
        <v>534</v>
      </c>
      <c r="I94" s="434" t="s">
        <v>534</v>
      </c>
    </row>
    <row r="95" spans="1:12" hidden="1" x14ac:dyDescent="0.4">
      <c r="A95" s="434">
        <v>1</v>
      </c>
      <c r="B95" s="434" t="s">
        <v>1458</v>
      </c>
      <c r="C95" s="434" t="s">
        <v>1436</v>
      </c>
      <c r="D95" s="434" t="s">
        <v>72</v>
      </c>
      <c r="E95" s="434" t="s">
        <v>1348</v>
      </c>
      <c r="F95" s="434" t="s">
        <v>1437</v>
      </c>
      <c r="G95" s="593">
        <v>62476300</v>
      </c>
      <c r="H95" s="434" t="s">
        <v>1438</v>
      </c>
      <c r="I95" s="434" t="s">
        <v>1438</v>
      </c>
    </row>
    <row r="96" spans="1:12" hidden="1" x14ac:dyDescent="0.4">
      <c r="A96" s="434">
        <v>1</v>
      </c>
      <c r="B96" s="434" t="s">
        <v>1458</v>
      </c>
      <c r="C96" s="434" t="s">
        <v>1436</v>
      </c>
      <c r="D96" s="434" t="s">
        <v>80</v>
      </c>
      <c r="E96" s="434" t="s">
        <v>1332</v>
      </c>
      <c r="F96" s="434" t="s">
        <v>481</v>
      </c>
      <c r="G96" s="593">
        <v>10433200</v>
      </c>
      <c r="H96" s="434" t="s">
        <v>1438</v>
      </c>
      <c r="I96" s="434" t="s">
        <v>1438</v>
      </c>
    </row>
    <row r="97" spans="1:12" hidden="1" x14ac:dyDescent="0.4">
      <c r="A97" s="434">
        <v>1</v>
      </c>
      <c r="B97" s="434" t="s">
        <v>1458</v>
      </c>
      <c r="C97" s="434" t="s">
        <v>1436</v>
      </c>
      <c r="D97" s="434" t="s">
        <v>82</v>
      </c>
      <c r="E97" s="434" t="s">
        <v>1333</v>
      </c>
      <c r="F97" s="434" t="s">
        <v>482</v>
      </c>
      <c r="G97" s="593">
        <v>18473400</v>
      </c>
      <c r="H97" s="434" t="s">
        <v>1438</v>
      </c>
      <c r="I97" s="434" t="s">
        <v>1438</v>
      </c>
    </row>
    <row r="98" spans="1:12" hidden="1" x14ac:dyDescent="0.4">
      <c r="A98" s="434">
        <v>1</v>
      </c>
      <c r="B98" s="434" t="s">
        <v>1458</v>
      </c>
      <c r="C98" s="434" t="s">
        <v>1436</v>
      </c>
      <c r="D98" s="434" t="s">
        <v>84</v>
      </c>
      <c r="E98" s="434" t="s">
        <v>1355</v>
      </c>
      <c r="F98" s="434" t="s">
        <v>483</v>
      </c>
      <c r="G98" s="593">
        <v>8476800</v>
      </c>
      <c r="H98" s="434" t="s">
        <v>1438</v>
      </c>
      <c r="I98" s="434" t="s">
        <v>1438</v>
      </c>
    </row>
    <row r="99" spans="1:12" hidden="1" x14ac:dyDescent="0.4">
      <c r="A99" s="434">
        <v>1</v>
      </c>
      <c r="B99" s="434" t="s">
        <v>1458</v>
      </c>
      <c r="C99" s="434" t="s">
        <v>1436</v>
      </c>
      <c r="D99" s="434" t="s">
        <v>86</v>
      </c>
      <c r="E99" s="434" t="s">
        <v>1356</v>
      </c>
      <c r="F99" s="434" t="s">
        <v>484</v>
      </c>
      <c r="G99" s="593">
        <v>7651700</v>
      </c>
      <c r="H99" s="434" t="s">
        <v>1438</v>
      </c>
      <c r="I99" s="434" t="s">
        <v>1438</v>
      </c>
    </row>
    <row r="100" spans="1:12" hidden="1" x14ac:dyDescent="0.4">
      <c r="A100" s="434">
        <v>1</v>
      </c>
      <c r="B100" s="434" t="s">
        <v>1458</v>
      </c>
      <c r="C100" s="434" t="s">
        <v>1436</v>
      </c>
      <c r="D100" s="434" t="s">
        <v>87</v>
      </c>
      <c r="E100" s="434" t="s">
        <v>1334</v>
      </c>
      <c r="F100" s="434" t="s">
        <v>485</v>
      </c>
      <c r="G100" s="593">
        <v>2686700</v>
      </c>
      <c r="H100" s="434" t="s">
        <v>1438</v>
      </c>
      <c r="I100" s="434" t="s">
        <v>1438</v>
      </c>
    </row>
    <row r="101" spans="1:12" hidden="1" x14ac:dyDescent="0.4">
      <c r="A101" s="434">
        <v>1</v>
      </c>
      <c r="B101" s="434" t="s">
        <v>1458</v>
      </c>
      <c r="C101" s="434" t="s">
        <v>1436</v>
      </c>
      <c r="D101" s="434" t="s">
        <v>90</v>
      </c>
      <c r="E101" s="434" t="s">
        <v>1357</v>
      </c>
      <c r="F101" s="434" t="s">
        <v>486</v>
      </c>
      <c r="G101" s="593">
        <v>9409200</v>
      </c>
      <c r="H101" s="434" t="s">
        <v>1438</v>
      </c>
      <c r="I101" s="434" t="s">
        <v>1438</v>
      </c>
    </row>
    <row r="102" spans="1:12" hidden="1" x14ac:dyDescent="0.4">
      <c r="A102" s="434">
        <v>1</v>
      </c>
      <c r="B102" s="434" t="s">
        <v>1458</v>
      </c>
      <c r="C102" s="434" t="s">
        <v>1436</v>
      </c>
      <c r="D102" s="434" t="s">
        <v>92</v>
      </c>
      <c r="E102" s="434" t="s">
        <v>1358</v>
      </c>
      <c r="F102" s="434" t="s">
        <v>487</v>
      </c>
      <c r="G102" s="593">
        <v>508600</v>
      </c>
      <c r="H102" s="434" t="s">
        <v>1438</v>
      </c>
      <c r="I102" s="434" t="s">
        <v>1438</v>
      </c>
    </row>
    <row r="103" spans="1:12" hidden="1" x14ac:dyDescent="0.4">
      <c r="A103" s="434">
        <v>1</v>
      </c>
      <c r="B103" s="434" t="s">
        <v>1458</v>
      </c>
      <c r="C103" s="434" t="s">
        <v>1436</v>
      </c>
      <c r="D103" s="434" t="s">
        <v>93</v>
      </c>
      <c r="E103" s="434" t="s">
        <v>1359</v>
      </c>
      <c r="F103" s="434" t="s">
        <v>488</v>
      </c>
      <c r="G103" s="593">
        <v>1525800</v>
      </c>
      <c r="H103" s="434" t="s">
        <v>1438</v>
      </c>
      <c r="I103" s="434" t="s">
        <v>1438</v>
      </c>
    </row>
    <row r="104" spans="1:12" hidden="1" x14ac:dyDescent="0.4">
      <c r="A104" s="434">
        <v>1</v>
      </c>
      <c r="B104" s="434" t="s">
        <v>1458</v>
      </c>
      <c r="C104" s="434" t="s">
        <v>1436</v>
      </c>
      <c r="D104" s="434" t="s">
        <v>94</v>
      </c>
      <c r="E104" s="434" t="s">
        <v>1360</v>
      </c>
      <c r="F104" s="434" t="s">
        <v>489</v>
      </c>
      <c r="G104" s="593">
        <v>5086100</v>
      </c>
      <c r="H104" s="434" t="s">
        <v>1438</v>
      </c>
      <c r="I104" s="434" t="s">
        <v>1438</v>
      </c>
    </row>
    <row r="105" spans="1:12" hidden="1" x14ac:dyDescent="0.4">
      <c r="A105" s="434">
        <v>1</v>
      </c>
      <c r="B105" s="434" t="s">
        <v>1458</v>
      </c>
      <c r="C105" s="434" t="s">
        <v>1436</v>
      </c>
      <c r="D105" s="434" t="s">
        <v>96</v>
      </c>
      <c r="E105" s="434" t="s">
        <v>1361</v>
      </c>
      <c r="F105" s="434" t="s">
        <v>490</v>
      </c>
      <c r="G105" s="593">
        <v>508600</v>
      </c>
      <c r="H105" s="434" t="s">
        <v>1438</v>
      </c>
      <c r="I105" s="434" t="s">
        <v>1438</v>
      </c>
    </row>
    <row r="106" spans="1:12" hidden="1" x14ac:dyDescent="0.4">
      <c r="A106" s="434">
        <v>1</v>
      </c>
      <c r="B106" s="434" t="s">
        <v>1458</v>
      </c>
      <c r="C106" s="434" t="s">
        <v>1436</v>
      </c>
      <c r="D106" s="434" t="s">
        <v>510</v>
      </c>
      <c r="E106" s="434" t="s">
        <v>1362</v>
      </c>
      <c r="F106" s="434" t="s">
        <v>491</v>
      </c>
      <c r="G106" s="593">
        <v>5513300</v>
      </c>
      <c r="H106" s="434" t="s">
        <v>1438</v>
      </c>
      <c r="I106" s="434" t="s">
        <v>1438</v>
      </c>
    </row>
    <row r="107" spans="1:12" hidden="1" x14ac:dyDescent="0.4">
      <c r="A107" s="434">
        <v>1</v>
      </c>
      <c r="B107" s="434" t="s">
        <v>1458</v>
      </c>
      <c r="C107" s="434" t="s">
        <v>1436</v>
      </c>
      <c r="D107" s="434" t="s">
        <v>100</v>
      </c>
      <c r="E107" s="434" t="s">
        <v>1363</v>
      </c>
      <c r="F107" s="434" t="s">
        <v>491</v>
      </c>
      <c r="G107" s="593">
        <v>3051600</v>
      </c>
      <c r="H107" s="434" t="s">
        <v>1438</v>
      </c>
      <c r="I107" s="434" t="s">
        <v>1438</v>
      </c>
    </row>
    <row r="108" spans="1:12" hidden="1" x14ac:dyDescent="0.4">
      <c r="A108" s="434">
        <v>1</v>
      </c>
      <c r="B108" s="434" t="s">
        <v>1458</v>
      </c>
      <c r="C108" s="434" t="s">
        <v>1436</v>
      </c>
      <c r="D108" s="434" t="s">
        <v>101</v>
      </c>
      <c r="E108" s="434" t="s">
        <v>1364</v>
      </c>
      <c r="F108" s="434" t="s">
        <v>1135</v>
      </c>
      <c r="G108" s="593">
        <v>1525800</v>
      </c>
      <c r="H108" s="434" t="s">
        <v>1438</v>
      </c>
      <c r="I108" s="434" t="s">
        <v>1438</v>
      </c>
    </row>
    <row r="109" spans="1:12" s="1448" customFormat="1" hidden="1" x14ac:dyDescent="0.4">
      <c r="A109" s="434">
        <v>1</v>
      </c>
      <c r="B109" s="1448" t="s">
        <v>1458</v>
      </c>
      <c r="C109" s="1448" t="s">
        <v>1436</v>
      </c>
      <c r="D109" s="434" t="s">
        <v>72</v>
      </c>
      <c r="F109" s="1448" t="s">
        <v>1749</v>
      </c>
      <c r="G109" s="1449">
        <v>13812700</v>
      </c>
      <c r="H109" s="1448" t="s">
        <v>534</v>
      </c>
      <c r="I109" s="1448" t="s">
        <v>534</v>
      </c>
      <c r="J109" s="1450"/>
      <c r="K109" s="1450"/>
      <c r="L109" s="1450"/>
    </row>
    <row r="110" spans="1:12" s="1448" customFormat="1" hidden="1" x14ac:dyDescent="0.4">
      <c r="A110" s="434">
        <v>1</v>
      </c>
      <c r="B110" s="1448" t="s">
        <v>1458</v>
      </c>
      <c r="C110" s="1448" t="s">
        <v>1436</v>
      </c>
      <c r="D110" s="434" t="s">
        <v>80</v>
      </c>
      <c r="F110" s="1448" t="s">
        <v>1749</v>
      </c>
      <c r="G110" s="1449">
        <v>-200</v>
      </c>
      <c r="H110" s="1448" t="s">
        <v>534</v>
      </c>
      <c r="I110" s="1448" t="s">
        <v>534</v>
      </c>
      <c r="J110" s="1450"/>
      <c r="K110" s="1450"/>
      <c r="L110" s="1450"/>
    </row>
    <row r="111" spans="1:12" s="1448" customFormat="1" hidden="1" x14ac:dyDescent="0.4">
      <c r="A111" s="434">
        <v>1</v>
      </c>
      <c r="B111" s="1448" t="s">
        <v>1458</v>
      </c>
      <c r="C111" s="1448" t="s">
        <v>1436</v>
      </c>
      <c r="D111" s="434" t="s">
        <v>82</v>
      </c>
      <c r="F111" s="1448" t="s">
        <v>1749</v>
      </c>
      <c r="G111" s="1449">
        <v>100</v>
      </c>
      <c r="H111" s="1448" t="s">
        <v>534</v>
      </c>
      <c r="I111" s="1448" t="s">
        <v>534</v>
      </c>
      <c r="J111" s="1450"/>
      <c r="K111" s="1450"/>
      <c r="L111" s="1450"/>
    </row>
    <row r="112" spans="1:12" s="1448" customFormat="1" hidden="1" x14ac:dyDescent="0.4">
      <c r="A112" s="434">
        <v>1</v>
      </c>
      <c r="B112" s="1448" t="s">
        <v>1458</v>
      </c>
      <c r="C112" s="1448" t="s">
        <v>1436</v>
      </c>
      <c r="D112" s="434" t="s">
        <v>84</v>
      </c>
      <c r="F112" s="1448" t="s">
        <v>1749</v>
      </c>
      <c r="G112" s="1449">
        <v>1246700</v>
      </c>
      <c r="H112" s="1448" t="s">
        <v>534</v>
      </c>
      <c r="I112" s="1448" t="s">
        <v>534</v>
      </c>
      <c r="J112" s="1450"/>
      <c r="K112" s="1450"/>
      <c r="L112" s="1450"/>
    </row>
    <row r="113" spans="1:12" s="1448" customFormat="1" hidden="1" x14ac:dyDescent="0.4">
      <c r="A113" s="434">
        <v>1</v>
      </c>
      <c r="B113" s="1448" t="s">
        <v>1458</v>
      </c>
      <c r="C113" s="1448" t="s">
        <v>1436</v>
      </c>
      <c r="D113" s="434" t="s">
        <v>86</v>
      </c>
      <c r="F113" s="1448" t="s">
        <v>1749</v>
      </c>
      <c r="G113" s="1449">
        <v>1150300</v>
      </c>
      <c r="H113" s="1448" t="s">
        <v>534</v>
      </c>
      <c r="I113" s="1448" t="s">
        <v>534</v>
      </c>
      <c r="J113" s="1450"/>
      <c r="K113" s="1450"/>
      <c r="L113" s="1450"/>
    </row>
    <row r="114" spans="1:12" s="1448" customFormat="1" hidden="1" x14ac:dyDescent="0.4">
      <c r="A114" s="434">
        <v>1</v>
      </c>
      <c r="B114" s="1448" t="s">
        <v>1458</v>
      </c>
      <c r="C114" s="1448" t="s">
        <v>1436</v>
      </c>
      <c r="D114" s="434" t="s">
        <v>87</v>
      </c>
      <c r="F114" s="1448" t="s">
        <v>1749</v>
      </c>
      <c r="G114" s="1449">
        <v>-200</v>
      </c>
      <c r="H114" s="1448" t="s">
        <v>534</v>
      </c>
      <c r="I114" s="1448" t="s">
        <v>534</v>
      </c>
      <c r="J114" s="1450"/>
      <c r="K114" s="1450"/>
      <c r="L114" s="1450"/>
    </row>
    <row r="115" spans="1:12" s="1448" customFormat="1" hidden="1" x14ac:dyDescent="0.4">
      <c r="A115" s="434">
        <v>1</v>
      </c>
      <c r="B115" s="1448" t="s">
        <v>1458</v>
      </c>
      <c r="C115" s="1448" t="s">
        <v>1436</v>
      </c>
      <c r="D115" s="434" t="s">
        <v>90</v>
      </c>
      <c r="F115" s="1448" t="s">
        <v>1749</v>
      </c>
      <c r="G115" s="1449">
        <v>1384300</v>
      </c>
      <c r="H115" s="1448" t="s">
        <v>534</v>
      </c>
      <c r="I115" s="1448" t="s">
        <v>534</v>
      </c>
      <c r="J115" s="1450"/>
      <c r="K115" s="1450"/>
      <c r="L115" s="1450"/>
    </row>
    <row r="116" spans="1:12" s="1448" customFormat="1" hidden="1" x14ac:dyDescent="0.4">
      <c r="A116" s="434">
        <v>1</v>
      </c>
      <c r="B116" s="1448" t="s">
        <v>1458</v>
      </c>
      <c r="C116" s="1448" t="s">
        <v>1436</v>
      </c>
      <c r="D116" s="434" t="s">
        <v>92</v>
      </c>
      <c r="F116" s="1448" t="s">
        <v>1749</v>
      </c>
      <c r="G116" s="1449">
        <v>74900</v>
      </c>
      <c r="H116" s="1448" t="s">
        <v>534</v>
      </c>
      <c r="I116" s="1448" t="s">
        <v>534</v>
      </c>
      <c r="J116" s="1450"/>
      <c r="K116" s="1450"/>
      <c r="L116" s="1450"/>
    </row>
    <row r="117" spans="1:12" s="1448" customFormat="1" hidden="1" x14ac:dyDescent="0.4">
      <c r="A117" s="434">
        <v>1</v>
      </c>
      <c r="B117" s="1448" t="s">
        <v>1458</v>
      </c>
      <c r="C117" s="1448" t="s">
        <v>1436</v>
      </c>
      <c r="D117" s="434" t="s">
        <v>93</v>
      </c>
      <c r="F117" s="1448" t="s">
        <v>1749</v>
      </c>
      <c r="G117" s="1449">
        <v>224700</v>
      </c>
      <c r="H117" s="1448" t="s">
        <v>534</v>
      </c>
      <c r="I117" s="1448" t="s">
        <v>534</v>
      </c>
      <c r="J117" s="1450"/>
      <c r="K117" s="1450"/>
      <c r="L117" s="1450"/>
    </row>
    <row r="118" spans="1:12" s="1448" customFormat="1" hidden="1" x14ac:dyDescent="0.4">
      <c r="A118" s="434">
        <v>1</v>
      </c>
      <c r="B118" s="1448" t="s">
        <v>1458</v>
      </c>
      <c r="C118" s="1448" t="s">
        <v>1436</v>
      </c>
      <c r="D118" s="434" t="s">
        <v>94</v>
      </c>
      <c r="F118" s="1448" t="s">
        <v>1749</v>
      </c>
      <c r="G118" s="1449">
        <v>747900</v>
      </c>
      <c r="H118" s="1448" t="s">
        <v>534</v>
      </c>
      <c r="I118" s="1448" t="s">
        <v>534</v>
      </c>
      <c r="J118" s="1450"/>
      <c r="K118" s="1450"/>
      <c r="L118" s="1450"/>
    </row>
    <row r="119" spans="1:12" s="1448" customFormat="1" hidden="1" x14ac:dyDescent="0.4">
      <c r="A119" s="434">
        <v>1</v>
      </c>
      <c r="B119" s="1448" t="s">
        <v>1458</v>
      </c>
      <c r="C119" s="1448" t="s">
        <v>1436</v>
      </c>
      <c r="D119" s="434" t="s">
        <v>96</v>
      </c>
      <c r="F119" s="1448" t="s">
        <v>1749</v>
      </c>
      <c r="G119" s="1449">
        <v>74900</v>
      </c>
      <c r="H119" s="1448" t="s">
        <v>534</v>
      </c>
      <c r="I119" s="1448" t="s">
        <v>534</v>
      </c>
      <c r="J119" s="1450"/>
      <c r="K119" s="1450"/>
      <c r="L119" s="1450"/>
    </row>
    <row r="120" spans="1:12" s="1448" customFormat="1" hidden="1" x14ac:dyDescent="0.4">
      <c r="A120" s="434">
        <v>1</v>
      </c>
      <c r="B120" s="1448" t="s">
        <v>1458</v>
      </c>
      <c r="C120" s="1448" t="s">
        <v>1436</v>
      </c>
      <c r="D120" s="434" t="s">
        <v>510</v>
      </c>
      <c r="F120" s="1448" t="s">
        <v>1749</v>
      </c>
      <c r="G120" s="1449">
        <v>811200</v>
      </c>
      <c r="H120" s="1448" t="s">
        <v>534</v>
      </c>
      <c r="I120" s="1448" t="s">
        <v>534</v>
      </c>
      <c r="J120" s="1450"/>
      <c r="K120" s="1450"/>
      <c r="L120" s="1450"/>
    </row>
    <row r="121" spans="1:12" s="1448" customFormat="1" hidden="1" x14ac:dyDescent="0.4">
      <c r="A121" s="434">
        <v>1</v>
      </c>
      <c r="B121" s="1448" t="s">
        <v>1458</v>
      </c>
      <c r="C121" s="1448" t="s">
        <v>1436</v>
      </c>
      <c r="D121" s="434" t="s">
        <v>100</v>
      </c>
      <c r="F121" s="1448" t="s">
        <v>1749</v>
      </c>
      <c r="G121" s="1449">
        <v>448900</v>
      </c>
      <c r="H121" s="1448" t="s">
        <v>534</v>
      </c>
      <c r="I121" s="1448" t="s">
        <v>534</v>
      </c>
      <c r="J121" s="1450"/>
      <c r="K121" s="1450"/>
      <c r="L121" s="1450"/>
    </row>
    <row r="122" spans="1:12" s="1448" customFormat="1" hidden="1" x14ac:dyDescent="0.4">
      <c r="A122" s="434">
        <v>1</v>
      </c>
      <c r="B122" s="1448" t="s">
        <v>1458</v>
      </c>
      <c r="C122" s="1448" t="s">
        <v>1436</v>
      </c>
      <c r="D122" s="434" t="s">
        <v>101</v>
      </c>
      <c r="F122" s="1448" t="s">
        <v>1749</v>
      </c>
      <c r="G122" s="1449">
        <v>224700</v>
      </c>
      <c r="H122" s="1448" t="s">
        <v>534</v>
      </c>
      <c r="I122" s="1448" t="s">
        <v>534</v>
      </c>
      <c r="J122" s="1450"/>
      <c r="K122" s="1450"/>
      <c r="L122" s="1450"/>
    </row>
    <row r="123" spans="1:12" hidden="1" x14ac:dyDescent="0.4">
      <c r="A123" s="434">
        <v>1</v>
      </c>
      <c r="B123" s="434" t="s">
        <v>1458</v>
      </c>
      <c r="C123" s="434" t="s">
        <v>1439</v>
      </c>
      <c r="D123" s="434" t="s">
        <v>106</v>
      </c>
      <c r="E123" s="434" t="s">
        <v>1366</v>
      </c>
      <c r="F123" s="434" t="s">
        <v>1459</v>
      </c>
      <c r="G123" s="593">
        <v>3879200</v>
      </c>
      <c r="H123" s="434" t="s">
        <v>1441</v>
      </c>
      <c r="I123" s="434" t="s">
        <v>1438</v>
      </c>
    </row>
    <row r="124" spans="1:12" hidden="1" x14ac:dyDescent="0.4">
      <c r="A124" s="434">
        <v>1</v>
      </c>
      <c r="B124" s="434" t="s">
        <v>1458</v>
      </c>
      <c r="C124" s="434" t="s">
        <v>1439</v>
      </c>
      <c r="D124" s="434" t="s">
        <v>116</v>
      </c>
      <c r="E124" s="434" t="s">
        <v>1370</v>
      </c>
      <c r="F124" s="434" t="s">
        <v>1460</v>
      </c>
      <c r="G124" s="593">
        <v>157300</v>
      </c>
      <c r="H124" s="434" t="s">
        <v>1441</v>
      </c>
      <c r="I124" s="434" t="s">
        <v>1438</v>
      </c>
    </row>
    <row r="125" spans="1:12" hidden="1" x14ac:dyDescent="0.4">
      <c r="A125" s="434">
        <v>1</v>
      </c>
      <c r="B125" s="434" t="s">
        <v>1458</v>
      </c>
      <c r="C125" s="434" t="s">
        <v>1439</v>
      </c>
      <c r="D125" s="434" t="s">
        <v>118</v>
      </c>
      <c r="E125" s="434" t="s">
        <v>1371</v>
      </c>
      <c r="F125" s="434" t="s">
        <v>1443</v>
      </c>
      <c r="G125" s="593">
        <v>556200</v>
      </c>
      <c r="H125" s="434" t="s">
        <v>1441</v>
      </c>
      <c r="I125" s="434" t="s">
        <v>1438</v>
      </c>
    </row>
    <row r="126" spans="1:12" x14ac:dyDescent="0.4">
      <c r="A126" s="434">
        <v>1</v>
      </c>
      <c r="B126" s="434" t="s">
        <v>1458</v>
      </c>
      <c r="C126" s="434" t="s">
        <v>1439</v>
      </c>
      <c r="D126" s="434" t="s">
        <v>326</v>
      </c>
      <c r="E126" s="434" t="s">
        <v>1373</v>
      </c>
      <c r="F126" s="434" t="s">
        <v>1461</v>
      </c>
      <c r="G126" s="593">
        <v>240700</v>
      </c>
      <c r="H126" s="434" t="s">
        <v>534</v>
      </c>
      <c r="I126" s="434" t="s">
        <v>534</v>
      </c>
    </row>
    <row r="127" spans="1:12" hidden="1" x14ac:dyDescent="0.4">
      <c r="A127" s="434">
        <v>1</v>
      </c>
      <c r="B127" s="434" t="s">
        <v>1458</v>
      </c>
      <c r="C127" s="434" t="s">
        <v>1439</v>
      </c>
      <c r="D127" s="434" t="s">
        <v>127</v>
      </c>
      <c r="E127" s="434" t="s">
        <v>1375</v>
      </c>
      <c r="F127" s="434" t="s">
        <v>1462</v>
      </c>
      <c r="G127" s="593">
        <v>500000</v>
      </c>
      <c r="H127" s="434" t="s">
        <v>534</v>
      </c>
      <c r="I127" s="434" t="s">
        <v>534</v>
      </c>
    </row>
    <row r="128" spans="1:12" hidden="1" x14ac:dyDescent="0.4">
      <c r="A128" s="434">
        <v>1</v>
      </c>
      <c r="B128" s="434" t="s">
        <v>1458</v>
      </c>
      <c r="C128" s="434" t="s">
        <v>1439</v>
      </c>
      <c r="D128" s="434" t="s">
        <v>399</v>
      </c>
      <c r="E128" s="434" t="s">
        <v>1382</v>
      </c>
      <c r="F128" s="434" t="s">
        <v>1463</v>
      </c>
      <c r="G128" s="593">
        <v>5500000</v>
      </c>
      <c r="H128" s="434" t="s">
        <v>534</v>
      </c>
      <c r="I128" s="434" t="s">
        <v>534</v>
      </c>
    </row>
    <row r="129" spans="1:9" hidden="1" x14ac:dyDescent="0.4">
      <c r="A129" s="434">
        <v>1</v>
      </c>
      <c r="B129" s="434" t="s">
        <v>1458</v>
      </c>
      <c r="C129" s="434" t="s">
        <v>1439</v>
      </c>
      <c r="D129" s="434" t="s">
        <v>141</v>
      </c>
      <c r="E129" s="434" t="s">
        <v>1383</v>
      </c>
      <c r="F129" s="434" t="s">
        <v>1464</v>
      </c>
      <c r="G129" s="593">
        <v>10000000</v>
      </c>
      <c r="H129" s="434" t="s">
        <v>534</v>
      </c>
      <c r="I129" s="434" t="s">
        <v>534</v>
      </c>
    </row>
    <row r="130" spans="1:9" hidden="1" x14ac:dyDescent="0.4">
      <c r="A130" s="434">
        <v>1</v>
      </c>
      <c r="B130" s="434" t="s">
        <v>1458</v>
      </c>
      <c r="C130" s="434" t="s">
        <v>1439</v>
      </c>
      <c r="D130" s="434" t="s">
        <v>145</v>
      </c>
      <c r="E130" s="434" t="s">
        <v>1385</v>
      </c>
      <c r="F130" s="434" t="s">
        <v>1448</v>
      </c>
      <c r="G130" s="593">
        <v>1141200</v>
      </c>
      <c r="H130" s="434" t="s">
        <v>534</v>
      </c>
      <c r="I130" s="434" t="s">
        <v>534</v>
      </c>
    </row>
    <row r="131" spans="1:9" hidden="1" x14ac:dyDescent="0.4">
      <c r="A131" s="434">
        <v>1</v>
      </c>
      <c r="B131" s="434" t="s">
        <v>1458</v>
      </c>
      <c r="C131" s="434" t="s">
        <v>1439</v>
      </c>
      <c r="D131" s="434" t="s">
        <v>151</v>
      </c>
      <c r="E131" s="434" t="s">
        <v>1387</v>
      </c>
      <c r="F131" s="434" t="s">
        <v>1465</v>
      </c>
      <c r="G131" s="593">
        <v>80000</v>
      </c>
      <c r="H131" s="434" t="s">
        <v>534</v>
      </c>
      <c r="I131" s="434" t="s">
        <v>534</v>
      </c>
    </row>
    <row r="132" spans="1:9" hidden="1" x14ac:dyDescent="0.4">
      <c r="A132" s="434">
        <v>1</v>
      </c>
      <c r="B132" s="434" t="s">
        <v>1458</v>
      </c>
      <c r="C132" s="434" t="s">
        <v>1439</v>
      </c>
      <c r="D132" s="434" t="s">
        <v>153</v>
      </c>
      <c r="E132" s="434" t="s">
        <v>1388</v>
      </c>
      <c r="F132" s="434" t="s">
        <v>1466</v>
      </c>
      <c r="G132" s="593">
        <v>200000</v>
      </c>
      <c r="H132" s="434" t="s">
        <v>534</v>
      </c>
      <c r="I132" s="434" t="s">
        <v>534</v>
      </c>
    </row>
    <row r="133" spans="1:9" hidden="1" x14ac:dyDescent="0.4">
      <c r="A133" s="434">
        <v>1</v>
      </c>
      <c r="B133" s="434" t="s">
        <v>1458</v>
      </c>
      <c r="C133" s="434" t="s">
        <v>1439</v>
      </c>
      <c r="D133" s="434" t="s">
        <v>155</v>
      </c>
      <c r="E133" s="434" t="s">
        <v>1389</v>
      </c>
      <c r="F133" s="434" t="s">
        <v>1467</v>
      </c>
      <c r="G133" s="593">
        <v>1500000</v>
      </c>
      <c r="H133" s="434" t="s">
        <v>534</v>
      </c>
      <c r="I133" s="434" t="s">
        <v>534</v>
      </c>
    </row>
    <row r="134" spans="1:9" hidden="1" x14ac:dyDescent="0.4">
      <c r="A134" s="434">
        <v>1</v>
      </c>
      <c r="B134" s="434" t="s">
        <v>1458</v>
      </c>
      <c r="C134" s="434" t="s">
        <v>1439</v>
      </c>
      <c r="D134" s="434" t="s">
        <v>157</v>
      </c>
      <c r="E134" s="434" t="s">
        <v>1390</v>
      </c>
      <c r="F134" s="434" t="s">
        <v>1468</v>
      </c>
      <c r="G134" s="593">
        <v>2000000</v>
      </c>
      <c r="H134" s="434" t="s">
        <v>534</v>
      </c>
      <c r="I134" s="434" t="s">
        <v>534</v>
      </c>
    </row>
    <row r="135" spans="1:9" hidden="1" x14ac:dyDescent="0.4">
      <c r="A135" s="434">
        <v>1</v>
      </c>
      <c r="B135" s="434" t="s">
        <v>1458</v>
      </c>
      <c r="C135" s="434" t="s">
        <v>1439</v>
      </c>
      <c r="D135" s="434" t="s">
        <v>160</v>
      </c>
      <c r="E135" s="434" t="s">
        <v>1391</v>
      </c>
      <c r="F135" s="434" t="s">
        <v>1469</v>
      </c>
      <c r="G135" s="593">
        <v>683300</v>
      </c>
      <c r="H135" s="434" t="s">
        <v>534</v>
      </c>
      <c r="I135" s="434" t="s">
        <v>534</v>
      </c>
    </row>
    <row r="136" spans="1:9" hidden="1" x14ac:dyDescent="0.4">
      <c r="A136" s="434">
        <v>1</v>
      </c>
      <c r="B136" s="434" t="s">
        <v>1458</v>
      </c>
      <c r="C136" s="434" t="s">
        <v>1439</v>
      </c>
      <c r="D136" s="434" t="s">
        <v>164</v>
      </c>
      <c r="E136" s="434" t="s">
        <v>1392</v>
      </c>
      <c r="F136" s="434" t="s">
        <v>1470</v>
      </c>
      <c r="G136" s="593">
        <v>8000000</v>
      </c>
      <c r="H136" s="434" t="s">
        <v>534</v>
      </c>
      <c r="I136" s="434" t="s">
        <v>534</v>
      </c>
    </row>
    <row r="137" spans="1:9" hidden="1" x14ac:dyDescent="0.4">
      <c r="A137" s="434">
        <v>1</v>
      </c>
      <c r="B137" s="434" t="s">
        <v>1458</v>
      </c>
      <c r="C137" s="434" t="s">
        <v>1439</v>
      </c>
      <c r="D137" s="434" t="s">
        <v>182</v>
      </c>
      <c r="E137" s="434" t="s">
        <v>1398</v>
      </c>
      <c r="F137" s="434" t="s">
        <v>1471</v>
      </c>
      <c r="G137" s="593">
        <v>4000000</v>
      </c>
      <c r="H137" s="434" t="s">
        <v>534</v>
      </c>
      <c r="I137" s="434" t="s">
        <v>534</v>
      </c>
    </row>
    <row r="138" spans="1:9" hidden="1" x14ac:dyDescent="0.4">
      <c r="A138" s="434">
        <v>1</v>
      </c>
      <c r="B138" s="434" t="s">
        <v>1544</v>
      </c>
      <c r="C138" s="434" t="s">
        <v>1439</v>
      </c>
      <c r="D138" s="434" t="s">
        <v>182</v>
      </c>
      <c r="E138" s="434" t="s">
        <v>1398</v>
      </c>
      <c r="F138" s="434" t="s">
        <v>1748</v>
      </c>
      <c r="G138" s="593">
        <v>35000000</v>
      </c>
      <c r="H138" s="434" t="s">
        <v>534</v>
      </c>
      <c r="I138" s="434" t="s">
        <v>534</v>
      </c>
    </row>
    <row r="139" spans="1:9" hidden="1" x14ac:dyDescent="0.4">
      <c r="A139" s="434">
        <v>1</v>
      </c>
      <c r="B139" s="434" t="s">
        <v>1472</v>
      </c>
      <c r="C139" s="434" t="s">
        <v>1436</v>
      </c>
      <c r="D139" s="434" t="s">
        <v>72</v>
      </c>
      <c r="E139" s="434" t="s">
        <v>1348</v>
      </c>
      <c r="F139" s="434" t="s">
        <v>1437</v>
      </c>
      <c r="G139" s="593">
        <v>101311000</v>
      </c>
      <c r="H139" s="434" t="s">
        <v>1438</v>
      </c>
      <c r="I139" s="434" t="s">
        <v>1438</v>
      </c>
    </row>
    <row r="140" spans="1:9" hidden="1" x14ac:dyDescent="0.4">
      <c r="A140" s="434">
        <v>1</v>
      </c>
      <c r="B140" s="434" t="s">
        <v>1472</v>
      </c>
      <c r="C140" s="434" t="s">
        <v>1436</v>
      </c>
      <c r="D140" s="434" t="s">
        <v>80</v>
      </c>
      <c r="E140" s="434" t="s">
        <v>1332</v>
      </c>
      <c r="F140" s="434" t="s">
        <v>481</v>
      </c>
      <c r="G140" s="593">
        <v>11647200</v>
      </c>
      <c r="H140" s="434" t="s">
        <v>1438</v>
      </c>
      <c r="I140" s="434" t="s">
        <v>1438</v>
      </c>
    </row>
    <row r="141" spans="1:9" hidden="1" x14ac:dyDescent="0.4">
      <c r="A141" s="434">
        <v>1</v>
      </c>
      <c r="B141" s="434" t="s">
        <v>1472</v>
      </c>
      <c r="C141" s="434" t="s">
        <v>1436</v>
      </c>
      <c r="D141" s="434" t="s">
        <v>82</v>
      </c>
      <c r="E141" s="434" t="s">
        <v>1333</v>
      </c>
      <c r="F141" s="434" t="s">
        <v>482</v>
      </c>
      <c r="G141" s="593">
        <v>26641400</v>
      </c>
      <c r="H141" s="434" t="s">
        <v>1438</v>
      </c>
      <c r="I141" s="434" t="s">
        <v>1438</v>
      </c>
    </row>
    <row r="142" spans="1:9" hidden="1" x14ac:dyDescent="0.4">
      <c r="A142" s="434">
        <v>1</v>
      </c>
      <c r="B142" s="434" t="s">
        <v>1472</v>
      </c>
      <c r="C142" s="434" t="s">
        <v>1436</v>
      </c>
      <c r="D142" s="434" t="s">
        <v>84</v>
      </c>
      <c r="E142" s="434" t="s">
        <v>1355</v>
      </c>
      <c r="F142" s="434" t="s">
        <v>483</v>
      </c>
      <c r="G142" s="593">
        <v>13041500</v>
      </c>
      <c r="H142" s="434" t="s">
        <v>1438</v>
      </c>
      <c r="I142" s="434" t="s">
        <v>1438</v>
      </c>
    </row>
    <row r="143" spans="1:9" hidden="1" x14ac:dyDescent="0.4">
      <c r="A143" s="434">
        <v>1</v>
      </c>
      <c r="B143" s="434" t="s">
        <v>1472</v>
      </c>
      <c r="C143" s="434" t="s">
        <v>1436</v>
      </c>
      <c r="D143" s="434" t="s">
        <v>86</v>
      </c>
      <c r="E143" s="434" t="s">
        <v>1356</v>
      </c>
      <c r="F143" s="434" t="s">
        <v>484</v>
      </c>
      <c r="G143" s="593">
        <v>11729200</v>
      </c>
      <c r="H143" s="434" t="s">
        <v>1438</v>
      </c>
      <c r="I143" s="434" t="s">
        <v>1438</v>
      </c>
    </row>
    <row r="144" spans="1:9" hidden="1" x14ac:dyDescent="0.4">
      <c r="A144" s="434">
        <v>1</v>
      </c>
      <c r="B144" s="434" t="s">
        <v>1472</v>
      </c>
      <c r="C144" s="434" t="s">
        <v>1436</v>
      </c>
      <c r="D144" s="434" t="s">
        <v>87</v>
      </c>
      <c r="E144" s="434" t="s">
        <v>1334</v>
      </c>
      <c r="F144" s="434" t="s">
        <v>485</v>
      </c>
      <c r="G144" s="593">
        <v>5168800</v>
      </c>
      <c r="H144" s="434" t="s">
        <v>1438</v>
      </c>
      <c r="I144" s="434" t="s">
        <v>1438</v>
      </c>
    </row>
    <row r="145" spans="1:12" hidden="1" x14ac:dyDescent="0.4">
      <c r="A145" s="434">
        <v>1</v>
      </c>
      <c r="B145" s="434" t="s">
        <v>1472</v>
      </c>
      <c r="C145" s="434" t="s">
        <v>1436</v>
      </c>
      <c r="D145" s="434" t="s">
        <v>90</v>
      </c>
      <c r="E145" s="434" t="s">
        <v>1357</v>
      </c>
      <c r="F145" s="434" t="s">
        <v>486</v>
      </c>
      <c r="G145" s="593">
        <v>14476000</v>
      </c>
      <c r="H145" s="434" t="s">
        <v>1438</v>
      </c>
      <c r="I145" s="434" t="s">
        <v>1438</v>
      </c>
    </row>
    <row r="146" spans="1:12" hidden="1" x14ac:dyDescent="0.4">
      <c r="A146" s="434">
        <v>1</v>
      </c>
      <c r="B146" s="434" t="s">
        <v>1472</v>
      </c>
      <c r="C146" s="434" t="s">
        <v>1436</v>
      </c>
      <c r="D146" s="434" t="s">
        <v>92</v>
      </c>
      <c r="E146" s="434" t="s">
        <v>1358</v>
      </c>
      <c r="F146" s="434" t="s">
        <v>487</v>
      </c>
      <c r="G146" s="593">
        <v>782500</v>
      </c>
      <c r="H146" s="434" t="s">
        <v>1438</v>
      </c>
      <c r="I146" s="434" t="s">
        <v>1438</v>
      </c>
    </row>
    <row r="147" spans="1:12" hidden="1" x14ac:dyDescent="0.4">
      <c r="A147" s="434">
        <v>1</v>
      </c>
      <c r="B147" s="434" t="s">
        <v>1472</v>
      </c>
      <c r="C147" s="434" t="s">
        <v>1436</v>
      </c>
      <c r="D147" s="434" t="s">
        <v>93</v>
      </c>
      <c r="E147" s="434" t="s">
        <v>1359</v>
      </c>
      <c r="F147" s="434" t="s">
        <v>488</v>
      </c>
      <c r="G147" s="593">
        <v>2347500</v>
      </c>
      <c r="H147" s="434" t="s">
        <v>1438</v>
      </c>
      <c r="I147" s="434" t="s">
        <v>1438</v>
      </c>
    </row>
    <row r="148" spans="1:12" hidden="1" x14ac:dyDescent="0.4">
      <c r="A148" s="434">
        <v>1</v>
      </c>
      <c r="B148" s="434" t="s">
        <v>1472</v>
      </c>
      <c r="C148" s="434" t="s">
        <v>1436</v>
      </c>
      <c r="D148" s="434" t="s">
        <v>94</v>
      </c>
      <c r="E148" s="434" t="s">
        <v>1360</v>
      </c>
      <c r="F148" s="434" t="s">
        <v>489</v>
      </c>
      <c r="G148" s="593">
        <v>7824900</v>
      </c>
      <c r="H148" s="434" t="s">
        <v>1438</v>
      </c>
      <c r="I148" s="434" t="s">
        <v>1438</v>
      </c>
    </row>
    <row r="149" spans="1:12" hidden="1" x14ac:dyDescent="0.4">
      <c r="A149" s="434">
        <v>1</v>
      </c>
      <c r="B149" s="434" t="s">
        <v>1472</v>
      </c>
      <c r="C149" s="434" t="s">
        <v>1436</v>
      </c>
      <c r="D149" s="434" t="s">
        <v>96</v>
      </c>
      <c r="E149" s="434" t="s">
        <v>1361</v>
      </c>
      <c r="F149" s="434" t="s">
        <v>490</v>
      </c>
      <c r="G149" s="593">
        <v>782500</v>
      </c>
      <c r="H149" s="434" t="s">
        <v>1438</v>
      </c>
      <c r="I149" s="434" t="s">
        <v>1438</v>
      </c>
    </row>
    <row r="150" spans="1:12" hidden="1" x14ac:dyDescent="0.4">
      <c r="A150" s="434">
        <v>1</v>
      </c>
      <c r="B150" s="434" t="s">
        <v>1472</v>
      </c>
      <c r="C150" s="434" t="s">
        <v>1436</v>
      </c>
      <c r="D150" s="434" t="s">
        <v>510</v>
      </c>
      <c r="E150" s="434" t="s">
        <v>1362</v>
      </c>
      <c r="F150" s="434" t="s">
        <v>491</v>
      </c>
      <c r="G150" s="593">
        <v>8482200</v>
      </c>
      <c r="H150" s="434" t="s">
        <v>1438</v>
      </c>
      <c r="I150" s="434" t="s">
        <v>1438</v>
      </c>
    </row>
    <row r="151" spans="1:12" hidden="1" x14ac:dyDescent="0.4">
      <c r="A151" s="434">
        <v>1</v>
      </c>
      <c r="B151" s="434" t="s">
        <v>1472</v>
      </c>
      <c r="C151" s="434" t="s">
        <v>1436</v>
      </c>
      <c r="D151" s="434" t="s">
        <v>100</v>
      </c>
      <c r="E151" s="434" t="s">
        <v>1363</v>
      </c>
      <c r="F151" s="434" t="s">
        <v>491</v>
      </c>
      <c r="G151" s="593">
        <v>4695000</v>
      </c>
      <c r="H151" s="434" t="s">
        <v>1438</v>
      </c>
      <c r="I151" s="434" t="s">
        <v>1438</v>
      </c>
    </row>
    <row r="152" spans="1:12" hidden="1" x14ac:dyDescent="0.4">
      <c r="A152" s="434">
        <v>1</v>
      </c>
      <c r="B152" s="434" t="s">
        <v>1472</v>
      </c>
      <c r="C152" s="434" t="s">
        <v>1436</v>
      </c>
      <c r="D152" s="434" t="s">
        <v>101</v>
      </c>
      <c r="E152" s="434" t="s">
        <v>1364</v>
      </c>
      <c r="F152" s="434" t="s">
        <v>1135</v>
      </c>
      <c r="G152" s="593">
        <v>2347500</v>
      </c>
      <c r="H152" s="434" t="s">
        <v>1438</v>
      </c>
      <c r="I152" s="434" t="s">
        <v>1438</v>
      </c>
    </row>
    <row r="153" spans="1:12" s="1448" customFormat="1" hidden="1" x14ac:dyDescent="0.4">
      <c r="A153" s="434">
        <v>1</v>
      </c>
      <c r="B153" s="1448" t="s">
        <v>1472</v>
      </c>
      <c r="C153" s="1448" t="s">
        <v>1436</v>
      </c>
      <c r="D153" s="434" t="s">
        <v>72</v>
      </c>
      <c r="F153" s="1448" t="s">
        <v>1749</v>
      </c>
      <c r="G153" s="1449">
        <v>18628500</v>
      </c>
      <c r="H153" s="1448" t="s">
        <v>534</v>
      </c>
      <c r="I153" s="1448" t="s">
        <v>534</v>
      </c>
      <c r="J153" s="1450"/>
      <c r="K153" s="1450"/>
      <c r="L153" s="1450"/>
    </row>
    <row r="154" spans="1:12" s="1448" customFormat="1" hidden="1" x14ac:dyDescent="0.4">
      <c r="A154" s="434">
        <v>1</v>
      </c>
      <c r="B154" s="1448" t="s">
        <v>1472</v>
      </c>
      <c r="C154" s="1448" t="s">
        <v>1436</v>
      </c>
      <c r="D154" s="434" t="s">
        <v>80</v>
      </c>
      <c r="F154" s="1448" t="s">
        <v>1749</v>
      </c>
      <c r="G154" s="1449">
        <v>-200</v>
      </c>
      <c r="H154" s="1448" t="s">
        <v>534</v>
      </c>
      <c r="I154" s="1448" t="s">
        <v>534</v>
      </c>
      <c r="J154" s="1450"/>
      <c r="K154" s="1450"/>
      <c r="L154" s="1450"/>
    </row>
    <row r="155" spans="1:12" s="1448" customFormat="1" hidden="1" x14ac:dyDescent="0.4">
      <c r="A155" s="434">
        <v>1</v>
      </c>
      <c r="B155" s="1448" t="s">
        <v>1472</v>
      </c>
      <c r="C155" s="1448" t="s">
        <v>1436</v>
      </c>
      <c r="D155" s="434" t="s">
        <v>82</v>
      </c>
      <c r="F155" s="1448" t="s">
        <v>1749</v>
      </c>
      <c r="G155" s="1449">
        <v>100</v>
      </c>
      <c r="H155" s="1448" t="s">
        <v>534</v>
      </c>
      <c r="I155" s="1448" t="s">
        <v>534</v>
      </c>
      <c r="J155" s="1450"/>
      <c r="K155" s="1450"/>
      <c r="L155" s="1450"/>
    </row>
    <row r="156" spans="1:12" s="1448" customFormat="1" hidden="1" x14ac:dyDescent="0.4">
      <c r="A156" s="434">
        <v>1</v>
      </c>
      <c r="B156" s="1448" t="s">
        <v>1472</v>
      </c>
      <c r="C156" s="1448" t="s">
        <v>1436</v>
      </c>
      <c r="D156" s="434" t="s">
        <v>84</v>
      </c>
      <c r="F156" s="1448" t="s">
        <v>1749</v>
      </c>
      <c r="G156" s="1449">
        <v>1681500</v>
      </c>
      <c r="H156" s="1448" t="s">
        <v>534</v>
      </c>
      <c r="I156" s="1448" t="s">
        <v>534</v>
      </c>
      <c r="J156" s="1450"/>
      <c r="K156" s="1450"/>
      <c r="L156" s="1450"/>
    </row>
    <row r="157" spans="1:12" s="1448" customFormat="1" hidden="1" x14ac:dyDescent="0.4">
      <c r="A157" s="434">
        <v>1</v>
      </c>
      <c r="B157" s="1448" t="s">
        <v>1472</v>
      </c>
      <c r="C157" s="1448" t="s">
        <v>1436</v>
      </c>
      <c r="D157" s="434" t="s">
        <v>86</v>
      </c>
      <c r="F157" s="1448" t="s">
        <v>1749</v>
      </c>
      <c r="G157" s="1449">
        <v>1551800</v>
      </c>
      <c r="H157" s="1448" t="s">
        <v>534</v>
      </c>
      <c r="I157" s="1448" t="s">
        <v>534</v>
      </c>
      <c r="J157" s="1450"/>
      <c r="K157" s="1450"/>
      <c r="L157" s="1450"/>
    </row>
    <row r="158" spans="1:12" s="1448" customFormat="1" hidden="1" x14ac:dyDescent="0.4">
      <c r="A158" s="434">
        <v>1</v>
      </c>
      <c r="B158" s="1448" t="s">
        <v>1472</v>
      </c>
      <c r="C158" s="1448" t="s">
        <v>1436</v>
      </c>
      <c r="D158" s="434" t="s">
        <v>87</v>
      </c>
      <c r="F158" s="1448" t="s">
        <v>1749</v>
      </c>
      <c r="G158" s="1449">
        <v>200</v>
      </c>
      <c r="H158" s="1448" t="s">
        <v>534</v>
      </c>
      <c r="I158" s="1448" t="s">
        <v>534</v>
      </c>
      <c r="J158" s="1450"/>
      <c r="K158" s="1450"/>
      <c r="L158" s="1450"/>
    </row>
    <row r="159" spans="1:12" s="1448" customFormat="1" hidden="1" x14ac:dyDescent="0.4">
      <c r="A159" s="434">
        <v>1</v>
      </c>
      <c r="B159" s="1448" t="s">
        <v>1472</v>
      </c>
      <c r="C159" s="1448" t="s">
        <v>1436</v>
      </c>
      <c r="D159" s="434" t="s">
        <v>90</v>
      </c>
      <c r="F159" s="1448" t="s">
        <v>1749</v>
      </c>
      <c r="G159" s="1449">
        <v>1866500</v>
      </c>
      <c r="H159" s="1448" t="s">
        <v>534</v>
      </c>
      <c r="I159" s="1448" t="s">
        <v>534</v>
      </c>
      <c r="J159" s="1450"/>
      <c r="K159" s="1450"/>
      <c r="L159" s="1450"/>
    </row>
    <row r="160" spans="1:12" s="1448" customFormat="1" hidden="1" x14ac:dyDescent="0.4">
      <c r="A160" s="434">
        <v>1</v>
      </c>
      <c r="B160" s="1448" t="s">
        <v>1472</v>
      </c>
      <c r="C160" s="1448" t="s">
        <v>1436</v>
      </c>
      <c r="D160" s="434" t="s">
        <v>92</v>
      </c>
      <c r="F160" s="1448" t="s">
        <v>1749</v>
      </c>
      <c r="G160" s="1449">
        <v>101000</v>
      </c>
      <c r="H160" s="1448" t="s">
        <v>534</v>
      </c>
      <c r="I160" s="1448" t="s">
        <v>534</v>
      </c>
      <c r="J160" s="1450"/>
      <c r="K160" s="1450"/>
      <c r="L160" s="1450"/>
    </row>
    <row r="161" spans="1:12" s="1448" customFormat="1" hidden="1" x14ac:dyDescent="0.4">
      <c r="A161" s="434">
        <v>1</v>
      </c>
      <c r="B161" s="1448" t="s">
        <v>1472</v>
      </c>
      <c r="C161" s="1448" t="s">
        <v>1436</v>
      </c>
      <c r="D161" s="434" t="s">
        <v>93</v>
      </c>
      <c r="F161" s="1448" t="s">
        <v>1749</v>
      </c>
      <c r="G161" s="1449">
        <v>302500</v>
      </c>
      <c r="H161" s="1448" t="s">
        <v>534</v>
      </c>
      <c r="I161" s="1448" t="s">
        <v>534</v>
      </c>
      <c r="J161" s="1450"/>
      <c r="K161" s="1450"/>
      <c r="L161" s="1450"/>
    </row>
    <row r="162" spans="1:12" s="1448" customFormat="1" hidden="1" x14ac:dyDescent="0.4">
      <c r="A162" s="434">
        <v>1</v>
      </c>
      <c r="B162" s="1448" t="s">
        <v>1472</v>
      </c>
      <c r="C162" s="1448" t="s">
        <v>1436</v>
      </c>
      <c r="D162" s="434" t="s">
        <v>94</v>
      </c>
      <c r="F162" s="1448" t="s">
        <v>1749</v>
      </c>
      <c r="G162" s="1449">
        <v>1009100</v>
      </c>
      <c r="H162" s="1448" t="s">
        <v>534</v>
      </c>
      <c r="I162" s="1448" t="s">
        <v>534</v>
      </c>
      <c r="J162" s="1450"/>
      <c r="K162" s="1450"/>
      <c r="L162" s="1450"/>
    </row>
    <row r="163" spans="1:12" s="1448" customFormat="1" hidden="1" x14ac:dyDescent="0.4">
      <c r="A163" s="434">
        <v>1</v>
      </c>
      <c r="B163" s="1448" t="s">
        <v>1472</v>
      </c>
      <c r="C163" s="1448" t="s">
        <v>1436</v>
      </c>
      <c r="D163" s="434" t="s">
        <v>96</v>
      </c>
      <c r="F163" s="1448" t="s">
        <v>1749</v>
      </c>
      <c r="G163" s="1449">
        <v>101000</v>
      </c>
      <c r="H163" s="1448" t="s">
        <v>534</v>
      </c>
      <c r="I163" s="1448" t="s">
        <v>534</v>
      </c>
      <c r="J163" s="1450"/>
      <c r="K163" s="1450"/>
      <c r="L163" s="1450"/>
    </row>
    <row r="164" spans="1:12" s="1448" customFormat="1" hidden="1" x14ac:dyDescent="0.4">
      <c r="A164" s="434">
        <v>1</v>
      </c>
      <c r="B164" s="1448" t="s">
        <v>1472</v>
      </c>
      <c r="C164" s="1448" t="s">
        <v>1436</v>
      </c>
      <c r="D164" s="434" t="s">
        <v>510</v>
      </c>
      <c r="F164" s="1448" t="s">
        <v>1749</v>
      </c>
      <c r="G164" s="1449">
        <v>1093800</v>
      </c>
      <c r="H164" s="1448" t="s">
        <v>534</v>
      </c>
      <c r="I164" s="1448" t="s">
        <v>534</v>
      </c>
      <c r="J164" s="1450"/>
      <c r="K164" s="1450"/>
      <c r="L164" s="1450"/>
    </row>
    <row r="165" spans="1:12" s="1448" customFormat="1" hidden="1" x14ac:dyDescent="0.4">
      <c r="A165" s="434">
        <v>1</v>
      </c>
      <c r="B165" s="1448" t="s">
        <v>1472</v>
      </c>
      <c r="C165" s="1448" t="s">
        <v>1436</v>
      </c>
      <c r="D165" s="434" t="s">
        <v>100</v>
      </c>
      <c r="F165" s="1448" t="s">
        <v>1749</v>
      </c>
      <c r="G165" s="1449">
        <v>605500</v>
      </c>
      <c r="H165" s="1448" t="s">
        <v>534</v>
      </c>
      <c r="I165" s="1448" t="s">
        <v>534</v>
      </c>
      <c r="J165" s="1450"/>
      <c r="K165" s="1450"/>
      <c r="L165" s="1450"/>
    </row>
    <row r="166" spans="1:12" s="1448" customFormat="1" hidden="1" x14ac:dyDescent="0.4">
      <c r="A166" s="434">
        <v>1</v>
      </c>
      <c r="B166" s="1448" t="s">
        <v>1472</v>
      </c>
      <c r="C166" s="1448" t="s">
        <v>1436</v>
      </c>
      <c r="D166" s="434" t="s">
        <v>101</v>
      </c>
      <c r="F166" s="1448" t="s">
        <v>1749</v>
      </c>
      <c r="G166" s="1449">
        <v>302500</v>
      </c>
      <c r="H166" s="1448" t="s">
        <v>534</v>
      </c>
      <c r="I166" s="1448" t="s">
        <v>534</v>
      </c>
      <c r="J166" s="1450"/>
      <c r="K166" s="1450"/>
      <c r="L166" s="1450"/>
    </row>
    <row r="167" spans="1:12" hidden="1" x14ac:dyDescent="0.4">
      <c r="A167" s="434">
        <v>1</v>
      </c>
      <c r="B167" s="434" t="s">
        <v>1472</v>
      </c>
      <c r="C167" s="434" t="s">
        <v>1439</v>
      </c>
      <c r="D167" s="434" t="s">
        <v>106</v>
      </c>
      <c r="E167" s="434" t="s">
        <v>1366</v>
      </c>
      <c r="F167" s="434" t="s">
        <v>1473</v>
      </c>
      <c r="G167" s="593">
        <v>2195100</v>
      </c>
      <c r="H167" s="434" t="s">
        <v>1441</v>
      </c>
      <c r="I167" s="434" t="s">
        <v>1438</v>
      </c>
    </row>
    <row r="168" spans="1:12" hidden="1" x14ac:dyDescent="0.4">
      <c r="A168" s="434">
        <v>1</v>
      </c>
      <c r="B168" s="434" t="s">
        <v>1472</v>
      </c>
      <c r="C168" s="434" t="s">
        <v>1439</v>
      </c>
      <c r="D168" s="434" t="s">
        <v>116</v>
      </c>
      <c r="E168" s="434" t="s">
        <v>1370</v>
      </c>
      <c r="F168" s="434" t="s">
        <v>1442</v>
      </c>
      <c r="G168" s="593">
        <v>89000</v>
      </c>
      <c r="H168" s="434" t="s">
        <v>1441</v>
      </c>
      <c r="I168" s="434" t="s">
        <v>1438</v>
      </c>
    </row>
    <row r="169" spans="1:12" hidden="1" x14ac:dyDescent="0.4">
      <c r="A169" s="434">
        <v>1</v>
      </c>
      <c r="B169" s="434" t="s">
        <v>1472</v>
      </c>
      <c r="C169" s="434" t="s">
        <v>1439</v>
      </c>
      <c r="D169" s="434" t="s">
        <v>118</v>
      </c>
      <c r="E169" s="434" t="s">
        <v>1371</v>
      </c>
      <c r="F169" s="434" t="s">
        <v>1443</v>
      </c>
      <c r="G169" s="593">
        <v>314800</v>
      </c>
      <c r="H169" s="434" t="s">
        <v>1441</v>
      </c>
      <c r="I169" s="434" t="s">
        <v>1438</v>
      </c>
    </row>
    <row r="170" spans="1:12" x14ac:dyDescent="0.4">
      <c r="A170" s="434">
        <v>1</v>
      </c>
      <c r="B170" s="434" t="s">
        <v>1472</v>
      </c>
      <c r="C170" s="434" t="s">
        <v>1439</v>
      </c>
      <c r="D170" s="434" t="s">
        <v>326</v>
      </c>
      <c r="E170" s="434" t="s">
        <v>1373</v>
      </c>
      <c r="F170" s="434" t="s">
        <v>1444</v>
      </c>
      <c r="G170" s="593">
        <v>136200</v>
      </c>
      <c r="H170" s="434" t="s">
        <v>534</v>
      </c>
      <c r="I170" s="434" t="s">
        <v>534</v>
      </c>
    </row>
    <row r="171" spans="1:12" hidden="1" x14ac:dyDescent="0.4">
      <c r="A171" s="434">
        <v>1</v>
      </c>
      <c r="B171" s="434" t="s">
        <v>1472</v>
      </c>
      <c r="C171" s="434" t="s">
        <v>1439</v>
      </c>
      <c r="D171" s="434" t="s">
        <v>145</v>
      </c>
      <c r="E171" s="434" t="s">
        <v>1385</v>
      </c>
      <c r="F171" s="434" t="s">
        <v>1474</v>
      </c>
      <c r="G171" s="593">
        <v>645800</v>
      </c>
      <c r="H171" s="434" t="s">
        <v>534</v>
      </c>
      <c r="I171" s="434" t="s">
        <v>534</v>
      </c>
    </row>
    <row r="172" spans="1:12" hidden="1" x14ac:dyDescent="0.4">
      <c r="A172" s="434">
        <v>1</v>
      </c>
      <c r="B172" s="434" t="s">
        <v>1472</v>
      </c>
      <c r="C172" s="434" t="s">
        <v>1439</v>
      </c>
      <c r="D172" s="434" t="s">
        <v>147</v>
      </c>
      <c r="E172" s="434" t="s">
        <v>1386</v>
      </c>
      <c r="F172" s="434"/>
      <c r="G172" s="593">
        <v>0</v>
      </c>
      <c r="H172" s="434" t="s">
        <v>534</v>
      </c>
      <c r="I172" s="434" t="s">
        <v>534</v>
      </c>
    </row>
    <row r="173" spans="1:12" hidden="1" x14ac:dyDescent="0.4">
      <c r="A173" s="434">
        <v>1</v>
      </c>
      <c r="B173" s="434" t="s">
        <v>1472</v>
      </c>
      <c r="C173" s="434" t="s">
        <v>1439</v>
      </c>
      <c r="D173" s="434" t="s">
        <v>160</v>
      </c>
      <c r="E173" s="434" t="s">
        <v>1391</v>
      </c>
      <c r="F173" s="434" t="s">
        <v>1449</v>
      </c>
      <c r="G173" s="593">
        <v>1044200</v>
      </c>
      <c r="H173" s="434" t="s">
        <v>534</v>
      </c>
      <c r="I173" s="434" t="s">
        <v>534</v>
      </c>
    </row>
    <row r="174" spans="1:12" hidden="1" x14ac:dyDescent="0.4">
      <c r="A174" s="434">
        <v>1</v>
      </c>
      <c r="B174" s="434" t="s">
        <v>1475</v>
      </c>
      <c r="C174" s="434" t="s">
        <v>1436</v>
      </c>
      <c r="D174" s="434" t="s">
        <v>72</v>
      </c>
      <c r="E174" s="434" t="s">
        <v>1348</v>
      </c>
      <c r="F174" s="434" t="s">
        <v>1437</v>
      </c>
      <c r="G174" s="593">
        <v>31364100</v>
      </c>
      <c r="H174" s="434" t="s">
        <v>1438</v>
      </c>
      <c r="I174" s="434" t="s">
        <v>1438</v>
      </c>
    </row>
    <row r="175" spans="1:12" hidden="1" x14ac:dyDescent="0.4">
      <c r="A175" s="434">
        <v>1</v>
      </c>
      <c r="B175" s="434" t="s">
        <v>1475</v>
      </c>
      <c r="C175" s="434" t="s">
        <v>1436</v>
      </c>
      <c r="D175" s="434" t="s">
        <v>76</v>
      </c>
      <c r="E175" s="434" t="s">
        <v>1352</v>
      </c>
      <c r="F175" s="434" t="s">
        <v>1056</v>
      </c>
      <c r="G175" s="593">
        <v>100000</v>
      </c>
      <c r="H175" s="434" t="s">
        <v>1438</v>
      </c>
      <c r="I175" s="434" t="s">
        <v>1438</v>
      </c>
    </row>
    <row r="176" spans="1:12" hidden="1" x14ac:dyDescent="0.4">
      <c r="A176" s="434">
        <v>1</v>
      </c>
      <c r="B176" s="434" t="s">
        <v>1475</v>
      </c>
      <c r="C176" s="434" t="s">
        <v>1436</v>
      </c>
      <c r="D176" s="434" t="s">
        <v>80</v>
      </c>
      <c r="E176" s="434" t="s">
        <v>1332</v>
      </c>
      <c r="F176" s="434" t="s">
        <v>481</v>
      </c>
      <c r="G176" s="593">
        <v>9537200</v>
      </c>
      <c r="H176" s="434" t="s">
        <v>1438</v>
      </c>
      <c r="I176" s="434" t="s">
        <v>1438</v>
      </c>
    </row>
    <row r="177" spans="1:12" hidden="1" x14ac:dyDescent="0.4">
      <c r="A177" s="434">
        <v>1</v>
      </c>
      <c r="B177" s="434" t="s">
        <v>1475</v>
      </c>
      <c r="C177" s="434" t="s">
        <v>1436</v>
      </c>
      <c r="D177" s="434" t="s">
        <v>82</v>
      </c>
      <c r="E177" s="434" t="s">
        <v>1333</v>
      </c>
      <c r="F177" s="434" t="s">
        <v>482</v>
      </c>
      <c r="G177" s="593">
        <v>9744500</v>
      </c>
      <c r="H177" s="434" t="s">
        <v>1438</v>
      </c>
      <c r="I177" s="434" t="s">
        <v>1438</v>
      </c>
    </row>
    <row r="178" spans="1:12" hidden="1" x14ac:dyDescent="0.4">
      <c r="A178" s="434">
        <v>1</v>
      </c>
      <c r="B178" s="434" t="s">
        <v>1475</v>
      </c>
      <c r="C178" s="434" t="s">
        <v>1436</v>
      </c>
      <c r="D178" s="434" t="s">
        <v>84</v>
      </c>
      <c r="E178" s="434" t="s">
        <v>1355</v>
      </c>
      <c r="F178" s="434" t="s">
        <v>483</v>
      </c>
      <c r="G178" s="593">
        <v>4808500</v>
      </c>
      <c r="H178" s="434" t="s">
        <v>1438</v>
      </c>
      <c r="I178" s="434" t="s">
        <v>1438</v>
      </c>
    </row>
    <row r="179" spans="1:12" hidden="1" x14ac:dyDescent="0.4">
      <c r="A179" s="434">
        <v>1</v>
      </c>
      <c r="B179" s="434" t="s">
        <v>1475</v>
      </c>
      <c r="C179" s="434" t="s">
        <v>1436</v>
      </c>
      <c r="D179" s="434" t="s">
        <v>86</v>
      </c>
      <c r="E179" s="434" t="s">
        <v>1356</v>
      </c>
      <c r="F179" s="434" t="s">
        <v>484</v>
      </c>
      <c r="G179" s="593">
        <v>4323600</v>
      </c>
      <c r="H179" s="434" t="s">
        <v>1438</v>
      </c>
      <c r="I179" s="434" t="s">
        <v>1438</v>
      </c>
    </row>
    <row r="180" spans="1:12" hidden="1" x14ac:dyDescent="0.4">
      <c r="A180" s="434">
        <v>1</v>
      </c>
      <c r="B180" s="434" t="s">
        <v>1475</v>
      </c>
      <c r="C180" s="434" t="s">
        <v>1436</v>
      </c>
      <c r="D180" s="434" t="s">
        <v>87</v>
      </c>
      <c r="E180" s="434" t="s">
        <v>1334</v>
      </c>
      <c r="F180" s="434" t="s">
        <v>485</v>
      </c>
      <c r="G180" s="593">
        <v>2632100</v>
      </c>
      <c r="H180" s="434" t="s">
        <v>1438</v>
      </c>
      <c r="I180" s="434" t="s">
        <v>1438</v>
      </c>
    </row>
    <row r="181" spans="1:12" hidden="1" x14ac:dyDescent="0.4">
      <c r="A181" s="434">
        <v>1</v>
      </c>
      <c r="B181" s="434" t="s">
        <v>1475</v>
      </c>
      <c r="C181" s="434" t="s">
        <v>1436</v>
      </c>
      <c r="D181" s="434" t="s">
        <v>90</v>
      </c>
      <c r="E181" s="434" t="s">
        <v>1357</v>
      </c>
      <c r="F181" s="434" t="s">
        <v>486</v>
      </c>
      <c r="G181" s="593">
        <v>5337400</v>
      </c>
      <c r="H181" s="434" t="s">
        <v>1438</v>
      </c>
      <c r="I181" s="434" t="s">
        <v>1438</v>
      </c>
    </row>
    <row r="182" spans="1:12" hidden="1" x14ac:dyDescent="0.4">
      <c r="A182" s="434">
        <v>1</v>
      </c>
      <c r="B182" s="434" t="s">
        <v>1475</v>
      </c>
      <c r="C182" s="434" t="s">
        <v>1436</v>
      </c>
      <c r="D182" s="434" t="s">
        <v>92</v>
      </c>
      <c r="E182" s="434" t="s">
        <v>1358</v>
      </c>
      <c r="F182" s="434" t="s">
        <v>487</v>
      </c>
      <c r="G182" s="593">
        <v>288500</v>
      </c>
      <c r="H182" s="434" t="s">
        <v>1438</v>
      </c>
      <c r="I182" s="434" t="s">
        <v>1438</v>
      </c>
    </row>
    <row r="183" spans="1:12" hidden="1" x14ac:dyDescent="0.4">
      <c r="A183" s="434">
        <v>1</v>
      </c>
      <c r="B183" s="434" t="s">
        <v>1475</v>
      </c>
      <c r="C183" s="434" t="s">
        <v>1436</v>
      </c>
      <c r="D183" s="434" t="s">
        <v>93</v>
      </c>
      <c r="E183" s="434" t="s">
        <v>1359</v>
      </c>
      <c r="F183" s="434" t="s">
        <v>488</v>
      </c>
      <c r="G183" s="593">
        <v>865500</v>
      </c>
      <c r="H183" s="434" t="s">
        <v>1438</v>
      </c>
      <c r="I183" s="434" t="s">
        <v>1438</v>
      </c>
    </row>
    <row r="184" spans="1:12" hidden="1" x14ac:dyDescent="0.4">
      <c r="A184" s="434">
        <v>1</v>
      </c>
      <c r="B184" s="434" t="s">
        <v>1475</v>
      </c>
      <c r="C184" s="434" t="s">
        <v>1436</v>
      </c>
      <c r="D184" s="434" t="s">
        <v>94</v>
      </c>
      <c r="E184" s="434" t="s">
        <v>1360</v>
      </c>
      <c r="F184" s="434" t="s">
        <v>489</v>
      </c>
      <c r="G184" s="593">
        <v>2885100</v>
      </c>
      <c r="H184" s="434" t="s">
        <v>1438</v>
      </c>
      <c r="I184" s="434" t="s">
        <v>1438</v>
      </c>
    </row>
    <row r="185" spans="1:12" hidden="1" x14ac:dyDescent="0.4">
      <c r="A185" s="434">
        <v>1</v>
      </c>
      <c r="B185" s="434" t="s">
        <v>1475</v>
      </c>
      <c r="C185" s="434" t="s">
        <v>1436</v>
      </c>
      <c r="D185" s="434" t="s">
        <v>96</v>
      </c>
      <c r="E185" s="434" t="s">
        <v>1361</v>
      </c>
      <c r="F185" s="434" t="s">
        <v>490</v>
      </c>
      <c r="G185" s="593">
        <v>288500</v>
      </c>
      <c r="H185" s="434" t="s">
        <v>1438</v>
      </c>
      <c r="I185" s="434" t="s">
        <v>1438</v>
      </c>
    </row>
    <row r="186" spans="1:12" hidden="1" x14ac:dyDescent="0.4">
      <c r="A186" s="434">
        <v>1</v>
      </c>
      <c r="B186" s="434" t="s">
        <v>1475</v>
      </c>
      <c r="C186" s="434" t="s">
        <v>1436</v>
      </c>
      <c r="D186" s="434" t="s">
        <v>510</v>
      </c>
      <c r="E186" s="434" t="s">
        <v>1362</v>
      </c>
      <c r="F186" s="434" t="s">
        <v>491</v>
      </c>
      <c r="G186" s="593">
        <v>3127400</v>
      </c>
      <c r="H186" s="434" t="s">
        <v>1438</v>
      </c>
      <c r="I186" s="434" t="s">
        <v>1438</v>
      </c>
    </row>
    <row r="187" spans="1:12" hidden="1" x14ac:dyDescent="0.4">
      <c r="A187" s="434">
        <v>1</v>
      </c>
      <c r="B187" s="434" t="s">
        <v>1475</v>
      </c>
      <c r="C187" s="434" t="s">
        <v>1436</v>
      </c>
      <c r="D187" s="434" t="s">
        <v>100</v>
      </c>
      <c r="E187" s="434" t="s">
        <v>1363</v>
      </c>
      <c r="F187" s="434" t="s">
        <v>491</v>
      </c>
      <c r="G187" s="593">
        <v>1731000</v>
      </c>
      <c r="H187" s="434" t="s">
        <v>1438</v>
      </c>
      <c r="I187" s="434" t="s">
        <v>1438</v>
      </c>
    </row>
    <row r="188" spans="1:12" hidden="1" x14ac:dyDescent="0.4">
      <c r="A188" s="434">
        <v>1</v>
      </c>
      <c r="B188" s="434" t="s">
        <v>1475</v>
      </c>
      <c r="C188" s="434" t="s">
        <v>1436</v>
      </c>
      <c r="D188" s="434" t="s">
        <v>101</v>
      </c>
      <c r="E188" s="434" t="s">
        <v>1364</v>
      </c>
      <c r="F188" s="434" t="s">
        <v>1135</v>
      </c>
      <c r="G188" s="593">
        <v>865500</v>
      </c>
      <c r="H188" s="434" t="s">
        <v>1438</v>
      </c>
      <c r="I188" s="434" t="s">
        <v>1438</v>
      </c>
    </row>
    <row r="189" spans="1:12" s="1448" customFormat="1" hidden="1" x14ac:dyDescent="0.4">
      <c r="A189" s="434">
        <v>1</v>
      </c>
      <c r="B189" s="434" t="s">
        <v>1475</v>
      </c>
      <c r="C189" s="434" t="s">
        <v>1436</v>
      </c>
      <c r="D189" s="434" t="s">
        <v>72</v>
      </c>
      <c r="F189" s="1448" t="s">
        <v>1749</v>
      </c>
      <c r="G189" s="1449">
        <v>3907400</v>
      </c>
      <c r="H189" s="1448" t="s">
        <v>534</v>
      </c>
      <c r="I189" s="1448" t="s">
        <v>534</v>
      </c>
      <c r="J189" s="1450"/>
      <c r="K189" s="1450"/>
      <c r="L189" s="1450"/>
    </row>
    <row r="190" spans="1:12" s="1448" customFormat="1" hidden="1" x14ac:dyDescent="0.4">
      <c r="A190" s="434">
        <v>1</v>
      </c>
      <c r="B190" s="434" t="s">
        <v>1475</v>
      </c>
      <c r="C190" s="434" t="s">
        <v>1436</v>
      </c>
      <c r="D190" s="434" t="s">
        <v>76</v>
      </c>
      <c r="F190" s="1448" t="s">
        <v>1749</v>
      </c>
      <c r="G190" s="1449">
        <v>0</v>
      </c>
      <c r="H190" s="1448" t="s">
        <v>534</v>
      </c>
      <c r="I190" s="1448" t="s">
        <v>534</v>
      </c>
      <c r="J190" s="1450"/>
      <c r="K190" s="1450"/>
      <c r="L190" s="1450"/>
    </row>
    <row r="191" spans="1:12" s="1448" customFormat="1" hidden="1" x14ac:dyDescent="0.4">
      <c r="A191" s="434">
        <v>1</v>
      </c>
      <c r="B191" s="434" t="s">
        <v>1475</v>
      </c>
      <c r="C191" s="434" t="s">
        <v>1436</v>
      </c>
      <c r="D191" s="434" t="s">
        <v>80</v>
      </c>
      <c r="F191" s="1448" t="s">
        <v>1749</v>
      </c>
      <c r="G191" s="1449">
        <v>-200</v>
      </c>
      <c r="H191" s="1448" t="s">
        <v>534</v>
      </c>
      <c r="I191" s="1448" t="s">
        <v>534</v>
      </c>
      <c r="J191" s="1450"/>
      <c r="K191" s="1450"/>
      <c r="L191" s="1450"/>
    </row>
    <row r="192" spans="1:12" s="1448" customFormat="1" hidden="1" x14ac:dyDescent="0.4">
      <c r="A192" s="434">
        <v>1</v>
      </c>
      <c r="B192" s="434" t="s">
        <v>1475</v>
      </c>
      <c r="C192" s="434" t="s">
        <v>1436</v>
      </c>
      <c r="D192" s="434" t="s">
        <v>82</v>
      </c>
      <c r="F192" s="1448" t="s">
        <v>1749</v>
      </c>
      <c r="G192" s="1449">
        <v>0</v>
      </c>
      <c r="H192" s="1448" t="s">
        <v>534</v>
      </c>
      <c r="I192" s="1448" t="s">
        <v>534</v>
      </c>
      <c r="J192" s="1450"/>
      <c r="K192" s="1450"/>
      <c r="L192" s="1450"/>
    </row>
    <row r="193" spans="1:12" s="1448" customFormat="1" hidden="1" x14ac:dyDescent="0.4">
      <c r="A193" s="434">
        <v>1</v>
      </c>
      <c r="B193" s="434" t="s">
        <v>1475</v>
      </c>
      <c r="C193" s="434" t="s">
        <v>1436</v>
      </c>
      <c r="D193" s="434" t="s">
        <v>84</v>
      </c>
      <c r="F193" s="1448" t="s">
        <v>1749</v>
      </c>
      <c r="G193" s="1449">
        <v>352500</v>
      </c>
      <c r="H193" s="1448" t="s">
        <v>534</v>
      </c>
      <c r="I193" s="1448" t="s">
        <v>534</v>
      </c>
      <c r="J193" s="1450"/>
      <c r="K193" s="1450"/>
      <c r="L193" s="1450"/>
    </row>
    <row r="194" spans="1:12" s="1448" customFormat="1" hidden="1" x14ac:dyDescent="0.4">
      <c r="A194" s="434">
        <v>1</v>
      </c>
      <c r="B194" s="434" t="s">
        <v>1475</v>
      </c>
      <c r="C194" s="434" t="s">
        <v>1436</v>
      </c>
      <c r="D194" s="434" t="s">
        <v>86</v>
      </c>
      <c r="F194" s="1448" t="s">
        <v>1749</v>
      </c>
      <c r="G194" s="1449">
        <v>325400</v>
      </c>
      <c r="H194" s="1448" t="s">
        <v>534</v>
      </c>
      <c r="I194" s="1448" t="s">
        <v>534</v>
      </c>
      <c r="J194" s="1450"/>
      <c r="K194" s="1450"/>
      <c r="L194" s="1450"/>
    </row>
    <row r="195" spans="1:12" s="1448" customFormat="1" hidden="1" x14ac:dyDescent="0.4">
      <c r="A195" s="434">
        <v>1</v>
      </c>
      <c r="B195" s="434" t="s">
        <v>1475</v>
      </c>
      <c r="C195" s="434" t="s">
        <v>1436</v>
      </c>
      <c r="D195" s="434" t="s">
        <v>87</v>
      </c>
      <c r="F195" s="1448" t="s">
        <v>1749</v>
      </c>
      <c r="G195" s="1449">
        <v>-100</v>
      </c>
      <c r="H195" s="1448" t="s">
        <v>534</v>
      </c>
      <c r="I195" s="1448" t="s">
        <v>534</v>
      </c>
      <c r="J195" s="1450"/>
      <c r="K195" s="1450"/>
      <c r="L195" s="1450"/>
    </row>
    <row r="196" spans="1:12" s="1448" customFormat="1" hidden="1" x14ac:dyDescent="0.4">
      <c r="A196" s="434">
        <v>1</v>
      </c>
      <c r="B196" s="434" t="s">
        <v>1475</v>
      </c>
      <c r="C196" s="434" t="s">
        <v>1436</v>
      </c>
      <c r="D196" s="434" t="s">
        <v>90</v>
      </c>
      <c r="F196" s="1448" t="s">
        <v>1749</v>
      </c>
      <c r="G196" s="1449">
        <v>391600</v>
      </c>
      <c r="H196" s="1448" t="s">
        <v>534</v>
      </c>
      <c r="I196" s="1448" t="s">
        <v>534</v>
      </c>
      <c r="J196" s="1450"/>
      <c r="K196" s="1450"/>
      <c r="L196" s="1450"/>
    </row>
    <row r="197" spans="1:12" s="1448" customFormat="1" hidden="1" x14ac:dyDescent="0.4">
      <c r="A197" s="434">
        <v>1</v>
      </c>
      <c r="B197" s="434" t="s">
        <v>1475</v>
      </c>
      <c r="C197" s="434" t="s">
        <v>1436</v>
      </c>
      <c r="D197" s="434" t="s">
        <v>92</v>
      </c>
      <c r="F197" s="1448" t="s">
        <v>1749</v>
      </c>
      <c r="G197" s="1449">
        <v>21000</v>
      </c>
      <c r="H197" s="1448" t="s">
        <v>534</v>
      </c>
      <c r="I197" s="1448" t="s">
        <v>534</v>
      </c>
      <c r="J197" s="1450"/>
      <c r="K197" s="1450"/>
      <c r="L197" s="1450"/>
    </row>
    <row r="198" spans="1:12" s="1448" customFormat="1" hidden="1" x14ac:dyDescent="0.4">
      <c r="A198" s="434">
        <v>1</v>
      </c>
      <c r="B198" s="434" t="s">
        <v>1475</v>
      </c>
      <c r="C198" s="434" t="s">
        <v>1436</v>
      </c>
      <c r="D198" s="434" t="s">
        <v>93</v>
      </c>
      <c r="F198" s="1448" t="s">
        <v>1749</v>
      </c>
      <c r="G198" s="1449">
        <v>63500</v>
      </c>
      <c r="H198" s="1448" t="s">
        <v>534</v>
      </c>
      <c r="I198" s="1448" t="s">
        <v>534</v>
      </c>
      <c r="J198" s="1450"/>
      <c r="K198" s="1450"/>
      <c r="L198" s="1450"/>
    </row>
    <row r="199" spans="1:12" s="1448" customFormat="1" hidden="1" x14ac:dyDescent="0.4">
      <c r="A199" s="434">
        <v>1</v>
      </c>
      <c r="B199" s="434" t="s">
        <v>1475</v>
      </c>
      <c r="C199" s="434" t="s">
        <v>1436</v>
      </c>
      <c r="D199" s="434" t="s">
        <v>94</v>
      </c>
      <c r="F199" s="1448" t="s">
        <v>1749</v>
      </c>
      <c r="G199" s="1449">
        <v>211400</v>
      </c>
      <c r="H199" s="1448" t="s">
        <v>534</v>
      </c>
      <c r="I199" s="1448" t="s">
        <v>534</v>
      </c>
      <c r="J199" s="1450"/>
      <c r="K199" s="1450"/>
      <c r="L199" s="1450"/>
    </row>
    <row r="200" spans="1:12" s="1448" customFormat="1" hidden="1" x14ac:dyDescent="0.4">
      <c r="A200" s="434">
        <v>1</v>
      </c>
      <c r="B200" s="434" t="s">
        <v>1475</v>
      </c>
      <c r="C200" s="434" t="s">
        <v>1436</v>
      </c>
      <c r="D200" s="434" t="s">
        <v>96</v>
      </c>
      <c r="F200" s="1448" t="s">
        <v>1749</v>
      </c>
      <c r="G200" s="1449">
        <v>21000</v>
      </c>
      <c r="H200" s="1448" t="s">
        <v>534</v>
      </c>
      <c r="I200" s="1448" t="s">
        <v>534</v>
      </c>
      <c r="J200" s="1450"/>
      <c r="K200" s="1450"/>
      <c r="L200" s="1450"/>
    </row>
    <row r="201" spans="1:12" s="1448" customFormat="1" hidden="1" x14ac:dyDescent="0.4">
      <c r="A201" s="434">
        <v>1</v>
      </c>
      <c r="B201" s="434" t="s">
        <v>1475</v>
      </c>
      <c r="C201" s="434" t="s">
        <v>1436</v>
      </c>
      <c r="D201" s="434" t="s">
        <v>510</v>
      </c>
      <c r="F201" s="1448" t="s">
        <v>1749</v>
      </c>
      <c r="G201" s="1449">
        <v>229600</v>
      </c>
      <c r="H201" s="1448" t="s">
        <v>534</v>
      </c>
      <c r="I201" s="1448" t="s">
        <v>534</v>
      </c>
      <c r="J201" s="1450"/>
      <c r="K201" s="1450"/>
      <c r="L201" s="1450"/>
    </row>
    <row r="202" spans="1:12" s="1448" customFormat="1" hidden="1" x14ac:dyDescent="0.4">
      <c r="A202" s="434">
        <v>1</v>
      </c>
      <c r="B202" s="434" t="s">
        <v>1475</v>
      </c>
      <c r="C202" s="434" t="s">
        <v>1436</v>
      </c>
      <c r="D202" s="434" t="s">
        <v>100</v>
      </c>
      <c r="F202" s="1448" t="s">
        <v>1749</v>
      </c>
      <c r="G202" s="1449">
        <v>127000</v>
      </c>
      <c r="H202" s="1448" t="s">
        <v>534</v>
      </c>
      <c r="I202" s="1448" t="s">
        <v>534</v>
      </c>
      <c r="J202" s="1450"/>
      <c r="K202" s="1450"/>
      <c r="L202" s="1450"/>
    </row>
    <row r="203" spans="1:12" s="1448" customFormat="1" hidden="1" x14ac:dyDescent="0.4">
      <c r="A203" s="434">
        <v>1</v>
      </c>
      <c r="B203" s="434" t="s">
        <v>1475</v>
      </c>
      <c r="C203" s="434" t="s">
        <v>1436</v>
      </c>
      <c r="D203" s="434" t="s">
        <v>101</v>
      </c>
      <c r="F203" s="1448" t="s">
        <v>1749</v>
      </c>
      <c r="G203" s="1449">
        <v>63500</v>
      </c>
      <c r="H203" s="1448" t="s">
        <v>534</v>
      </c>
      <c r="I203" s="1448" t="s">
        <v>534</v>
      </c>
      <c r="J203" s="1450"/>
      <c r="K203" s="1450"/>
      <c r="L203" s="1450"/>
    </row>
    <row r="204" spans="1:12" hidden="1" x14ac:dyDescent="0.4">
      <c r="A204" s="434">
        <v>1</v>
      </c>
      <c r="B204" s="434" t="s">
        <v>1475</v>
      </c>
      <c r="C204" s="434" t="s">
        <v>1439</v>
      </c>
      <c r="D204" s="434" t="s">
        <v>106</v>
      </c>
      <c r="E204" s="434" t="s">
        <v>1366</v>
      </c>
      <c r="F204" s="434" t="s">
        <v>1440</v>
      </c>
      <c r="G204" s="593">
        <v>347600</v>
      </c>
      <c r="H204" s="434" t="s">
        <v>1441</v>
      </c>
      <c r="I204" s="434" t="s">
        <v>1438</v>
      </c>
    </row>
    <row r="205" spans="1:12" hidden="1" x14ac:dyDescent="0.4">
      <c r="A205" s="434">
        <v>1</v>
      </c>
      <c r="B205" s="434" t="s">
        <v>1475</v>
      </c>
      <c r="C205" s="434" t="s">
        <v>1439</v>
      </c>
      <c r="D205" s="434" t="s">
        <v>116</v>
      </c>
      <c r="E205" s="434" t="s">
        <v>1370</v>
      </c>
      <c r="F205" s="434" t="s">
        <v>1442</v>
      </c>
      <c r="G205" s="593">
        <v>14100</v>
      </c>
      <c r="H205" s="434" t="s">
        <v>1441</v>
      </c>
      <c r="I205" s="434" t="s">
        <v>1438</v>
      </c>
    </row>
    <row r="206" spans="1:12" hidden="1" x14ac:dyDescent="0.4">
      <c r="A206" s="434">
        <v>1</v>
      </c>
      <c r="B206" s="434" t="s">
        <v>1475</v>
      </c>
      <c r="C206" s="434" t="s">
        <v>1439</v>
      </c>
      <c r="D206" s="434" t="s">
        <v>118</v>
      </c>
      <c r="E206" s="434" t="s">
        <v>1371</v>
      </c>
      <c r="F206" s="434" t="s">
        <v>1443</v>
      </c>
      <c r="G206" s="593">
        <v>49900</v>
      </c>
      <c r="H206" s="434" t="s">
        <v>1441</v>
      </c>
      <c r="I206" s="434" t="s">
        <v>1438</v>
      </c>
    </row>
    <row r="207" spans="1:12" x14ac:dyDescent="0.4">
      <c r="A207" s="434">
        <v>1</v>
      </c>
      <c r="B207" s="434" t="s">
        <v>1475</v>
      </c>
      <c r="C207" s="434" t="s">
        <v>1439</v>
      </c>
      <c r="D207" s="434" t="s">
        <v>326</v>
      </c>
      <c r="E207" s="434" t="s">
        <v>1373</v>
      </c>
      <c r="F207" s="434" t="s">
        <v>1455</v>
      </c>
      <c r="G207" s="593">
        <v>21600</v>
      </c>
      <c r="H207" s="434" t="s">
        <v>534</v>
      </c>
      <c r="I207" s="434" t="s">
        <v>534</v>
      </c>
    </row>
    <row r="208" spans="1:12" hidden="1" x14ac:dyDescent="0.4">
      <c r="A208" s="434">
        <v>1</v>
      </c>
      <c r="B208" s="434" t="s">
        <v>1475</v>
      </c>
      <c r="C208" s="434" t="s">
        <v>1439</v>
      </c>
      <c r="D208" s="434" t="s">
        <v>145</v>
      </c>
      <c r="E208" s="434" t="s">
        <v>1385</v>
      </c>
      <c r="F208" s="434" t="s">
        <v>1448</v>
      </c>
      <c r="G208" s="593">
        <v>102300</v>
      </c>
      <c r="H208" s="434" t="s">
        <v>534</v>
      </c>
      <c r="I208" s="434" t="s">
        <v>534</v>
      </c>
    </row>
    <row r="209" spans="1:9" hidden="1" x14ac:dyDescent="0.4">
      <c r="A209" s="434">
        <v>1</v>
      </c>
      <c r="B209" s="434" t="s">
        <v>1475</v>
      </c>
      <c r="C209" s="434" t="s">
        <v>1439</v>
      </c>
      <c r="D209" s="434" t="s">
        <v>160</v>
      </c>
      <c r="E209" s="434" t="s">
        <v>1391</v>
      </c>
      <c r="F209" s="434" t="s">
        <v>1449</v>
      </c>
      <c r="G209" s="593">
        <v>380000</v>
      </c>
      <c r="H209" s="434" t="s">
        <v>534</v>
      </c>
      <c r="I209" s="434" t="s">
        <v>534</v>
      </c>
    </row>
    <row r="210" spans="1:9" hidden="1" x14ac:dyDescent="0.4">
      <c r="A210" s="434">
        <v>1</v>
      </c>
      <c r="B210" s="434" t="s">
        <v>1476</v>
      </c>
      <c r="C210" s="434" t="s">
        <v>1436</v>
      </c>
      <c r="D210" s="434" t="s">
        <v>72</v>
      </c>
      <c r="E210" s="434" t="s">
        <v>1348</v>
      </c>
      <c r="F210" s="434" t="s">
        <v>1437</v>
      </c>
      <c r="G210" s="593">
        <v>44421700</v>
      </c>
      <c r="H210" s="434" t="s">
        <v>1438</v>
      </c>
      <c r="I210" s="434" t="s">
        <v>1438</v>
      </c>
    </row>
    <row r="211" spans="1:9" hidden="1" x14ac:dyDescent="0.4">
      <c r="A211" s="434">
        <v>1</v>
      </c>
      <c r="B211" s="434" t="s">
        <v>1476</v>
      </c>
      <c r="C211" s="434" t="s">
        <v>1436</v>
      </c>
      <c r="D211" s="434" t="s">
        <v>76</v>
      </c>
      <c r="E211" s="434" t="s">
        <v>1352</v>
      </c>
      <c r="F211" s="434" t="s">
        <v>1056</v>
      </c>
      <c r="G211" s="593">
        <v>3000000</v>
      </c>
      <c r="H211" s="434" t="s">
        <v>1438</v>
      </c>
      <c r="I211" s="434" t="s">
        <v>1438</v>
      </c>
    </row>
    <row r="212" spans="1:9" hidden="1" x14ac:dyDescent="0.4">
      <c r="A212" s="434">
        <v>1</v>
      </c>
      <c r="B212" s="434" t="s">
        <v>1476</v>
      </c>
      <c r="C212" s="434" t="s">
        <v>1436</v>
      </c>
      <c r="D212" s="434" t="s">
        <v>80</v>
      </c>
      <c r="E212" s="434" t="s">
        <v>1332</v>
      </c>
      <c r="F212" s="434" t="s">
        <v>481</v>
      </c>
      <c r="G212" s="593">
        <v>6519300</v>
      </c>
      <c r="H212" s="434" t="s">
        <v>1438</v>
      </c>
      <c r="I212" s="434" t="s">
        <v>1438</v>
      </c>
    </row>
    <row r="213" spans="1:9" hidden="1" x14ac:dyDescent="0.4">
      <c r="A213" s="434">
        <v>1</v>
      </c>
      <c r="B213" s="434" t="s">
        <v>1476</v>
      </c>
      <c r="C213" s="434" t="s">
        <v>1436</v>
      </c>
      <c r="D213" s="434" t="s">
        <v>82</v>
      </c>
      <c r="E213" s="434" t="s">
        <v>1333</v>
      </c>
      <c r="F213" s="434" t="s">
        <v>482</v>
      </c>
      <c r="G213" s="593">
        <v>9456800</v>
      </c>
      <c r="H213" s="434" t="s">
        <v>1438</v>
      </c>
      <c r="I213" s="434" t="s">
        <v>1438</v>
      </c>
    </row>
    <row r="214" spans="1:9" hidden="1" x14ac:dyDescent="0.4">
      <c r="A214" s="434">
        <v>1</v>
      </c>
      <c r="B214" s="434" t="s">
        <v>1476</v>
      </c>
      <c r="C214" s="434" t="s">
        <v>1436</v>
      </c>
      <c r="D214" s="434" t="s">
        <v>84</v>
      </c>
      <c r="E214" s="434" t="s">
        <v>1355</v>
      </c>
      <c r="F214" s="434" t="s">
        <v>483</v>
      </c>
      <c r="G214" s="593">
        <v>5870400</v>
      </c>
      <c r="H214" s="434" t="s">
        <v>1438</v>
      </c>
      <c r="I214" s="434" t="s">
        <v>1438</v>
      </c>
    </row>
    <row r="215" spans="1:9" hidden="1" x14ac:dyDescent="0.4">
      <c r="A215" s="434">
        <v>1</v>
      </c>
      <c r="B215" s="434" t="s">
        <v>1476</v>
      </c>
      <c r="C215" s="434" t="s">
        <v>1436</v>
      </c>
      <c r="D215" s="434" t="s">
        <v>86</v>
      </c>
      <c r="E215" s="434" t="s">
        <v>1356</v>
      </c>
      <c r="F215" s="434" t="s">
        <v>484</v>
      </c>
      <c r="G215" s="593">
        <v>4565600</v>
      </c>
      <c r="H215" s="434" t="s">
        <v>1438</v>
      </c>
      <c r="I215" s="434" t="s">
        <v>1438</v>
      </c>
    </row>
    <row r="216" spans="1:9" hidden="1" x14ac:dyDescent="0.4">
      <c r="A216" s="434">
        <v>1</v>
      </c>
      <c r="B216" s="434" t="s">
        <v>1476</v>
      </c>
      <c r="C216" s="434" t="s">
        <v>1436</v>
      </c>
      <c r="D216" s="434" t="s">
        <v>87</v>
      </c>
      <c r="E216" s="434" t="s">
        <v>1334</v>
      </c>
      <c r="F216" s="434" t="s">
        <v>485</v>
      </c>
      <c r="G216" s="593">
        <v>2482100</v>
      </c>
      <c r="H216" s="434" t="s">
        <v>1438</v>
      </c>
      <c r="I216" s="434" t="s">
        <v>1438</v>
      </c>
    </row>
    <row r="217" spans="1:9" hidden="1" x14ac:dyDescent="0.4">
      <c r="A217" s="434">
        <v>1</v>
      </c>
      <c r="B217" s="434" t="s">
        <v>1476</v>
      </c>
      <c r="C217" s="434" t="s">
        <v>1436</v>
      </c>
      <c r="D217" s="434" t="s">
        <v>90</v>
      </c>
      <c r="E217" s="434" t="s">
        <v>1357</v>
      </c>
      <c r="F217" s="434" t="s">
        <v>486</v>
      </c>
      <c r="G217" s="593">
        <v>6516200</v>
      </c>
      <c r="H217" s="434" t="s">
        <v>1438</v>
      </c>
      <c r="I217" s="434" t="s">
        <v>1438</v>
      </c>
    </row>
    <row r="218" spans="1:9" hidden="1" x14ac:dyDescent="0.4">
      <c r="A218" s="434">
        <v>1</v>
      </c>
      <c r="B218" s="434" t="s">
        <v>1476</v>
      </c>
      <c r="C218" s="434" t="s">
        <v>1436</v>
      </c>
      <c r="D218" s="434" t="s">
        <v>92</v>
      </c>
      <c r="E218" s="434" t="s">
        <v>1358</v>
      </c>
      <c r="F218" s="434" t="s">
        <v>487</v>
      </c>
      <c r="G218" s="593">
        <v>352200</v>
      </c>
      <c r="H218" s="434" t="s">
        <v>1438</v>
      </c>
      <c r="I218" s="434" t="s">
        <v>1438</v>
      </c>
    </row>
    <row r="219" spans="1:9" hidden="1" x14ac:dyDescent="0.4">
      <c r="A219" s="434">
        <v>1</v>
      </c>
      <c r="B219" s="434" t="s">
        <v>1476</v>
      </c>
      <c r="C219" s="434" t="s">
        <v>1436</v>
      </c>
      <c r="D219" s="434" t="s">
        <v>93</v>
      </c>
      <c r="E219" s="434" t="s">
        <v>1359</v>
      </c>
      <c r="F219" s="434" t="s">
        <v>488</v>
      </c>
      <c r="G219" s="593">
        <v>1056700</v>
      </c>
      <c r="H219" s="434" t="s">
        <v>1438</v>
      </c>
      <c r="I219" s="434" t="s">
        <v>1438</v>
      </c>
    </row>
    <row r="220" spans="1:9" hidden="1" x14ac:dyDescent="0.4">
      <c r="A220" s="434">
        <v>1</v>
      </c>
      <c r="B220" s="434" t="s">
        <v>1476</v>
      </c>
      <c r="C220" s="434" t="s">
        <v>1436</v>
      </c>
      <c r="D220" s="434" t="s">
        <v>94</v>
      </c>
      <c r="E220" s="434" t="s">
        <v>1360</v>
      </c>
      <c r="F220" s="434" t="s">
        <v>489</v>
      </c>
      <c r="G220" s="593">
        <v>3522300</v>
      </c>
      <c r="H220" s="434" t="s">
        <v>1438</v>
      </c>
      <c r="I220" s="434" t="s">
        <v>1438</v>
      </c>
    </row>
    <row r="221" spans="1:9" hidden="1" x14ac:dyDescent="0.4">
      <c r="A221" s="434">
        <v>1</v>
      </c>
      <c r="B221" s="434" t="s">
        <v>1476</v>
      </c>
      <c r="C221" s="434" t="s">
        <v>1436</v>
      </c>
      <c r="D221" s="434" t="s">
        <v>96</v>
      </c>
      <c r="E221" s="434" t="s">
        <v>1361</v>
      </c>
      <c r="F221" s="434" t="s">
        <v>490</v>
      </c>
      <c r="G221" s="593">
        <v>352200</v>
      </c>
      <c r="H221" s="434" t="s">
        <v>1438</v>
      </c>
      <c r="I221" s="434" t="s">
        <v>1438</v>
      </c>
    </row>
    <row r="222" spans="1:9" hidden="1" x14ac:dyDescent="0.4">
      <c r="A222" s="434">
        <v>1</v>
      </c>
      <c r="B222" s="434" t="s">
        <v>1476</v>
      </c>
      <c r="C222" s="434" t="s">
        <v>1436</v>
      </c>
      <c r="D222" s="434" t="s">
        <v>510</v>
      </c>
      <c r="E222" s="434" t="s">
        <v>1362</v>
      </c>
      <c r="F222" s="434" t="s">
        <v>491</v>
      </c>
      <c r="G222" s="593">
        <v>3818100</v>
      </c>
      <c r="H222" s="434" t="s">
        <v>1438</v>
      </c>
      <c r="I222" s="434" t="s">
        <v>1438</v>
      </c>
    </row>
    <row r="223" spans="1:9" hidden="1" x14ac:dyDescent="0.4">
      <c r="A223" s="434">
        <v>1</v>
      </c>
      <c r="B223" s="434" t="s">
        <v>1476</v>
      </c>
      <c r="C223" s="434" t="s">
        <v>1436</v>
      </c>
      <c r="D223" s="434" t="s">
        <v>100</v>
      </c>
      <c r="E223" s="434" t="s">
        <v>1363</v>
      </c>
      <c r="F223" s="434" t="s">
        <v>491</v>
      </c>
      <c r="G223" s="593">
        <v>2113400</v>
      </c>
      <c r="H223" s="434" t="s">
        <v>1438</v>
      </c>
      <c r="I223" s="434" t="s">
        <v>1438</v>
      </c>
    </row>
    <row r="224" spans="1:9" hidden="1" x14ac:dyDescent="0.4">
      <c r="A224" s="434">
        <v>1</v>
      </c>
      <c r="B224" s="434" t="s">
        <v>1476</v>
      </c>
      <c r="C224" s="434" t="s">
        <v>1436</v>
      </c>
      <c r="D224" s="434" t="s">
        <v>101</v>
      </c>
      <c r="E224" s="434" t="s">
        <v>1364</v>
      </c>
      <c r="F224" s="434" t="s">
        <v>1135</v>
      </c>
      <c r="G224" s="593">
        <v>1056700</v>
      </c>
      <c r="H224" s="434" t="s">
        <v>1438</v>
      </c>
      <c r="I224" s="434" t="s">
        <v>1438</v>
      </c>
    </row>
    <row r="225" spans="1:9" hidden="1" x14ac:dyDescent="0.4">
      <c r="A225" s="434">
        <v>1</v>
      </c>
      <c r="B225" s="434" t="s">
        <v>1476</v>
      </c>
      <c r="C225" s="434" t="s">
        <v>1436</v>
      </c>
      <c r="D225" s="434" t="s">
        <v>72</v>
      </c>
      <c r="F225" s="1448" t="s">
        <v>1749</v>
      </c>
      <c r="G225" s="593">
        <v>9263800</v>
      </c>
      <c r="H225" s="434" t="s">
        <v>534</v>
      </c>
      <c r="I225" s="434" t="s">
        <v>534</v>
      </c>
    </row>
    <row r="226" spans="1:9" hidden="1" x14ac:dyDescent="0.4">
      <c r="A226" s="434">
        <v>1</v>
      </c>
      <c r="B226" s="434" t="s">
        <v>1476</v>
      </c>
      <c r="C226" s="434" t="s">
        <v>1436</v>
      </c>
      <c r="D226" s="434" t="s">
        <v>76</v>
      </c>
      <c r="F226" s="1448" t="s">
        <v>1749</v>
      </c>
      <c r="G226" s="593">
        <v>0</v>
      </c>
      <c r="H226" s="434" t="s">
        <v>534</v>
      </c>
      <c r="I226" s="434" t="s">
        <v>534</v>
      </c>
    </row>
    <row r="227" spans="1:9" hidden="1" x14ac:dyDescent="0.4">
      <c r="A227" s="434">
        <v>1</v>
      </c>
      <c r="B227" s="434" t="s">
        <v>1476</v>
      </c>
      <c r="C227" s="434" t="s">
        <v>1436</v>
      </c>
      <c r="D227" s="434" t="s">
        <v>80</v>
      </c>
      <c r="F227" s="1448" t="s">
        <v>1749</v>
      </c>
      <c r="G227" s="593">
        <v>200</v>
      </c>
      <c r="H227" s="434" t="s">
        <v>534</v>
      </c>
      <c r="I227" s="434" t="s">
        <v>534</v>
      </c>
    </row>
    <row r="228" spans="1:9" hidden="1" x14ac:dyDescent="0.4">
      <c r="A228" s="434">
        <v>1</v>
      </c>
      <c r="B228" s="434" t="s">
        <v>1476</v>
      </c>
      <c r="C228" s="434" t="s">
        <v>1436</v>
      </c>
      <c r="D228" s="434" t="s">
        <v>82</v>
      </c>
      <c r="F228" s="1448" t="s">
        <v>1749</v>
      </c>
      <c r="G228" s="593">
        <v>200</v>
      </c>
      <c r="H228" s="434" t="s">
        <v>534</v>
      </c>
      <c r="I228" s="434" t="s">
        <v>534</v>
      </c>
    </row>
    <row r="229" spans="1:9" hidden="1" x14ac:dyDescent="0.4">
      <c r="A229" s="434">
        <v>1</v>
      </c>
      <c r="B229" s="434" t="s">
        <v>1476</v>
      </c>
      <c r="C229" s="434" t="s">
        <v>1436</v>
      </c>
      <c r="D229" s="434" t="s">
        <v>84</v>
      </c>
      <c r="F229" s="1448" t="s">
        <v>1749</v>
      </c>
      <c r="G229" s="593">
        <v>836100</v>
      </c>
      <c r="H229" s="434" t="s">
        <v>534</v>
      </c>
      <c r="I229" s="434" t="s">
        <v>534</v>
      </c>
    </row>
    <row r="230" spans="1:9" hidden="1" x14ac:dyDescent="0.4">
      <c r="A230" s="434">
        <v>1</v>
      </c>
      <c r="B230" s="434" t="s">
        <v>1476</v>
      </c>
      <c r="C230" s="434" t="s">
        <v>1436</v>
      </c>
      <c r="D230" s="434" t="s">
        <v>86</v>
      </c>
      <c r="F230" s="1448" t="s">
        <v>1749</v>
      </c>
      <c r="G230" s="593">
        <v>771900</v>
      </c>
      <c r="H230" s="434" t="s">
        <v>534</v>
      </c>
      <c r="I230" s="434" t="s">
        <v>534</v>
      </c>
    </row>
    <row r="231" spans="1:9" hidden="1" x14ac:dyDescent="0.4">
      <c r="A231" s="434">
        <v>1</v>
      </c>
      <c r="B231" s="434" t="s">
        <v>1476</v>
      </c>
      <c r="C231" s="434" t="s">
        <v>1436</v>
      </c>
      <c r="D231" s="434" t="s">
        <v>87</v>
      </c>
      <c r="F231" s="1448" t="s">
        <v>1749</v>
      </c>
      <c r="G231" s="593">
        <v>-100</v>
      </c>
      <c r="H231" s="434" t="s">
        <v>534</v>
      </c>
      <c r="I231" s="434" t="s">
        <v>534</v>
      </c>
    </row>
    <row r="232" spans="1:9" hidden="1" x14ac:dyDescent="0.4">
      <c r="A232" s="434">
        <v>1</v>
      </c>
      <c r="B232" s="434" t="s">
        <v>1476</v>
      </c>
      <c r="C232" s="434" t="s">
        <v>1436</v>
      </c>
      <c r="D232" s="434" t="s">
        <v>90</v>
      </c>
      <c r="F232" s="1448" t="s">
        <v>1749</v>
      </c>
      <c r="G232" s="593">
        <v>928300</v>
      </c>
      <c r="H232" s="434" t="s">
        <v>534</v>
      </c>
      <c r="I232" s="434" t="s">
        <v>534</v>
      </c>
    </row>
    <row r="233" spans="1:9" hidden="1" x14ac:dyDescent="0.4">
      <c r="A233" s="434">
        <v>1</v>
      </c>
      <c r="B233" s="434" t="s">
        <v>1476</v>
      </c>
      <c r="C233" s="434" t="s">
        <v>1436</v>
      </c>
      <c r="D233" s="434" t="s">
        <v>92</v>
      </c>
      <c r="F233" s="1448" t="s">
        <v>1749</v>
      </c>
      <c r="G233" s="593">
        <v>50300</v>
      </c>
      <c r="H233" s="434" t="s">
        <v>534</v>
      </c>
      <c r="I233" s="434" t="s">
        <v>534</v>
      </c>
    </row>
    <row r="234" spans="1:9" hidden="1" x14ac:dyDescent="0.4">
      <c r="A234" s="434">
        <v>1</v>
      </c>
      <c r="B234" s="434" t="s">
        <v>1476</v>
      </c>
      <c r="C234" s="434" t="s">
        <v>1436</v>
      </c>
      <c r="D234" s="434" t="s">
        <v>93</v>
      </c>
      <c r="F234" s="1448" t="s">
        <v>1749</v>
      </c>
      <c r="G234" s="593">
        <v>150300</v>
      </c>
      <c r="H234" s="434" t="s">
        <v>534</v>
      </c>
      <c r="I234" s="434" t="s">
        <v>534</v>
      </c>
    </row>
    <row r="235" spans="1:9" hidden="1" x14ac:dyDescent="0.4">
      <c r="A235" s="434">
        <v>1</v>
      </c>
      <c r="B235" s="434" t="s">
        <v>1476</v>
      </c>
      <c r="C235" s="434" t="s">
        <v>1436</v>
      </c>
      <c r="D235" s="434" t="s">
        <v>94</v>
      </c>
      <c r="F235" s="1448" t="s">
        <v>1749</v>
      </c>
      <c r="G235" s="593">
        <v>501700</v>
      </c>
      <c r="H235" s="434" t="s">
        <v>534</v>
      </c>
      <c r="I235" s="434" t="s">
        <v>534</v>
      </c>
    </row>
    <row r="236" spans="1:9" hidden="1" x14ac:dyDescent="0.4">
      <c r="A236" s="434">
        <v>1</v>
      </c>
      <c r="B236" s="434" t="s">
        <v>1476</v>
      </c>
      <c r="C236" s="434" t="s">
        <v>1436</v>
      </c>
      <c r="D236" s="434" t="s">
        <v>96</v>
      </c>
      <c r="F236" s="1448" t="s">
        <v>1749</v>
      </c>
      <c r="G236" s="593">
        <v>50300</v>
      </c>
      <c r="H236" s="434" t="s">
        <v>534</v>
      </c>
      <c r="I236" s="434" t="s">
        <v>534</v>
      </c>
    </row>
    <row r="237" spans="1:9" hidden="1" x14ac:dyDescent="0.4">
      <c r="A237" s="434">
        <v>1</v>
      </c>
      <c r="B237" s="434" t="s">
        <v>1476</v>
      </c>
      <c r="C237" s="434" t="s">
        <v>1436</v>
      </c>
      <c r="D237" s="434" t="s">
        <v>510</v>
      </c>
      <c r="F237" s="1448" t="s">
        <v>1749</v>
      </c>
      <c r="G237" s="593">
        <v>543900</v>
      </c>
      <c r="H237" s="434" t="s">
        <v>534</v>
      </c>
      <c r="I237" s="434" t="s">
        <v>534</v>
      </c>
    </row>
    <row r="238" spans="1:9" hidden="1" x14ac:dyDescent="0.4">
      <c r="A238" s="434">
        <v>1</v>
      </c>
      <c r="B238" s="434" t="s">
        <v>1476</v>
      </c>
      <c r="C238" s="434" t="s">
        <v>1436</v>
      </c>
      <c r="D238" s="434" t="s">
        <v>100</v>
      </c>
      <c r="F238" s="1448" t="s">
        <v>1749</v>
      </c>
      <c r="G238" s="593">
        <v>301100</v>
      </c>
      <c r="H238" s="434" t="s">
        <v>534</v>
      </c>
      <c r="I238" s="434" t="s">
        <v>534</v>
      </c>
    </row>
    <row r="239" spans="1:9" hidden="1" x14ac:dyDescent="0.4">
      <c r="A239" s="434">
        <v>1</v>
      </c>
      <c r="B239" s="434" t="s">
        <v>1476</v>
      </c>
      <c r="C239" s="434" t="s">
        <v>1436</v>
      </c>
      <c r="D239" s="434" t="s">
        <v>101</v>
      </c>
      <c r="F239" s="1448" t="s">
        <v>1749</v>
      </c>
      <c r="G239" s="593">
        <v>150300</v>
      </c>
      <c r="H239" s="434" t="s">
        <v>534</v>
      </c>
      <c r="I239" s="434" t="s">
        <v>534</v>
      </c>
    </row>
    <row r="240" spans="1:9" hidden="1" x14ac:dyDescent="0.4">
      <c r="A240" s="434">
        <v>1</v>
      </c>
      <c r="B240" s="434" t="s">
        <v>1476</v>
      </c>
      <c r="C240" s="434" t="s">
        <v>1439</v>
      </c>
      <c r="D240" s="434" t="s">
        <v>106</v>
      </c>
      <c r="E240" s="434" t="s">
        <v>1366</v>
      </c>
      <c r="F240" s="434" t="s">
        <v>1454</v>
      </c>
      <c r="G240" s="593">
        <v>1250300</v>
      </c>
      <c r="H240" s="434" t="s">
        <v>1441</v>
      </c>
      <c r="I240" s="434" t="s">
        <v>1438</v>
      </c>
    </row>
    <row r="241" spans="1:9" hidden="1" x14ac:dyDescent="0.4">
      <c r="A241" s="434">
        <v>1</v>
      </c>
      <c r="B241" s="434" t="s">
        <v>1476</v>
      </c>
      <c r="C241" s="434" t="s">
        <v>1439</v>
      </c>
      <c r="D241" s="434" t="s">
        <v>116</v>
      </c>
      <c r="E241" s="434" t="s">
        <v>1370</v>
      </c>
      <c r="F241" s="434" t="s">
        <v>1477</v>
      </c>
      <c r="G241" s="593">
        <v>50700</v>
      </c>
      <c r="H241" s="434" t="s">
        <v>1441</v>
      </c>
      <c r="I241" s="434" t="s">
        <v>1438</v>
      </c>
    </row>
    <row r="242" spans="1:9" hidden="1" x14ac:dyDescent="0.4">
      <c r="A242" s="434">
        <v>1</v>
      </c>
      <c r="B242" s="434" t="s">
        <v>1476</v>
      </c>
      <c r="C242" s="434" t="s">
        <v>1439</v>
      </c>
      <c r="D242" s="434" t="s">
        <v>118</v>
      </c>
      <c r="E242" s="434" t="s">
        <v>1371</v>
      </c>
      <c r="F242" s="434" t="s">
        <v>1478</v>
      </c>
      <c r="G242" s="593">
        <v>179300</v>
      </c>
      <c r="H242" s="434" t="s">
        <v>1441</v>
      </c>
      <c r="I242" s="434" t="s">
        <v>1438</v>
      </c>
    </row>
    <row r="243" spans="1:9" x14ac:dyDescent="0.4">
      <c r="A243" s="434">
        <v>1</v>
      </c>
      <c r="B243" s="434" t="s">
        <v>1476</v>
      </c>
      <c r="C243" s="434" t="s">
        <v>1439</v>
      </c>
      <c r="D243" s="434" t="s">
        <v>326</v>
      </c>
      <c r="E243" s="434" t="s">
        <v>1373</v>
      </c>
      <c r="F243" s="434" t="s">
        <v>1479</v>
      </c>
      <c r="G243" s="593">
        <v>77600</v>
      </c>
      <c r="H243" s="434" t="s">
        <v>534</v>
      </c>
      <c r="I243" s="434" t="s">
        <v>534</v>
      </c>
    </row>
    <row r="244" spans="1:9" hidden="1" x14ac:dyDescent="0.4">
      <c r="A244" s="434">
        <v>1</v>
      </c>
      <c r="B244" s="434" t="s">
        <v>1476</v>
      </c>
      <c r="C244" s="434" t="s">
        <v>1439</v>
      </c>
      <c r="D244" s="434" t="s">
        <v>145</v>
      </c>
      <c r="E244" s="434" t="s">
        <v>1385</v>
      </c>
      <c r="F244" s="434" t="s">
        <v>1457</v>
      </c>
      <c r="G244" s="593">
        <v>367900</v>
      </c>
      <c r="H244" s="434" t="s">
        <v>534</v>
      </c>
      <c r="I244" s="434" t="s">
        <v>534</v>
      </c>
    </row>
    <row r="245" spans="1:9" hidden="1" x14ac:dyDescent="0.4">
      <c r="A245" s="434">
        <v>1</v>
      </c>
      <c r="B245" s="434" t="s">
        <v>1480</v>
      </c>
      <c r="C245" s="434" t="s">
        <v>1436</v>
      </c>
      <c r="D245" s="434" t="s">
        <v>72</v>
      </c>
      <c r="E245" s="434" t="s">
        <v>1348</v>
      </c>
      <c r="F245" s="434" t="s">
        <v>1437</v>
      </c>
      <c r="G245" s="593">
        <v>88457000</v>
      </c>
      <c r="H245" s="434" t="s">
        <v>1438</v>
      </c>
      <c r="I245" s="434" t="s">
        <v>1438</v>
      </c>
    </row>
    <row r="246" spans="1:9" hidden="1" x14ac:dyDescent="0.4">
      <c r="A246" s="434">
        <v>1</v>
      </c>
      <c r="B246" s="434" t="s">
        <v>1480</v>
      </c>
      <c r="C246" s="434" t="s">
        <v>1436</v>
      </c>
      <c r="D246" s="434" t="s">
        <v>80</v>
      </c>
      <c r="E246" s="434" t="s">
        <v>1332</v>
      </c>
      <c r="F246" s="434" t="s">
        <v>481</v>
      </c>
      <c r="G246" s="593">
        <v>22733200</v>
      </c>
      <c r="H246" s="434" t="s">
        <v>1438</v>
      </c>
      <c r="I246" s="434" t="s">
        <v>1438</v>
      </c>
    </row>
    <row r="247" spans="1:9" hidden="1" x14ac:dyDescent="0.4">
      <c r="A247" s="434">
        <v>1</v>
      </c>
      <c r="B247" s="434" t="s">
        <v>1480</v>
      </c>
      <c r="C247" s="434" t="s">
        <v>1436</v>
      </c>
      <c r="D247" s="434" t="s">
        <v>82</v>
      </c>
      <c r="E247" s="434" t="s">
        <v>1333</v>
      </c>
      <c r="F247" s="434" t="s">
        <v>482</v>
      </c>
      <c r="G247" s="593">
        <v>31247200</v>
      </c>
      <c r="H247" s="434" t="s">
        <v>1438</v>
      </c>
      <c r="I247" s="434" t="s">
        <v>1438</v>
      </c>
    </row>
    <row r="248" spans="1:9" hidden="1" x14ac:dyDescent="0.4">
      <c r="A248" s="434">
        <v>1</v>
      </c>
      <c r="B248" s="434" t="s">
        <v>1480</v>
      </c>
      <c r="C248" s="434" t="s">
        <v>1436</v>
      </c>
      <c r="D248" s="434" t="s">
        <v>84</v>
      </c>
      <c r="E248" s="434" t="s">
        <v>1355</v>
      </c>
      <c r="F248" s="434" t="s">
        <v>483</v>
      </c>
      <c r="G248" s="593">
        <v>13442200</v>
      </c>
      <c r="H248" s="434" t="s">
        <v>1438</v>
      </c>
      <c r="I248" s="434" t="s">
        <v>1438</v>
      </c>
    </row>
    <row r="249" spans="1:9" hidden="1" x14ac:dyDescent="0.4">
      <c r="A249" s="434">
        <v>1</v>
      </c>
      <c r="B249" s="434" t="s">
        <v>1480</v>
      </c>
      <c r="C249" s="434" t="s">
        <v>1436</v>
      </c>
      <c r="D249" s="434" t="s">
        <v>86</v>
      </c>
      <c r="E249" s="434" t="s">
        <v>1356</v>
      </c>
      <c r="F249" s="434" t="s">
        <v>484</v>
      </c>
      <c r="G249" s="593">
        <v>11872900</v>
      </c>
      <c r="H249" s="434" t="s">
        <v>1438</v>
      </c>
      <c r="I249" s="434" t="s">
        <v>1438</v>
      </c>
    </row>
    <row r="250" spans="1:9" hidden="1" x14ac:dyDescent="0.4">
      <c r="A250" s="434">
        <v>1</v>
      </c>
      <c r="B250" s="434" t="s">
        <v>1480</v>
      </c>
      <c r="C250" s="434" t="s">
        <v>1436</v>
      </c>
      <c r="D250" s="434" t="s">
        <v>87</v>
      </c>
      <c r="E250" s="434" t="s">
        <v>1334</v>
      </c>
      <c r="F250" s="434" t="s">
        <v>485</v>
      </c>
      <c r="G250" s="593">
        <v>6996300</v>
      </c>
      <c r="H250" s="434" t="s">
        <v>1438</v>
      </c>
      <c r="I250" s="434" t="s">
        <v>1438</v>
      </c>
    </row>
    <row r="251" spans="1:9" hidden="1" x14ac:dyDescent="0.4">
      <c r="A251" s="434">
        <v>1</v>
      </c>
      <c r="B251" s="434" t="s">
        <v>1480</v>
      </c>
      <c r="C251" s="434" t="s">
        <v>1436</v>
      </c>
      <c r="D251" s="434" t="s">
        <v>90</v>
      </c>
      <c r="E251" s="434" t="s">
        <v>1357</v>
      </c>
      <c r="F251" s="434" t="s">
        <v>486</v>
      </c>
      <c r="G251" s="593">
        <v>14920900</v>
      </c>
      <c r="H251" s="434" t="s">
        <v>1438</v>
      </c>
      <c r="I251" s="434" t="s">
        <v>1438</v>
      </c>
    </row>
    <row r="252" spans="1:9" hidden="1" x14ac:dyDescent="0.4">
      <c r="A252" s="434">
        <v>1</v>
      </c>
      <c r="B252" s="434" t="s">
        <v>1480</v>
      </c>
      <c r="C252" s="434" t="s">
        <v>1436</v>
      </c>
      <c r="D252" s="434" t="s">
        <v>92</v>
      </c>
      <c r="E252" s="434" t="s">
        <v>1358</v>
      </c>
      <c r="F252" s="434" t="s">
        <v>487</v>
      </c>
      <c r="G252" s="593">
        <v>806500</v>
      </c>
      <c r="H252" s="434" t="s">
        <v>1438</v>
      </c>
      <c r="I252" s="434" t="s">
        <v>1438</v>
      </c>
    </row>
    <row r="253" spans="1:9" hidden="1" x14ac:dyDescent="0.4">
      <c r="A253" s="434">
        <v>1</v>
      </c>
      <c r="B253" s="434" t="s">
        <v>1480</v>
      </c>
      <c r="C253" s="434" t="s">
        <v>1436</v>
      </c>
      <c r="D253" s="434" t="s">
        <v>93</v>
      </c>
      <c r="E253" s="434" t="s">
        <v>1359</v>
      </c>
      <c r="F253" s="434" t="s">
        <v>488</v>
      </c>
      <c r="G253" s="593">
        <v>2419600</v>
      </c>
      <c r="H253" s="434" t="s">
        <v>1438</v>
      </c>
      <c r="I253" s="434" t="s">
        <v>1438</v>
      </c>
    </row>
    <row r="254" spans="1:9" hidden="1" x14ac:dyDescent="0.4">
      <c r="A254" s="434">
        <v>1</v>
      </c>
      <c r="B254" s="434" t="s">
        <v>1480</v>
      </c>
      <c r="C254" s="434" t="s">
        <v>1436</v>
      </c>
      <c r="D254" s="434" t="s">
        <v>94</v>
      </c>
      <c r="E254" s="434" t="s">
        <v>1360</v>
      </c>
      <c r="F254" s="434" t="s">
        <v>489</v>
      </c>
      <c r="G254" s="593">
        <v>8065300</v>
      </c>
      <c r="H254" s="434" t="s">
        <v>1438</v>
      </c>
      <c r="I254" s="434" t="s">
        <v>1438</v>
      </c>
    </row>
    <row r="255" spans="1:9" hidden="1" x14ac:dyDescent="0.4">
      <c r="A255" s="434">
        <v>1</v>
      </c>
      <c r="B255" s="434" t="s">
        <v>1480</v>
      </c>
      <c r="C255" s="434" t="s">
        <v>1436</v>
      </c>
      <c r="D255" s="434" t="s">
        <v>96</v>
      </c>
      <c r="E255" s="434" t="s">
        <v>1361</v>
      </c>
      <c r="F255" s="434" t="s">
        <v>490</v>
      </c>
      <c r="G255" s="593">
        <v>806500</v>
      </c>
      <c r="H255" s="434" t="s">
        <v>1438</v>
      </c>
      <c r="I255" s="434" t="s">
        <v>1438</v>
      </c>
    </row>
    <row r="256" spans="1:9" hidden="1" x14ac:dyDescent="0.4">
      <c r="A256" s="434">
        <v>1</v>
      </c>
      <c r="B256" s="434" t="s">
        <v>1480</v>
      </c>
      <c r="C256" s="434" t="s">
        <v>1436</v>
      </c>
      <c r="D256" s="434" t="s">
        <v>510</v>
      </c>
      <c r="E256" s="434" t="s">
        <v>1362</v>
      </c>
      <c r="F256" s="434" t="s">
        <v>491</v>
      </c>
      <c r="G256" s="593">
        <v>8742800</v>
      </c>
      <c r="H256" s="434" t="s">
        <v>1438</v>
      </c>
      <c r="I256" s="434" t="s">
        <v>1438</v>
      </c>
    </row>
    <row r="257" spans="1:12" hidden="1" x14ac:dyDescent="0.4">
      <c r="A257" s="434">
        <v>1</v>
      </c>
      <c r="B257" s="434" t="s">
        <v>1480</v>
      </c>
      <c r="C257" s="434" t="s">
        <v>1436</v>
      </c>
      <c r="D257" s="434" t="s">
        <v>100</v>
      </c>
      <c r="E257" s="434" t="s">
        <v>1363</v>
      </c>
      <c r="F257" s="434" t="s">
        <v>491</v>
      </c>
      <c r="G257" s="593">
        <v>4839200</v>
      </c>
      <c r="H257" s="434" t="s">
        <v>1438</v>
      </c>
      <c r="I257" s="434" t="s">
        <v>1438</v>
      </c>
    </row>
    <row r="258" spans="1:12" hidden="1" x14ac:dyDescent="0.4">
      <c r="A258" s="434">
        <v>1</v>
      </c>
      <c r="B258" s="434" t="s">
        <v>1480</v>
      </c>
      <c r="C258" s="434" t="s">
        <v>1436</v>
      </c>
      <c r="D258" s="434" t="s">
        <v>101</v>
      </c>
      <c r="E258" s="434" t="s">
        <v>1364</v>
      </c>
      <c r="F258" s="434" t="s">
        <v>1135</v>
      </c>
      <c r="G258" s="593">
        <v>2419600</v>
      </c>
      <c r="H258" s="434" t="s">
        <v>1438</v>
      </c>
      <c r="I258" s="434" t="s">
        <v>1438</v>
      </c>
    </row>
    <row r="259" spans="1:12" s="1448" customFormat="1" hidden="1" x14ac:dyDescent="0.4">
      <c r="A259" s="434">
        <v>1</v>
      </c>
      <c r="B259" s="1448" t="s">
        <v>1480</v>
      </c>
      <c r="C259" s="1448" t="s">
        <v>1436</v>
      </c>
      <c r="D259" s="434" t="s">
        <v>72</v>
      </c>
      <c r="F259" s="1448" t="s">
        <v>1749</v>
      </c>
      <c r="G259" s="1449">
        <v>2357500</v>
      </c>
      <c r="H259" s="1448" t="s">
        <v>534</v>
      </c>
      <c r="I259" s="1448" t="s">
        <v>534</v>
      </c>
      <c r="J259" s="1450"/>
      <c r="K259" s="1450"/>
      <c r="L259" s="1450"/>
    </row>
    <row r="260" spans="1:12" s="1448" customFormat="1" hidden="1" x14ac:dyDescent="0.4">
      <c r="A260" s="434">
        <v>1</v>
      </c>
      <c r="B260" s="1448" t="s">
        <v>1480</v>
      </c>
      <c r="C260" s="1448" t="s">
        <v>1436</v>
      </c>
      <c r="D260" s="434" t="s">
        <v>80</v>
      </c>
      <c r="F260" s="1448" t="s">
        <v>1749</v>
      </c>
      <c r="G260" s="1449">
        <v>-200</v>
      </c>
      <c r="H260" s="1448" t="s">
        <v>534</v>
      </c>
      <c r="I260" s="1448" t="s">
        <v>534</v>
      </c>
      <c r="J260" s="1450"/>
      <c r="K260" s="1450"/>
      <c r="L260" s="1450"/>
    </row>
    <row r="261" spans="1:12" s="1448" customFormat="1" hidden="1" x14ac:dyDescent="0.4">
      <c r="A261" s="434">
        <v>1</v>
      </c>
      <c r="B261" s="1448" t="s">
        <v>1480</v>
      </c>
      <c r="C261" s="1448" t="s">
        <v>1436</v>
      </c>
      <c r="D261" s="434" t="s">
        <v>82</v>
      </c>
      <c r="F261" s="1448" t="s">
        <v>1749</v>
      </c>
      <c r="G261" s="1449">
        <v>-200</v>
      </c>
      <c r="H261" s="1448" t="s">
        <v>534</v>
      </c>
      <c r="I261" s="1448" t="s">
        <v>534</v>
      </c>
      <c r="J261" s="1450"/>
      <c r="K261" s="1450"/>
      <c r="L261" s="1450"/>
    </row>
    <row r="262" spans="1:12" s="1448" customFormat="1" hidden="1" x14ac:dyDescent="0.4">
      <c r="A262" s="434">
        <v>1</v>
      </c>
      <c r="B262" s="1448" t="s">
        <v>1480</v>
      </c>
      <c r="C262" s="1448" t="s">
        <v>1436</v>
      </c>
      <c r="D262" s="434" t="s">
        <v>84</v>
      </c>
      <c r="F262" s="1448" t="s">
        <v>1749</v>
      </c>
      <c r="G262" s="1449">
        <v>212800</v>
      </c>
      <c r="H262" s="1448" t="s">
        <v>534</v>
      </c>
      <c r="I262" s="1448" t="s">
        <v>534</v>
      </c>
      <c r="J262" s="1450"/>
      <c r="K262" s="1450"/>
      <c r="L262" s="1450"/>
    </row>
    <row r="263" spans="1:12" s="1448" customFormat="1" hidden="1" x14ac:dyDescent="0.4">
      <c r="A263" s="434">
        <v>1</v>
      </c>
      <c r="B263" s="1448" t="s">
        <v>1480</v>
      </c>
      <c r="C263" s="1448" t="s">
        <v>1436</v>
      </c>
      <c r="D263" s="434" t="s">
        <v>86</v>
      </c>
      <c r="F263" s="1448" t="s">
        <v>1749</v>
      </c>
      <c r="G263" s="1449">
        <v>196600</v>
      </c>
      <c r="H263" s="1448" t="s">
        <v>534</v>
      </c>
      <c r="I263" s="1448" t="s">
        <v>534</v>
      </c>
      <c r="J263" s="1450"/>
      <c r="K263" s="1450"/>
      <c r="L263" s="1450"/>
    </row>
    <row r="264" spans="1:12" s="1448" customFormat="1" hidden="1" x14ac:dyDescent="0.4">
      <c r="A264" s="434">
        <v>1</v>
      </c>
      <c r="B264" s="1448" t="s">
        <v>1480</v>
      </c>
      <c r="C264" s="1448" t="s">
        <v>1436</v>
      </c>
      <c r="D264" s="434" t="s">
        <v>87</v>
      </c>
      <c r="F264" s="1448" t="s">
        <v>1749</v>
      </c>
      <c r="G264" s="1449">
        <v>200</v>
      </c>
      <c r="H264" s="1448" t="s">
        <v>534</v>
      </c>
      <c r="I264" s="1448" t="s">
        <v>534</v>
      </c>
      <c r="J264" s="1450"/>
      <c r="K264" s="1450"/>
      <c r="L264" s="1450"/>
    </row>
    <row r="265" spans="1:12" s="1448" customFormat="1" hidden="1" x14ac:dyDescent="0.4">
      <c r="A265" s="434">
        <v>1</v>
      </c>
      <c r="B265" s="1448" t="s">
        <v>1480</v>
      </c>
      <c r="C265" s="1448" t="s">
        <v>1436</v>
      </c>
      <c r="D265" s="434" t="s">
        <v>90</v>
      </c>
      <c r="F265" s="1448" t="s">
        <v>1749</v>
      </c>
      <c r="G265" s="1449">
        <v>236100</v>
      </c>
      <c r="H265" s="1448" t="s">
        <v>534</v>
      </c>
      <c r="I265" s="1448" t="s">
        <v>534</v>
      </c>
      <c r="J265" s="1450"/>
      <c r="K265" s="1450"/>
      <c r="L265" s="1450"/>
    </row>
    <row r="266" spans="1:12" s="1448" customFormat="1" hidden="1" x14ac:dyDescent="0.4">
      <c r="A266" s="434">
        <v>1</v>
      </c>
      <c r="B266" s="1448" t="s">
        <v>1480</v>
      </c>
      <c r="C266" s="1448" t="s">
        <v>1436</v>
      </c>
      <c r="D266" s="434" t="s">
        <v>92</v>
      </c>
      <c r="F266" s="1448" t="s">
        <v>1749</v>
      </c>
      <c r="G266" s="1449">
        <v>13000</v>
      </c>
      <c r="H266" s="1448" t="s">
        <v>534</v>
      </c>
      <c r="I266" s="1448" t="s">
        <v>534</v>
      </c>
      <c r="J266" s="1450"/>
      <c r="K266" s="1450"/>
      <c r="L266" s="1450"/>
    </row>
    <row r="267" spans="1:12" s="1448" customFormat="1" hidden="1" x14ac:dyDescent="0.4">
      <c r="A267" s="434">
        <v>1</v>
      </c>
      <c r="B267" s="1448" t="s">
        <v>1480</v>
      </c>
      <c r="C267" s="1448" t="s">
        <v>1436</v>
      </c>
      <c r="D267" s="434" t="s">
        <v>93</v>
      </c>
      <c r="F267" s="1448" t="s">
        <v>1749</v>
      </c>
      <c r="G267" s="1449">
        <v>38400</v>
      </c>
      <c r="H267" s="1448" t="s">
        <v>534</v>
      </c>
      <c r="I267" s="1448" t="s">
        <v>534</v>
      </c>
      <c r="J267" s="1450"/>
      <c r="K267" s="1450"/>
      <c r="L267" s="1450"/>
    </row>
    <row r="268" spans="1:12" s="1448" customFormat="1" hidden="1" x14ac:dyDescent="0.4">
      <c r="A268" s="434">
        <v>1</v>
      </c>
      <c r="B268" s="1448" t="s">
        <v>1480</v>
      </c>
      <c r="C268" s="1448" t="s">
        <v>1436</v>
      </c>
      <c r="D268" s="434" t="s">
        <v>94</v>
      </c>
      <c r="F268" s="1448" t="s">
        <v>1749</v>
      </c>
      <c r="G268" s="1449">
        <v>127700</v>
      </c>
      <c r="H268" s="1448" t="s">
        <v>534</v>
      </c>
      <c r="I268" s="1448" t="s">
        <v>534</v>
      </c>
      <c r="J268" s="1450"/>
      <c r="K268" s="1450"/>
      <c r="L268" s="1450"/>
    </row>
    <row r="269" spans="1:12" s="1448" customFormat="1" hidden="1" x14ac:dyDescent="0.4">
      <c r="A269" s="434">
        <v>1</v>
      </c>
      <c r="B269" s="1448" t="s">
        <v>1480</v>
      </c>
      <c r="C269" s="1448" t="s">
        <v>1436</v>
      </c>
      <c r="D269" s="434" t="s">
        <v>96</v>
      </c>
      <c r="F269" s="1448" t="s">
        <v>1749</v>
      </c>
      <c r="G269" s="1449">
        <v>13000</v>
      </c>
      <c r="H269" s="1448" t="s">
        <v>534</v>
      </c>
      <c r="I269" s="1448" t="s">
        <v>534</v>
      </c>
      <c r="J269" s="1450"/>
      <c r="K269" s="1450"/>
      <c r="L269" s="1450"/>
    </row>
    <row r="270" spans="1:12" s="1448" customFormat="1" hidden="1" x14ac:dyDescent="0.4">
      <c r="A270" s="434">
        <v>1</v>
      </c>
      <c r="B270" s="1448" t="s">
        <v>1480</v>
      </c>
      <c r="C270" s="1448" t="s">
        <v>1436</v>
      </c>
      <c r="D270" s="434" t="s">
        <v>510</v>
      </c>
      <c r="F270" s="1448" t="s">
        <v>1749</v>
      </c>
      <c r="G270" s="1449">
        <v>138200</v>
      </c>
      <c r="H270" s="1448" t="s">
        <v>534</v>
      </c>
      <c r="I270" s="1448" t="s">
        <v>534</v>
      </c>
      <c r="J270" s="1450"/>
      <c r="K270" s="1450"/>
      <c r="L270" s="1450"/>
    </row>
    <row r="271" spans="1:12" s="1448" customFormat="1" hidden="1" x14ac:dyDescent="0.4">
      <c r="A271" s="434">
        <v>1</v>
      </c>
      <c r="B271" s="1448" t="s">
        <v>1480</v>
      </c>
      <c r="C271" s="1448" t="s">
        <v>1436</v>
      </c>
      <c r="D271" s="434" t="s">
        <v>100</v>
      </c>
      <c r="F271" s="1448" t="s">
        <v>1749</v>
      </c>
      <c r="G271" s="1449">
        <v>76300</v>
      </c>
      <c r="H271" s="1448" t="s">
        <v>534</v>
      </c>
      <c r="I271" s="1448" t="s">
        <v>534</v>
      </c>
      <c r="J271" s="1450"/>
      <c r="K271" s="1450"/>
      <c r="L271" s="1450"/>
    </row>
    <row r="272" spans="1:12" s="1448" customFormat="1" hidden="1" x14ac:dyDescent="0.4">
      <c r="A272" s="434">
        <v>1</v>
      </c>
      <c r="B272" s="1448" t="s">
        <v>1480</v>
      </c>
      <c r="C272" s="1448" t="s">
        <v>1436</v>
      </c>
      <c r="D272" s="434" t="s">
        <v>101</v>
      </c>
      <c r="F272" s="1448" t="s">
        <v>1749</v>
      </c>
      <c r="G272" s="1449">
        <v>38400</v>
      </c>
      <c r="H272" s="1448" t="s">
        <v>534</v>
      </c>
      <c r="I272" s="1448" t="s">
        <v>534</v>
      </c>
      <c r="J272" s="1450"/>
      <c r="K272" s="1450"/>
      <c r="L272" s="1450"/>
    </row>
    <row r="273" spans="1:9" hidden="1" x14ac:dyDescent="0.4">
      <c r="A273" s="434">
        <v>1</v>
      </c>
      <c r="B273" s="434" t="s">
        <v>1480</v>
      </c>
      <c r="C273" s="434" t="s">
        <v>1439</v>
      </c>
      <c r="D273" s="434" t="s">
        <v>106</v>
      </c>
      <c r="E273" s="434" t="s">
        <v>1366</v>
      </c>
      <c r="F273" s="434" t="s">
        <v>1440</v>
      </c>
      <c r="G273" s="593">
        <v>5565800</v>
      </c>
      <c r="H273" s="434" t="s">
        <v>1441</v>
      </c>
      <c r="I273" s="434" t="s">
        <v>1438</v>
      </c>
    </row>
    <row r="274" spans="1:9" hidden="1" x14ac:dyDescent="0.4">
      <c r="A274" s="434">
        <v>1</v>
      </c>
      <c r="B274" s="434" t="s">
        <v>1480</v>
      </c>
      <c r="C274" s="434" t="s">
        <v>1439</v>
      </c>
      <c r="D274" s="434" t="s">
        <v>116</v>
      </c>
      <c r="E274" s="434" t="s">
        <v>1370</v>
      </c>
      <c r="F274" s="434" t="s">
        <v>1442</v>
      </c>
      <c r="G274" s="593">
        <v>225600</v>
      </c>
      <c r="H274" s="434" t="s">
        <v>1441</v>
      </c>
      <c r="I274" s="434" t="s">
        <v>1438</v>
      </c>
    </row>
    <row r="275" spans="1:9" hidden="1" x14ac:dyDescent="0.4">
      <c r="A275" s="434">
        <v>1</v>
      </c>
      <c r="B275" s="434" t="s">
        <v>1480</v>
      </c>
      <c r="C275" s="434" t="s">
        <v>1439</v>
      </c>
      <c r="D275" s="434" t="s">
        <v>118</v>
      </c>
      <c r="E275" s="434" t="s">
        <v>1371</v>
      </c>
      <c r="F275" s="434" t="s">
        <v>1443</v>
      </c>
      <c r="G275" s="593">
        <v>798100</v>
      </c>
      <c r="H275" s="434" t="s">
        <v>1441</v>
      </c>
      <c r="I275" s="434" t="s">
        <v>1438</v>
      </c>
    </row>
    <row r="276" spans="1:9" x14ac:dyDescent="0.4">
      <c r="A276" s="434">
        <v>1</v>
      </c>
      <c r="B276" s="434" t="s">
        <v>1480</v>
      </c>
      <c r="C276" s="434" t="s">
        <v>1439</v>
      </c>
      <c r="D276" s="434" t="s">
        <v>326</v>
      </c>
      <c r="E276" s="434" t="s">
        <v>1373</v>
      </c>
      <c r="F276" s="434" t="s">
        <v>1455</v>
      </c>
      <c r="G276" s="593">
        <v>345300</v>
      </c>
      <c r="H276" s="434" t="s">
        <v>534</v>
      </c>
      <c r="I276" s="434" t="s">
        <v>534</v>
      </c>
    </row>
    <row r="277" spans="1:9" hidden="1" x14ac:dyDescent="0.4">
      <c r="A277" s="434">
        <v>1</v>
      </c>
      <c r="B277" s="434" t="s">
        <v>1480</v>
      </c>
      <c r="C277" s="434" t="s">
        <v>1439</v>
      </c>
      <c r="D277" s="434" t="s">
        <v>137</v>
      </c>
      <c r="E277" s="434" t="s">
        <v>1379</v>
      </c>
      <c r="F277" s="434" t="s">
        <v>1481</v>
      </c>
      <c r="G277" s="593">
        <v>1000000</v>
      </c>
      <c r="H277" s="434" t="s">
        <v>534</v>
      </c>
      <c r="I277" s="434" t="s">
        <v>534</v>
      </c>
    </row>
    <row r="278" spans="1:9" hidden="1" x14ac:dyDescent="0.4">
      <c r="A278" s="434">
        <v>1</v>
      </c>
      <c r="B278" s="434" t="s">
        <v>1480</v>
      </c>
      <c r="C278" s="434" t="s">
        <v>1439</v>
      </c>
      <c r="D278" s="434" t="s">
        <v>141</v>
      </c>
      <c r="E278" s="434" t="s">
        <v>1383</v>
      </c>
      <c r="F278" s="434" t="s">
        <v>1482</v>
      </c>
      <c r="G278" s="593">
        <v>18000000</v>
      </c>
      <c r="H278" s="434" t="s">
        <v>534</v>
      </c>
      <c r="I278" s="434" t="s">
        <v>534</v>
      </c>
    </row>
    <row r="279" spans="1:9" hidden="1" x14ac:dyDescent="0.4">
      <c r="A279" s="434">
        <v>1</v>
      </c>
      <c r="B279" s="434" t="s">
        <v>1480</v>
      </c>
      <c r="C279" s="434" t="s">
        <v>1439</v>
      </c>
      <c r="D279" s="434" t="s">
        <v>145</v>
      </c>
      <c r="E279" s="434" t="s">
        <v>1385</v>
      </c>
      <c r="F279" s="434" t="s">
        <v>1448</v>
      </c>
      <c r="G279" s="593">
        <v>1637400</v>
      </c>
      <c r="H279" s="434" t="s">
        <v>534</v>
      </c>
      <c r="I279" s="434" t="s">
        <v>534</v>
      </c>
    </row>
    <row r="280" spans="1:9" hidden="1" x14ac:dyDescent="0.4">
      <c r="A280" s="434">
        <v>1</v>
      </c>
      <c r="B280" s="434" t="s">
        <v>1480</v>
      </c>
      <c r="C280" s="434" t="s">
        <v>1439</v>
      </c>
      <c r="D280" s="434" t="s">
        <v>157</v>
      </c>
      <c r="E280" s="434" t="s">
        <v>1390</v>
      </c>
      <c r="F280" s="434" t="s">
        <v>1483</v>
      </c>
      <c r="G280" s="593">
        <v>350000</v>
      </c>
      <c r="H280" s="434" t="s">
        <v>534</v>
      </c>
      <c r="I280" s="434" t="s">
        <v>534</v>
      </c>
    </row>
    <row r="281" spans="1:9" hidden="1" x14ac:dyDescent="0.4">
      <c r="A281" s="434">
        <v>1</v>
      </c>
      <c r="B281" s="434" t="s">
        <v>1480</v>
      </c>
      <c r="C281" s="434" t="s">
        <v>1439</v>
      </c>
      <c r="D281" s="434" t="s">
        <v>160</v>
      </c>
      <c r="E281" s="434" t="s">
        <v>1391</v>
      </c>
      <c r="F281" s="434" t="s">
        <v>1449</v>
      </c>
      <c r="G281" s="593">
        <v>1064700</v>
      </c>
      <c r="H281" s="434" t="s">
        <v>534</v>
      </c>
      <c r="I281" s="434" t="s">
        <v>534</v>
      </c>
    </row>
    <row r="282" spans="1:9" hidden="1" x14ac:dyDescent="0.4">
      <c r="A282" s="434">
        <v>1</v>
      </c>
      <c r="B282" s="434" t="s">
        <v>1480</v>
      </c>
      <c r="C282" s="434" t="s">
        <v>1439</v>
      </c>
      <c r="D282" s="434" t="s">
        <v>408</v>
      </c>
      <c r="E282" s="434" t="s">
        <v>1401</v>
      </c>
      <c r="F282" s="434" t="s">
        <v>1484</v>
      </c>
      <c r="G282" s="593">
        <v>500000</v>
      </c>
      <c r="H282" s="434" t="s">
        <v>534</v>
      </c>
      <c r="I282" s="434" t="s">
        <v>534</v>
      </c>
    </row>
    <row r="283" spans="1:9" hidden="1" x14ac:dyDescent="0.4">
      <c r="A283" s="434">
        <v>1</v>
      </c>
      <c r="B283" s="434" t="s">
        <v>1480</v>
      </c>
      <c r="C283" s="434" t="s">
        <v>1485</v>
      </c>
      <c r="D283" s="434" t="s">
        <v>353</v>
      </c>
      <c r="E283" s="434" t="s">
        <v>1425</v>
      </c>
      <c r="F283" s="434" t="s">
        <v>1486</v>
      </c>
      <c r="G283" s="593">
        <v>30000000</v>
      </c>
      <c r="H283" s="434" t="s">
        <v>1441</v>
      </c>
      <c r="I283" s="434" t="s">
        <v>1438</v>
      </c>
    </row>
    <row r="284" spans="1:9" hidden="1" x14ac:dyDescent="0.4">
      <c r="A284" s="434">
        <v>1</v>
      </c>
      <c r="B284" s="434" t="s">
        <v>1487</v>
      </c>
      <c r="C284" s="434" t="s">
        <v>1436</v>
      </c>
      <c r="D284" s="434" t="s">
        <v>72</v>
      </c>
      <c r="E284" s="434" t="s">
        <v>1348</v>
      </c>
      <c r="F284" s="434" t="s">
        <v>1437</v>
      </c>
      <c r="G284" s="593">
        <v>68341800</v>
      </c>
      <c r="H284" s="434" t="s">
        <v>1438</v>
      </c>
      <c r="I284" s="434" t="s">
        <v>1438</v>
      </c>
    </row>
    <row r="285" spans="1:9" hidden="1" x14ac:dyDescent="0.4">
      <c r="A285" s="434">
        <v>1</v>
      </c>
      <c r="B285" s="434" t="s">
        <v>1487</v>
      </c>
      <c r="C285" s="434" t="s">
        <v>1436</v>
      </c>
      <c r="D285" s="434" t="s">
        <v>80</v>
      </c>
      <c r="E285" s="434" t="s">
        <v>1332</v>
      </c>
      <c r="F285" s="434" t="s">
        <v>481</v>
      </c>
      <c r="G285" s="593">
        <v>15983200</v>
      </c>
      <c r="H285" s="434" t="s">
        <v>1438</v>
      </c>
      <c r="I285" s="434" t="s">
        <v>1438</v>
      </c>
    </row>
    <row r="286" spans="1:9" hidden="1" x14ac:dyDescent="0.4">
      <c r="A286" s="434">
        <v>1</v>
      </c>
      <c r="B286" s="434" t="s">
        <v>1487</v>
      </c>
      <c r="C286" s="434" t="s">
        <v>1436</v>
      </c>
      <c r="D286" s="434" t="s">
        <v>82</v>
      </c>
      <c r="E286" s="434" t="s">
        <v>1333</v>
      </c>
      <c r="F286" s="434" t="s">
        <v>482</v>
      </c>
      <c r="G286" s="593">
        <v>20055100</v>
      </c>
      <c r="H286" s="434" t="s">
        <v>1438</v>
      </c>
      <c r="I286" s="434" t="s">
        <v>1438</v>
      </c>
    </row>
    <row r="287" spans="1:9" hidden="1" x14ac:dyDescent="0.4">
      <c r="A287" s="434">
        <v>1</v>
      </c>
      <c r="B287" s="434" t="s">
        <v>1487</v>
      </c>
      <c r="C287" s="434" t="s">
        <v>1436</v>
      </c>
      <c r="D287" s="434" t="s">
        <v>84</v>
      </c>
      <c r="E287" s="434" t="s">
        <v>1355</v>
      </c>
      <c r="F287" s="434" t="s">
        <v>483</v>
      </c>
      <c r="G287" s="593">
        <v>9833800</v>
      </c>
      <c r="H287" s="434" t="s">
        <v>1438</v>
      </c>
      <c r="I287" s="434" t="s">
        <v>1438</v>
      </c>
    </row>
    <row r="288" spans="1:9" hidden="1" x14ac:dyDescent="0.4">
      <c r="A288" s="434">
        <v>1</v>
      </c>
      <c r="B288" s="434" t="s">
        <v>1487</v>
      </c>
      <c r="C288" s="434" t="s">
        <v>1436</v>
      </c>
      <c r="D288" s="434" t="s">
        <v>86</v>
      </c>
      <c r="E288" s="434" t="s">
        <v>1356</v>
      </c>
      <c r="F288" s="434" t="s">
        <v>484</v>
      </c>
      <c r="G288" s="593">
        <v>8920400</v>
      </c>
      <c r="H288" s="434" t="s">
        <v>1438</v>
      </c>
      <c r="I288" s="434" t="s">
        <v>1438</v>
      </c>
    </row>
    <row r="289" spans="1:12" hidden="1" x14ac:dyDescent="0.4">
      <c r="A289" s="434">
        <v>1</v>
      </c>
      <c r="B289" s="434" t="s">
        <v>1487</v>
      </c>
      <c r="C289" s="434" t="s">
        <v>1436</v>
      </c>
      <c r="D289" s="434" t="s">
        <v>87</v>
      </c>
      <c r="E289" s="434" t="s">
        <v>1334</v>
      </c>
      <c r="F289" s="434" t="s">
        <v>485</v>
      </c>
      <c r="G289" s="593">
        <v>4705100</v>
      </c>
      <c r="H289" s="434" t="s">
        <v>1438</v>
      </c>
      <c r="I289" s="434" t="s">
        <v>1438</v>
      </c>
    </row>
    <row r="290" spans="1:12" hidden="1" x14ac:dyDescent="0.4">
      <c r="A290" s="434">
        <v>1</v>
      </c>
      <c r="B290" s="434" t="s">
        <v>1487</v>
      </c>
      <c r="C290" s="434" t="s">
        <v>1436</v>
      </c>
      <c r="D290" s="434" t="s">
        <v>90</v>
      </c>
      <c r="E290" s="434" t="s">
        <v>1357</v>
      </c>
      <c r="F290" s="434" t="s">
        <v>486</v>
      </c>
      <c r="G290" s="593">
        <v>10915500</v>
      </c>
      <c r="H290" s="434" t="s">
        <v>1438</v>
      </c>
      <c r="I290" s="434" t="s">
        <v>1438</v>
      </c>
    </row>
    <row r="291" spans="1:12" hidden="1" x14ac:dyDescent="0.4">
      <c r="A291" s="434">
        <v>1</v>
      </c>
      <c r="B291" s="434" t="s">
        <v>1487</v>
      </c>
      <c r="C291" s="434" t="s">
        <v>1436</v>
      </c>
      <c r="D291" s="434" t="s">
        <v>92</v>
      </c>
      <c r="E291" s="434" t="s">
        <v>1358</v>
      </c>
      <c r="F291" s="434" t="s">
        <v>487</v>
      </c>
      <c r="G291" s="593">
        <v>590000</v>
      </c>
      <c r="H291" s="434" t="s">
        <v>1438</v>
      </c>
      <c r="I291" s="434" t="s">
        <v>1438</v>
      </c>
    </row>
    <row r="292" spans="1:12" hidden="1" x14ac:dyDescent="0.4">
      <c r="A292" s="434">
        <v>1</v>
      </c>
      <c r="B292" s="434" t="s">
        <v>1487</v>
      </c>
      <c r="C292" s="434" t="s">
        <v>1436</v>
      </c>
      <c r="D292" s="434" t="s">
        <v>93</v>
      </c>
      <c r="E292" s="434" t="s">
        <v>1359</v>
      </c>
      <c r="F292" s="434" t="s">
        <v>488</v>
      </c>
      <c r="G292" s="593">
        <v>1770100</v>
      </c>
      <c r="H292" s="434" t="s">
        <v>1438</v>
      </c>
      <c r="I292" s="434" t="s">
        <v>1438</v>
      </c>
    </row>
    <row r="293" spans="1:12" hidden="1" x14ac:dyDescent="0.4">
      <c r="A293" s="434">
        <v>1</v>
      </c>
      <c r="B293" s="434" t="s">
        <v>1487</v>
      </c>
      <c r="C293" s="434" t="s">
        <v>1436</v>
      </c>
      <c r="D293" s="434" t="s">
        <v>94</v>
      </c>
      <c r="E293" s="434" t="s">
        <v>1360</v>
      </c>
      <c r="F293" s="434" t="s">
        <v>489</v>
      </c>
      <c r="G293" s="593">
        <v>5900300</v>
      </c>
      <c r="H293" s="434" t="s">
        <v>1438</v>
      </c>
      <c r="I293" s="434" t="s">
        <v>1438</v>
      </c>
    </row>
    <row r="294" spans="1:12" hidden="1" x14ac:dyDescent="0.4">
      <c r="A294" s="434">
        <v>1</v>
      </c>
      <c r="B294" s="434" t="s">
        <v>1487</v>
      </c>
      <c r="C294" s="434" t="s">
        <v>1436</v>
      </c>
      <c r="D294" s="434" t="s">
        <v>96</v>
      </c>
      <c r="E294" s="434" t="s">
        <v>1361</v>
      </c>
      <c r="F294" s="434" t="s">
        <v>490</v>
      </c>
      <c r="G294" s="593">
        <v>590000</v>
      </c>
      <c r="H294" s="434" t="s">
        <v>1438</v>
      </c>
      <c r="I294" s="434" t="s">
        <v>1438</v>
      </c>
    </row>
    <row r="295" spans="1:12" hidden="1" x14ac:dyDescent="0.4">
      <c r="A295" s="434">
        <v>1</v>
      </c>
      <c r="B295" s="434" t="s">
        <v>1487</v>
      </c>
      <c r="C295" s="434" t="s">
        <v>1436</v>
      </c>
      <c r="D295" s="434" t="s">
        <v>510</v>
      </c>
      <c r="E295" s="434" t="s">
        <v>1362</v>
      </c>
      <c r="F295" s="434" t="s">
        <v>491</v>
      </c>
      <c r="G295" s="593">
        <v>6395900</v>
      </c>
      <c r="H295" s="434" t="s">
        <v>1438</v>
      </c>
      <c r="I295" s="434" t="s">
        <v>1438</v>
      </c>
    </row>
    <row r="296" spans="1:12" hidden="1" x14ac:dyDescent="0.4">
      <c r="A296" s="434">
        <v>1</v>
      </c>
      <c r="B296" s="434" t="s">
        <v>1487</v>
      </c>
      <c r="C296" s="434" t="s">
        <v>1436</v>
      </c>
      <c r="D296" s="434" t="s">
        <v>100</v>
      </c>
      <c r="E296" s="434" t="s">
        <v>1363</v>
      </c>
      <c r="F296" s="434" t="s">
        <v>491</v>
      </c>
      <c r="G296" s="593">
        <v>3540200</v>
      </c>
      <c r="H296" s="434" t="s">
        <v>1438</v>
      </c>
      <c r="I296" s="434" t="s">
        <v>1438</v>
      </c>
    </row>
    <row r="297" spans="1:12" hidden="1" x14ac:dyDescent="0.4">
      <c r="A297" s="434">
        <v>1</v>
      </c>
      <c r="B297" s="434" t="s">
        <v>1487</v>
      </c>
      <c r="C297" s="434" t="s">
        <v>1436</v>
      </c>
      <c r="D297" s="434" t="s">
        <v>101</v>
      </c>
      <c r="E297" s="434" t="s">
        <v>1364</v>
      </c>
      <c r="F297" s="434" t="s">
        <v>1135</v>
      </c>
      <c r="G297" s="593">
        <v>1770100</v>
      </c>
      <c r="H297" s="434" t="s">
        <v>1438</v>
      </c>
      <c r="I297" s="434" t="s">
        <v>1438</v>
      </c>
    </row>
    <row r="298" spans="1:12" s="1448" customFormat="1" hidden="1" x14ac:dyDescent="0.4">
      <c r="A298" s="434">
        <v>1</v>
      </c>
      <c r="B298" s="1448" t="s">
        <v>1487</v>
      </c>
      <c r="C298" s="1448" t="s">
        <v>1436</v>
      </c>
      <c r="D298" s="434" t="s">
        <v>72</v>
      </c>
      <c r="F298" s="1448" t="s">
        <v>1749</v>
      </c>
      <c r="G298" s="1449">
        <v>4249200</v>
      </c>
      <c r="H298" s="1448" t="s">
        <v>534</v>
      </c>
      <c r="I298" s="1448" t="s">
        <v>534</v>
      </c>
      <c r="J298" s="1450"/>
      <c r="K298" s="1450"/>
      <c r="L298" s="1450"/>
    </row>
    <row r="299" spans="1:12" s="1448" customFormat="1" hidden="1" x14ac:dyDescent="0.4">
      <c r="A299" s="434">
        <v>1</v>
      </c>
      <c r="B299" s="1448" t="s">
        <v>1487</v>
      </c>
      <c r="C299" s="1448" t="s">
        <v>1436</v>
      </c>
      <c r="D299" s="434" t="s">
        <v>80</v>
      </c>
      <c r="F299" s="1448" t="s">
        <v>1749</v>
      </c>
      <c r="G299" s="1449">
        <v>-200</v>
      </c>
      <c r="H299" s="1448" t="s">
        <v>534</v>
      </c>
      <c r="I299" s="1448" t="s">
        <v>534</v>
      </c>
      <c r="J299" s="1450"/>
      <c r="K299" s="1450"/>
      <c r="L299" s="1450"/>
    </row>
    <row r="300" spans="1:12" s="1448" customFormat="1" hidden="1" x14ac:dyDescent="0.4">
      <c r="A300" s="434">
        <v>1</v>
      </c>
      <c r="B300" s="1448" t="s">
        <v>1487</v>
      </c>
      <c r="C300" s="1448" t="s">
        <v>1436</v>
      </c>
      <c r="D300" s="434" t="s">
        <v>82</v>
      </c>
      <c r="F300" s="1448" t="s">
        <v>1749</v>
      </c>
      <c r="G300" s="1449">
        <v>-100</v>
      </c>
      <c r="H300" s="1448" t="s">
        <v>534</v>
      </c>
      <c r="I300" s="1448" t="s">
        <v>534</v>
      </c>
      <c r="J300" s="1450"/>
      <c r="K300" s="1450"/>
      <c r="L300" s="1450"/>
    </row>
    <row r="301" spans="1:12" s="1448" customFormat="1" hidden="1" x14ac:dyDescent="0.4">
      <c r="A301" s="434">
        <v>1</v>
      </c>
      <c r="B301" s="1448" t="s">
        <v>1487</v>
      </c>
      <c r="C301" s="1448" t="s">
        <v>1436</v>
      </c>
      <c r="D301" s="434" t="s">
        <v>84</v>
      </c>
      <c r="F301" s="1448" t="s">
        <v>1749</v>
      </c>
      <c r="G301" s="1449">
        <v>383700</v>
      </c>
      <c r="H301" s="1448" t="s">
        <v>534</v>
      </c>
      <c r="I301" s="1448" t="s">
        <v>534</v>
      </c>
      <c r="J301" s="1450"/>
      <c r="K301" s="1450"/>
      <c r="L301" s="1450"/>
    </row>
    <row r="302" spans="1:12" s="1448" customFormat="1" hidden="1" x14ac:dyDescent="0.4">
      <c r="A302" s="434">
        <v>1</v>
      </c>
      <c r="B302" s="1448" t="s">
        <v>1487</v>
      </c>
      <c r="C302" s="1448" t="s">
        <v>1436</v>
      </c>
      <c r="D302" s="434" t="s">
        <v>86</v>
      </c>
      <c r="F302" s="1448" t="s">
        <v>1749</v>
      </c>
      <c r="G302" s="1449">
        <v>354100</v>
      </c>
      <c r="H302" s="1448" t="s">
        <v>534</v>
      </c>
      <c r="I302" s="1448" t="s">
        <v>534</v>
      </c>
      <c r="J302" s="1450"/>
      <c r="K302" s="1450"/>
      <c r="L302" s="1450"/>
    </row>
    <row r="303" spans="1:12" s="1448" customFormat="1" hidden="1" x14ac:dyDescent="0.4">
      <c r="A303" s="434">
        <v>1</v>
      </c>
      <c r="B303" s="1448" t="s">
        <v>1487</v>
      </c>
      <c r="C303" s="1448" t="s">
        <v>1436</v>
      </c>
      <c r="D303" s="434" t="s">
        <v>87</v>
      </c>
      <c r="F303" s="1448" t="s">
        <v>1749</v>
      </c>
      <c r="G303" s="1449">
        <v>-100</v>
      </c>
      <c r="H303" s="1448" t="s">
        <v>534</v>
      </c>
      <c r="I303" s="1448" t="s">
        <v>534</v>
      </c>
      <c r="J303" s="1450"/>
      <c r="K303" s="1450"/>
      <c r="L303" s="1450"/>
    </row>
    <row r="304" spans="1:12" s="1448" customFormat="1" hidden="1" x14ac:dyDescent="0.4">
      <c r="A304" s="434">
        <v>1</v>
      </c>
      <c r="B304" s="1448" t="s">
        <v>1487</v>
      </c>
      <c r="C304" s="1448" t="s">
        <v>1436</v>
      </c>
      <c r="D304" s="434" t="s">
        <v>90</v>
      </c>
      <c r="F304" s="1448" t="s">
        <v>1749</v>
      </c>
      <c r="G304" s="1449">
        <v>426000</v>
      </c>
      <c r="H304" s="1448" t="s">
        <v>534</v>
      </c>
      <c r="I304" s="1448" t="s">
        <v>534</v>
      </c>
      <c r="J304" s="1450"/>
      <c r="K304" s="1450"/>
      <c r="L304" s="1450"/>
    </row>
    <row r="305" spans="1:12" s="1448" customFormat="1" hidden="1" x14ac:dyDescent="0.4">
      <c r="A305" s="434">
        <v>1</v>
      </c>
      <c r="B305" s="1448" t="s">
        <v>1487</v>
      </c>
      <c r="C305" s="1448" t="s">
        <v>1436</v>
      </c>
      <c r="D305" s="434" t="s">
        <v>92</v>
      </c>
      <c r="F305" s="1448" t="s">
        <v>1749</v>
      </c>
      <c r="G305" s="1449">
        <v>23000</v>
      </c>
      <c r="H305" s="1448" t="s">
        <v>534</v>
      </c>
      <c r="I305" s="1448" t="s">
        <v>534</v>
      </c>
      <c r="J305" s="1450"/>
      <c r="K305" s="1450"/>
      <c r="L305" s="1450"/>
    </row>
    <row r="306" spans="1:12" s="1448" customFormat="1" hidden="1" x14ac:dyDescent="0.4">
      <c r="A306" s="434">
        <v>1</v>
      </c>
      <c r="B306" s="1448" t="s">
        <v>1487</v>
      </c>
      <c r="C306" s="1448" t="s">
        <v>1436</v>
      </c>
      <c r="D306" s="434" t="s">
        <v>93</v>
      </c>
      <c r="F306" s="1448" t="s">
        <v>1749</v>
      </c>
      <c r="G306" s="1449">
        <v>68900</v>
      </c>
      <c r="H306" s="1448" t="s">
        <v>534</v>
      </c>
      <c r="I306" s="1448" t="s">
        <v>534</v>
      </c>
      <c r="J306" s="1450"/>
      <c r="K306" s="1450"/>
      <c r="L306" s="1450"/>
    </row>
    <row r="307" spans="1:12" s="1448" customFormat="1" hidden="1" x14ac:dyDescent="0.4">
      <c r="A307" s="434">
        <v>1</v>
      </c>
      <c r="B307" s="1448" t="s">
        <v>1487</v>
      </c>
      <c r="C307" s="1448" t="s">
        <v>1436</v>
      </c>
      <c r="D307" s="434" t="s">
        <v>94</v>
      </c>
      <c r="F307" s="1448" t="s">
        <v>1749</v>
      </c>
      <c r="G307" s="1449">
        <v>230200</v>
      </c>
      <c r="H307" s="1448" t="s">
        <v>534</v>
      </c>
      <c r="I307" s="1448" t="s">
        <v>534</v>
      </c>
      <c r="J307" s="1450"/>
      <c r="K307" s="1450"/>
      <c r="L307" s="1450"/>
    </row>
    <row r="308" spans="1:12" s="1448" customFormat="1" hidden="1" x14ac:dyDescent="0.4">
      <c r="A308" s="434">
        <v>1</v>
      </c>
      <c r="B308" s="1448" t="s">
        <v>1487</v>
      </c>
      <c r="C308" s="1448" t="s">
        <v>1436</v>
      </c>
      <c r="D308" s="434" t="s">
        <v>96</v>
      </c>
      <c r="F308" s="1448" t="s">
        <v>1749</v>
      </c>
      <c r="G308" s="1449">
        <v>23000</v>
      </c>
      <c r="H308" s="1448" t="s">
        <v>534</v>
      </c>
      <c r="I308" s="1448" t="s">
        <v>534</v>
      </c>
      <c r="J308" s="1450"/>
      <c r="K308" s="1450"/>
      <c r="L308" s="1450"/>
    </row>
    <row r="309" spans="1:12" s="1448" customFormat="1" hidden="1" x14ac:dyDescent="0.4">
      <c r="A309" s="434">
        <v>1</v>
      </c>
      <c r="B309" s="1448" t="s">
        <v>1487</v>
      </c>
      <c r="C309" s="1448" t="s">
        <v>1436</v>
      </c>
      <c r="D309" s="434" t="s">
        <v>510</v>
      </c>
      <c r="F309" s="1448" t="s">
        <v>1749</v>
      </c>
      <c r="G309" s="1449">
        <v>249600</v>
      </c>
      <c r="H309" s="1448" t="s">
        <v>534</v>
      </c>
      <c r="I309" s="1448" t="s">
        <v>534</v>
      </c>
      <c r="J309" s="1450"/>
      <c r="K309" s="1450"/>
      <c r="L309" s="1450"/>
    </row>
    <row r="310" spans="1:12" s="1448" customFormat="1" hidden="1" x14ac:dyDescent="0.4">
      <c r="A310" s="434">
        <v>1</v>
      </c>
      <c r="B310" s="1448" t="s">
        <v>1487</v>
      </c>
      <c r="C310" s="1448" t="s">
        <v>1436</v>
      </c>
      <c r="D310" s="434" t="s">
        <v>100</v>
      </c>
      <c r="F310" s="1448" t="s">
        <v>1749</v>
      </c>
      <c r="G310" s="1449">
        <v>137800</v>
      </c>
      <c r="H310" s="1448" t="s">
        <v>534</v>
      </c>
      <c r="I310" s="1448" t="s">
        <v>534</v>
      </c>
      <c r="J310" s="1450"/>
      <c r="K310" s="1450"/>
      <c r="L310" s="1450"/>
    </row>
    <row r="311" spans="1:12" s="1448" customFormat="1" hidden="1" x14ac:dyDescent="0.4">
      <c r="A311" s="434">
        <v>1</v>
      </c>
      <c r="B311" s="1448" t="s">
        <v>1487</v>
      </c>
      <c r="C311" s="1448" t="s">
        <v>1436</v>
      </c>
      <c r="D311" s="434" t="s">
        <v>101</v>
      </c>
      <c r="F311" s="1448" t="s">
        <v>1749</v>
      </c>
      <c r="G311" s="1449">
        <v>68900</v>
      </c>
      <c r="H311" s="1448" t="s">
        <v>534</v>
      </c>
      <c r="I311" s="1448" t="s">
        <v>534</v>
      </c>
      <c r="J311" s="1450"/>
      <c r="K311" s="1450"/>
      <c r="L311" s="1450"/>
    </row>
    <row r="312" spans="1:12" hidden="1" x14ac:dyDescent="0.4">
      <c r="A312" s="434">
        <v>1</v>
      </c>
      <c r="B312" s="434" t="s">
        <v>1487</v>
      </c>
      <c r="C312" s="434" t="s">
        <v>1439</v>
      </c>
      <c r="D312" s="434" t="s">
        <v>106</v>
      </c>
      <c r="E312" s="434" t="s">
        <v>1366</v>
      </c>
      <c r="F312" s="434" t="s">
        <v>1488</v>
      </c>
      <c r="G312" s="593">
        <v>2379800</v>
      </c>
      <c r="H312" s="434" t="s">
        <v>1441</v>
      </c>
      <c r="I312" s="434" t="s">
        <v>1438</v>
      </c>
    </row>
    <row r="313" spans="1:12" hidden="1" x14ac:dyDescent="0.4">
      <c r="A313" s="434">
        <v>1</v>
      </c>
      <c r="B313" s="434" t="s">
        <v>1487</v>
      </c>
      <c r="C313" s="434" t="s">
        <v>1439</v>
      </c>
      <c r="D313" s="434" t="s">
        <v>116</v>
      </c>
      <c r="E313" s="434" t="s">
        <v>1370</v>
      </c>
      <c r="F313" s="434" t="s">
        <v>1442</v>
      </c>
      <c r="G313" s="593">
        <v>96500</v>
      </c>
      <c r="H313" s="434" t="s">
        <v>1441</v>
      </c>
      <c r="I313" s="434" t="s">
        <v>1438</v>
      </c>
    </row>
    <row r="314" spans="1:12" hidden="1" x14ac:dyDescent="0.4">
      <c r="A314" s="434">
        <v>1</v>
      </c>
      <c r="B314" s="434" t="s">
        <v>1487</v>
      </c>
      <c r="C314" s="434" t="s">
        <v>1439</v>
      </c>
      <c r="D314" s="434" t="s">
        <v>118</v>
      </c>
      <c r="E314" s="434" t="s">
        <v>1371</v>
      </c>
      <c r="F314" s="434" t="s">
        <v>1443</v>
      </c>
      <c r="G314" s="593">
        <v>341300</v>
      </c>
      <c r="H314" s="434" t="s">
        <v>1441</v>
      </c>
      <c r="I314" s="434" t="s">
        <v>1438</v>
      </c>
    </row>
    <row r="315" spans="1:12" x14ac:dyDescent="0.4">
      <c r="A315" s="434">
        <v>1</v>
      </c>
      <c r="B315" s="434" t="s">
        <v>1487</v>
      </c>
      <c r="C315" s="434" t="s">
        <v>1439</v>
      </c>
      <c r="D315" s="434" t="s">
        <v>326</v>
      </c>
      <c r="E315" s="434" t="s">
        <v>1373</v>
      </c>
      <c r="F315" s="434" t="s">
        <v>1461</v>
      </c>
      <c r="G315" s="593">
        <v>147700</v>
      </c>
      <c r="H315" s="434" t="s">
        <v>534</v>
      </c>
      <c r="I315" s="434" t="s">
        <v>534</v>
      </c>
    </row>
    <row r="316" spans="1:12" hidden="1" x14ac:dyDescent="0.4">
      <c r="A316" s="434">
        <v>1</v>
      </c>
      <c r="B316" s="434" t="s">
        <v>1487</v>
      </c>
      <c r="C316" s="434" t="s">
        <v>1439</v>
      </c>
      <c r="D316" s="434" t="s">
        <v>145</v>
      </c>
      <c r="E316" s="434" t="s">
        <v>1385</v>
      </c>
      <c r="F316" s="434" t="s">
        <v>1448</v>
      </c>
      <c r="G316" s="593">
        <v>700100</v>
      </c>
      <c r="H316" s="434" t="s">
        <v>534</v>
      </c>
      <c r="I316" s="434" t="s">
        <v>534</v>
      </c>
    </row>
    <row r="317" spans="1:12" hidden="1" x14ac:dyDescent="0.4">
      <c r="A317" s="434">
        <v>1</v>
      </c>
      <c r="B317" s="434" t="s">
        <v>1487</v>
      </c>
      <c r="C317" s="434" t="s">
        <v>1439</v>
      </c>
      <c r="D317" s="434" t="s">
        <v>160</v>
      </c>
      <c r="E317" s="434" t="s">
        <v>1391</v>
      </c>
      <c r="F317" s="434" t="s">
        <v>1449</v>
      </c>
      <c r="G317" s="593">
        <v>781800</v>
      </c>
      <c r="H317" s="434" t="s">
        <v>534</v>
      </c>
      <c r="I317" s="434" t="s">
        <v>534</v>
      </c>
    </row>
    <row r="318" spans="1:12" hidden="1" x14ac:dyDescent="0.4">
      <c r="A318" s="434">
        <v>1</v>
      </c>
      <c r="B318" s="434" t="s">
        <v>1489</v>
      </c>
      <c r="C318" s="434" t="s">
        <v>1436</v>
      </c>
      <c r="D318" s="434" t="s">
        <v>72</v>
      </c>
      <c r="E318" s="434" t="s">
        <v>1348</v>
      </c>
      <c r="F318" s="434" t="s">
        <v>1437</v>
      </c>
      <c r="G318" s="593">
        <v>115652500</v>
      </c>
      <c r="H318" s="434" t="s">
        <v>1438</v>
      </c>
      <c r="I318" s="434" t="s">
        <v>1438</v>
      </c>
    </row>
    <row r="319" spans="1:12" hidden="1" x14ac:dyDescent="0.4">
      <c r="A319" s="434">
        <v>1</v>
      </c>
      <c r="B319" s="434" t="s">
        <v>1489</v>
      </c>
      <c r="C319" s="434" t="s">
        <v>1436</v>
      </c>
      <c r="D319" s="434" t="s">
        <v>391</v>
      </c>
      <c r="E319" s="434" t="s">
        <v>1351</v>
      </c>
      <c r="F319" s="434" t="s">
        <v>1490</v>
      </c>
      <c r="G319" s="593">
        <v>5000000</v>
      </c>
      <c r="H319" s="434" t="s">
        <v>1438</v>
      </c>
      <c r="I319" s="434" t="s">
        <v>1438</v>
      </c>
    </row>
    <row r="320" spans="1:12" hidden="1" x14ac:dyDescent="0.4">
      <c r="A320" s="434">
        <v>1</v>
      </c>
      <c r="B320" s="434" t="s">
        <v>1489</v>
      </c>
      <c r="C320" s="434" t="s">
        <v>1436</v>
      </c>
      <c r="D320" s="434" t="s">
        <v>567</v>
      </c>
      <c r="E320" s="434" t="s">
        <v>1353</v>
      </c>
      <c r="F320" s="434" t="s">
        <v>1491</v>
      </c>
      <c r="G320" s="593">
        <v>1000000</v>
      </c>
      <c r="H320" s="434" t="s">
        <v>1438</v>
      </c>
      <c r="I320" s="434" t="s">
        <v>1438</v>
      </c>
    </row>
    <row r="321" spans="1:12" hidden="1" x14ac:dyDescent="0.4">
      <c r="A321" s="434">
        <v>1</v>
      </c>
      <c r="B321" s="434" t="s">
        <v>1489</v>
      </c>
      <c r="C321" s="434" t="s">
        <v>1436</v>
      </c>
      <c r="D321" s="434" t="s">
        <v>80</v>
      </c>
      <c r="E321" s="434" t="s">
        <v>1332</v>
      </c>
      <c r="F321" s="434" t="s">
        <v>481</v>
      </c>
      <c r="G321" s="593">
        <v>33269700</v>
      </c>
      <c r="H321" s="434" t="s">
        <v>1438</v>
      </c>
      <c r="I321" s="434" t="s">
        <v>1438</v>
      </c>
    </row>
    <row r="322" spans="1:12" hidden="1" x14ac:dyDescent="0.4">
      <c r="A322" s="434">
        <v>1</v>
      </c>
      <c r="B322" s="434" t="s">
        <v>1489</v>
      </c>
      <c r="C322" s="434" t="s">
        <v>1436</v>
      </c>
      <c r="D322" s="434" t="s">
        <v>82</v>
      </c>
      <c r="E322" s="434" t="s">
        <v>1333</v>
      </c>
      <c r="F322" s="434" t="s">
        <v>482</v>
      </c>
      <c r="G322" s="593">
        <v>29045100</v>
      </c>
      <c r="H322" s="434" t="s">
        <v>1438</v>
      </c>
      <c r="I322" s="434" t="s">
        <v>1438</v>
      </c>
    </row>
    <row r="323" spans="1:12" hidden="1" x14ac:dyDescent="0.4">
      <c r="A323" s="434">
        <v>1</v>
      </c>
      <c r="B323" s="434" t="s">
        <v>1489</v>
      </c>
      <c r="C323" s="434" t="s">
        <v>1436</v>
      </c>
      <c r="D323" s="434" t="s">
        <v>84</v>
      </c>
      <c r="E323" s="434" t="s">
        <v>1355</v>
      </c>
      <c r="F323" s="434" t="s">
        <v>483</v>
      </c>
      <c r="G323" s="593">
        <v>16595200</v>
      </c>
      <c r="H323" s="434" t="s">
        <v>1438</v>
      </c>
      <c r="I323" s="434" t="s">
        <v>1438</v>
      </c>
    </row>
    <row r="324" spans="1:12" hidden="1" x14ac:dyDescent="0.4">
      <c r="A324" s="434">
        <v>1</v>
      </c>
      <c r="B324" s="434" t="s">
        <v>1489</v>
      </c>
      <c r="C324" s="434" t="s">
        <v>1436</v>
      </c>
      <c r="D324" s="434" t="s">
        <v>86</v>
      </c>
      <c r="E324" s="434" t="s">
        <v>1356</v>
      </c>
      <c r="F324" s="434" t="s">
        <v>484</v>
      </c>
      <c r="G324" s="593">
        <v>14846800</v>
      </c>
      <c r="H324" s="434" t="s">
        <v>1438</v>
      </c>
      <c r="I324" s="434" t="s">
        <v>1438</v>
      </c>
    </row>
    <row r="325" spans="1:12" hidden="1" x14ac:dyDescent="0.4">
      <c r="A325" s="434">
        <v>1</v>
      </c>
      <c r="B325" s="434" t="s">
        <v>1489</v>
      </c>
      <c r="C325" s="434" t="s">
        <v>1436</v>
      </c>
      <c r="D325" s="434" t="s">
        <v>87</v>
      </c>
      <c r="E325" s="434" t="s">
        <v>1334</v>
      </c>
      <c r="F325" s="434" t="s">
        <v>485</v>
      </c>
      <c r="G325" s="593">
        <v>6328000</v>
      </c>
      <c r="H325" s="434" t="s">
        <v>1438</v>
      </c>
      <c r="I325" s="434" t="s">
        <v>1438</v>
      </c>
    </row>
    <row r="326" spans="1:12" hidden="1" x14ac:dyDescent="0.4">
      <c r="A326" s="434">
        <v>1</v>
      </c>
      <c r="B326" s="434" t="s">
        <v>1489</v>
      </c>
      <c r="C326" s="434" t="s">
        <v>1436</v>
      </c>
      <c r="D326" s="434" t="s">
        <v>90</v>
      </c>
      <c r="E326" s="434" t="s">
        <v>1357</v>
      </c>
      <c r="F326" s="434" t="s">
        <v>486</v>
      </c>
      <c r="G326" s="593">
        <v>18420600</v>
      </c>
      <c r="H326" s="434" t="s">
        <v>1438</v>
      </c>
      <c r="I326" s="434" t="s">
        <v>1438</v>
      </c>
    </row>
    <row r="327" spans="1:12" hidden="1" x14ac:dyDescent="0.4">
      <c r="A327" s="434">
        <v>1</v>
      </c>
      <c r="B327" s="434" t="s">
        <v>1489</v>
      </c>
      <c r="C327" s="434" t="s">
        <v>1436</v>
      </c>
      <c r="D327" s="434" t="s">
        <v>92</v>
      </c>
      <c r="E327" s="434" t="s">
        <v>1358</v>
      </c>
      <c r="F327" s="434" t="s">
        <v>487</v>
      </c>
      <c r="G327" s="593">
        <v>995700</v>
      </c>
      <c r="H327" s="434" t="s">
        <v>1438</v>
      </c>
      <c r="I327" s="434" t="s">
        <v>1438</v>
      </c>
    </row>
    <row r="328" spans="1:12" hidden="1" x14ac:dyDescent="0.4">
      <c r="A328" s="434">
        <v>1</v>
      </c>
      <c r="B328" s="434" t="s">
        <v>1489</v>
      </c>
      <c r="C328" s="434" t="s">
        <v>1436</v>
      </c>
      <c r="D328" s="434" t="s">
        <v>93</v>
      </c>
      <c r="E328" s="434" t="s">
        <v>1359</v>
      </c>
      <c r="F328" s="434" t="s">
        <v>488</v>
      </c>
      <c r="G328" s="593">
        <v>2987100</v>
      </c>
      <c r="H328" s="434" t="s">
        <v>1438</v>
      </c>
      <c r="I328" s="434" t="s">
        <v>1438</v>
      </c>
    </row>
    <row r="329" spans="1:12" hidden="1" x14ac:dyDescent="0.4">
      <c r="A329" s="434">
        <v>1</v>
      </c>
      <c r="B329" s="434" t="s">
        <v>1489</v>
      </c>
      <c r="C329" s="434" t="s">
        <v>1436</v>
      </c>
      <c r="D329" s="434" t="s">
        <v>94</v>
      </c>
      <c r="E329" s="434" t="s">
        <v>1360</v>
      </c>
      <c r="F329" s="434" t="s">
        <v>489</v>
      </c>
      <c r="G329" s="593">
        <v>9957100</v>
      </c>
      <c r="H329" s="434" t="s">
        <v>1438</v>
      </c>
      <c r="I329" s="434" t="s">
        <v>1438</v>
      </c>
    </row>
    <row r="330" spans="1:12" hidden="1" x14ac:dyDescent="0.4">
      <c r="A330" s="434">
        <v>1</v>
      </c>
      <c r="B330" s="434" t="s">
        <v>1489</v>
      </c>
      <c r="C330" s="434" t="s">
        <v>1436</v>
      </c>
      <c r="D330" s="434" t="s">
        <v>96</v>
      </c>
      <c r="E330" s="434" t="s">
        <v>1361</v>
      </c>
      <c r="F330" s="434" t="s">
        <v>490</v>
      </c>
      <c r="G330" s="593">
        <v>995700</v>
      </c>
      <c r="H330" s="434" t="s">
        <v>1438</v>
      </c>
      <c r="I330" s="434" t="s">
        <v>1438</v>
      </c>
    </row>
    <row r="331" spans="1:12" hidden="1" x14ac:dyDescent="0.4">
      <c r="A331" s="434">
        <v>1</v>
      </c>
      <c r="B331" s="434" t="s">
        <v>1489</v>
      </c>
      <c r="C331" s="434" t="s">
        <v>1436</v>
      </c>
      <c r="D331" s="434" t="s">
        <v>510</v>
      </c>
      <c r="E331" s="434" t="s">
        <v>1362</v>
      </c>
      <c r="F331" s="434" t="s">
        <v>491</v>
      </c>
      <c r="G331" s="593">
        <v>10793500</v>
      </c>
      <c r="H331" s="434" t="s">
        <v>1438</v>
      </c>
      <c r="I331" s="434" t="s">
        <v>1438</v>
      </c>
    </row>
    <row r="332" spans="1:12" hidden="1" x14ac:dyDescent="0.4">
      <c r="A332" s="434">
        <v>1</v>
      </c>
      <c r="B332" s="434" t="s">
        <v>1489</v>
      </c>
      <c r="C332" s="434" t="s">
        <v>1436</v>
      </c>
      <c r="D332" s="434" t="s">
        <v>100</v>
      </c>
      <c r="E332" s="434" t="s">
        <v>1363</v>
      </c>
      <c r="F332" s="434" t="s">
        <v>491</v>
      </c>
      <c r="G332" s="593">
        <v>5974200</v>
      </c>
      <c r="H332" s="434" t="s">
        <v>1438</v>
      </c>
      <c r="I332" s="434" t="s">
        <v>1438</v>
      </c>
    </row>
    <row r="333" spans="1:12" hidden="1" x14ac:dyDescent="0.4">
      <c r="A333" s="434">
        <v>1</v>
      </c>
      <c r="B333" s="434" t="s">
        <v>1489</v>
      </c>
      <c r="C333" s="434" t="s">
        <v>1436</v>
      </c>
      <c r="D333" s="434" t="s">
        <v>101</v>
      </c>
      <c r="E333" s="434" t="s">
        <v>1364</v>
      </c>
      <c r="F333" s="434" t="s">
        <v>1135</v>
      </c>
      <c r="G333" s="593">
        <v>2987100</v>
      </c>
      <c r="H333" s="434" t="s">
        <v>1438</v>
      </c>
      <c r="I333" s="434" t="s">
        <v>1438</v>
      </c>
    </row>
    <row r="334" spans="1:12" s="1448" customFormat="1" hidden="1" x14ac:dyDescent="0.4">
      <c r="A334" s="434">
        <v>1</v>
      </c>
      <c r="B334" s="1448" t="s">
        <v>1489</v>
      </c>
      <c r="C334" s="1448" t="s">
        <v>1436</v>
      </c>
      <c r="D334" s="434" t="s">
        <v>72</v>
      </c>
      <c r="F334" s="1448" t="s">
        <v>1749</v>
      </c>
      <c r="G334" s="1449">
        <v>2357500</v>
      </c>
      <c r="H334" s="1448" t="s">
        <v>534</v>
      </c>
      <c r="I334" s="1448" t="s">
        <v>534</v>
      </c>
      <c r="J334" s="1450"/>
      <c r="K334" s="1450"/>
      <c r="L334" s="1450"/>
    </row>
    <row r="335" spans="1:12" s="1448" customFormat="1" hidden="1" x14ac:dyDescent="0.4">
      <c r="A335" s="434">
        <v>1</v>
      </c>
      <c r="B335" s="1448" t="s">
        <v>1489</v>
      </c>
      <c r="C335" s="1448" t="s">
        <v>1436</v>
      </c>
      <c r="D335" s="434" t="s">
        <v>80</v>
      </c>
      <c r="F335" s="1448" t="s">
        <v>1749</v>
      </c>
      <c r="G335" s="1449">
        <v>-200</v>
      </c>
      <c r="H335" s="1448" t="s">
        <v>534</v>
      </c>
      <c r="I335" s="1448" t="s">
        <v>534</v>
      </c>
      <c r="J335" s="1450"/>
      <c r="K335" s="1450"/>
      <c r="L335" s="1450"/>
    </row>
    <row r="336" spans="1:12" s="1448" customFormat="1" hidden="1" x14ac:dyDescent="0.4">
      <c r="A336" s="434">
        <v>1</v>
      </c>
      <c r="B336" s="1448" t="s">
        <v>1489</v>
      </c>
      <c r="C336" s="1448" t="s">
        <v>1436</v>
      </c>
      <c r="D336" s="434" t="s">
        <v>82</v>
      </c>
      <c r="F336" s="1448" t="s">
        <v>1749</v>
      </c>
      <c r="G336" s="1449">
        <v>-100</v>
      </c>
      <c r="H336" s="1448" t="s">
        <v>534</v>
      </c>
      <c r="I336" s="1448" t="s">
        <v>534</v>
      </c>
      <c r="J336" s="1450"/>
      <c r="K336" s="1450"/>
      <c r="L336" s="1450"/>
    </row>
    <row r="337" spans="1:12" s="1448" customFormat="1" hidden="1" x14ac:dyDescent="0.4">
      <c r="A337" s="434">
        <v>1</v>
      </c>
      <c r="B337" s="1448" t="s">
        <v>1489</v>
      </c>
      <c r="C337" s="1448" t="s">
        <v>1436</v>
      </c>
      <c r="D337" s="434" t="s">
        <v>84</v>
      </c>
      <c r="F337" s="1448" t="s">
        <v>1749</v>
      </c>
      <c r="G337" s="1449">
        <v>212800</v>
      </c>
      <c r="H337" s="1448" t="s">
        <v>534</v>
      </c>
      <c r="I337" s="1448" t="s">
        <v>534</v>
      </c>
      <c r="J337" s="1450"/>
      <c r="K337" s="1450"/>
      <c r="L337" s="1450"/>
    </row>
    <row r="338" spans="1:12" s="1448" customFormat="1" hidden="1" x14ac:dyDescent="0.4">
      <c r="A338" s="434">
        <v>1</v>
      </c>
      <c r="B338" s="1448" t="s">
        <v>1489</v>
      </c>
      <c r="C338" s="1448" t="s">
        <v>1436</v>
      </c>
      <c r="D338" s="434" t="s">
        <v>86</v>
      </c>
      <c r="F338" s="1448" t="s">
        <v>1749</v>
      </c>
      <c r="G338" s="1449">
        <v>196200</v>
      </c>
      <c r="H338" s="1448" t="s">
        <v>534</v>
      </c>
      <c r="I338" s="1448" t="s">
        <v>534</v>
      </c>
      <c r="J338" s="1450"/>
      <c r="K338" s="1450"/>
      <c r="L338" s="1450"/>
    </row>
    <row r="339" spans="1:12" s="1448" customFormat="1" hidden="1" x14ac:dyDescent="0.4">
      <c r="A339" s="434">
        <v>1</v>
      </c>
      <c r="B339" s="1448" t="s">
        <v>1489</v>
      </c>
      <c r="C339" s="1448" t="s">
        <v>1436</v>
      </c>
      <c r="D339" s="434" t="s">
        <v>87</v>
      </c>
      <c r="F339" s="1448" t="s">
        <v>1749</v>
      </c>
      <c r="G339" s="1449">
        <v>0</v>
      </c>
      <c r="H339" s="1448" t="s">
        <v>534</v>
      </c>
      <c r="I339" s="1448" t="s">
        <v>534</v>
      </c>
      <c r="J339" s="1450"/>
      <c r="K339" s="1450"/>
      <c r="L339" s="1450"/>
    </row>
    <row r="340" spans="1:12" s="1448" customFormat="1" hidden="1" x14ac:dyDescent="0.4">
      <c r="A340" s="434">
        <v>1</v>
      </c>
      <c r="B340" s="1448" t="s">
        <v>1489</v>
      </c>
      <c r="C340" s="1448" t="s">
        <v>1436</v>
      </c>
      <c r="D340" s="434" t="s">
        <v>90</v>
      </c>
      <c r="F340" s="1448" t="s">
        <v>1749</v>
      </c>
      <c r="G340" s="1449">
        <v>236400</v>
      </c>
      <c r="H340" s="1448" t="s">
        <v>534</v>
      </c>
      <c r="I340" s="1448" t="s">
        <v>534</v>
      </c>
      <c r="J340" s="1450"/>
      <c r="K340" s="1450"/>
      <c r="L340" s="1450"/>
    </row>
    <row r="341" spans="1:12" s="1448" customFormat="1" hidden="1" x14ac:dyDescent="0.4">
      <c r="A341" s="434">
        <v>1</v>
      </c>
      <c r="B341" s="1448" t="s">
        <v>1489</v>
      </c>
      <c r="C341" s="1448" t="s">
        <v>1436</v>
      </c>
      <c r="D341" s="434" t="s">
        <v>92</v>
      </c>
      <c r="F341" s="1448" t="s">
        <v>1749</v>
      </c>
      <c r="G341" s="1449">
        <v>12800</v>
      </c>
      <c r="H341" s="1448" t="s">
        <v>534</v>
      </c>
      <c r="I341" s="1448" t="s">
        <v>534</v>
      </c>
      <c r="J341" s="1450"/>
      <c r="K341" s="1450"/>
      <c r="L341" s="1450"/>
    </row>
    <row r="342" spans="1:12" s="1448" customFormat="1" hidden="1" x14ac:dyDescent="0.4">
      <c r="A342" s="434">
        <v>1</v>
      </c>
      <c r="B342" s="1448" t="s">
        <v>1489</v>
      </c>
      <c r="C342" s="1448" t="s">
        <v>1436</v>
      </c>
      <c r="D342" s="434" t="s">
        <v>93</v>
      </c>
      <c r="F342" s="1448" t="s">
        <v>1749</v>
      </c>
      <c r="G342" s="1449">
        <v>38400</v>
      </c>
      <c r="H342" s="1448" t="s">
        <v>534</v>
      </c>
      <c r="I342" s="1448" t="s">
        <v>534</v>
      </c>
      <c r="J342" s="1450"/>
      <c r="K342" s="1450"/>
      <c r="L342" s="1450"/>
    </row>
    <row r="343" spans="1:12" s="1448" customFormat="1" hidden="1" x14ac:dyDescent="0.4">
      <c r="A343" s="434">
        <v>1</v>
      </c>
      <c r="B343" s="1448" t="s">
        <v>1489</v>
      </c>
      <c r="C343" s="1448" t="s">
        <v>1436</v>
      </c>
      <c r="D343" s="434" t="s">
        <v>94</v>
      </c>
      <c r="F343" s="1448" t="s">
        <v>1749</v>
      </c>
      <c r="G343" s="1449">
        <v>127900</v>
      </c>
      <c r="H343" s="1448" t="s">
        <v>534</v>
      </c>
      <c r="I343" s="1448" t="s">
        <v>534</v>
      </c>
      <c r="J343" s="1450"/>
      <c r="K343" s="1450"/>
      <c r="L343" s="1450"/>
    </row>
    <row r="344" spans="1:12" s="1448" customFormat="1" hidden="1" x14ac:dyDescent="0.4">
      <c r="A344" s="434">
        <v>1</v>
      </c>
      <c r="B344" s="1448" t="s">
        <v>1489</v>
      </c>
      <c r="C344" s="1448" t="s">
        <v>1436</v>
      </c>
      <c r="D344" s="434" t="s">
        <v>96</v>
      </c>
      <c r="F344" s="1448" t="s">
        <v>1749</v>
      </c>
      <c r="G344" s="1449">
        <v>12800</v>
      </c>
      <c r="H344" s="1448" t="s">
        <v>534</v>
      </c>
      <c r="I344" s="1448" t="s">
        <v>534</v>
      </c>
      <c r="J344" s="1450"/>
      <c r="K344" s="1450"/>
      <c r="L344" s="1450"/>
    </row>
    <row r="345" spans="1:12" s="1448" customFormat="1" hidden="1" x14ac:dyDescent="0.4">
      <c r="A345" s="434">
        <v>1</v>
      </c>
      <c r="B345" s="1448" t="s">
        <v>1489</v>
      </c>
      <c r="C345" s="1448" t="s">
        <v>1436</v>
      </c>
      <c r="D345" s="434" t="s">
        <v>510</v>
      </c>
      <c r="F345" s="1448" t="s">
        <v>1749</v>
      </c>
      <c r="G345" s="1449">
        <v>138500</v>
      </c>
      <c r="H345" s="1448" t="s">
        <v>534</v>
      </c>
      <c r="I345" s="1448" t="s">
        <v>534</v>
      </c>
      <c r="J345" s="1450"/>
      <c r="K345" s="1450"/>
      <c r="L345" s="1450"/>
    </row>
    <row r="346" spans="1:12" s="1448" customFormat="1" hidden="1" x14ac:dyDescent="0.4">
      <c r="A346" s="434">
        <v>1</v>
      </c>
      <c r="B346" s="1448" t="s">
        <v>1489</v>
      </c>
      <c r="C346" s="1448" t="s">
        <v>1436</v>
      </c>
      <c r="D346" s="434" t="s">
        <v>100</v>
      </c>
      <c r="F346" s="1448" t="s">
        <v>1749</v>
      </c>
      <c r="G346" s="1449">
        <v>76800</v>
      </c>
      <c r="H346" s="1448" t="s">
        <v>534</v>
      </c>
      <c r="I346" s="1448" t="s">
        <v>534</v>
      </c>
      <c r="J346" s="1450"/>
      <c r="K346" s="1450"/>
      <c r="L346" s="1450"/>
    </row>
    <row r="347" spans="1:12" s="1448" customFormat="1" hidden="1" x14ac:dyDescent="0.4">
      <c r="A347" s="434">
        <v>1</v>
      </c>
      <c r="B347" s="1448" t="s">
        <v>1489</v>
      </c>
      <c r="C347" s="1448" t="s">
        <v>1436</v>
      </c>
      <c r="D347" s="434" t="s">
        <v>101</v>
      </c>
      <c r="F347" s="1448" t="s">
        <v>1749</v>
      </c>
      <c r="G347" s="1449">
        <v>38400</v>
      </c>
      <c r="H347" s="1448" t="s">
        <v>534</v>
      </c>
      <c r="I347" s="1448" t="s">
        <v>534</v>
      </c>
      <c r="J347" s="1450"/>
      <c r="K347" s="1450"/>
      <c r="L347" s="1450"/>
    </row>
    <row r="348" spans="1:12" hidden="1" x14ac:dyDescent="0.4">
      <c r="A348" s="434">
        <v>1</v>
      </c>
      <c r="B348" s="434" t="s">
        <v>1489</v>
      </c>
      <c r="C348" s="434" t="s">
        <v>1439</v>
      </c>
      <c r="D348" s="434" t="s">
        <v>106</v>
      </c>
      <c r="E348" s="434" t="s">
        <v>1366</v>
      </c>
      <c r="F348" s="434" t="s">
        <v>1440</v>
      </c>
      <c r="G348" s="593">
        <v>10256200</v>
      </c>
      <c r="H348" s="434" t="s">
        <v>1441</v>
      </c>
      <c r="I348" s="434" t="s">
        <v>1438</v>
      </c>
    </row>
    <row r="349" spans="1:12" hidden="1" x14ac:dyDescent="0.4">
      <c r="A349" s="434">
        <v>1</v>
      </c>
      <c r="B349" s="434" t="s">
        <v>1489</v>
      </c>
      <c r="C349" s="434" t="s">
        <v>1439</v>
      </c>
      <c r="D349" s="434" t="s">
        <v>116</v>
      </c>
      <c r="E349" s="434" t="s">
        <v>1370</v>
      </c>
      <c r="F349" s="434" t="s">
        <v>1442</v>
      </c>
      <c r="G349" s="593">
        <v>415800</v>
      </c>
      <c r="H349" s="434" t="s">
        <v>1441</v>
      </c>
      <c r="I349" s="434" t="s">
        <v>1438</v>
      </c>
    </row>
    <row r="350" spans="1:12" hidden="1" x14ac:dyDescent="0.4">
      <c r="A350" s="434">
        <v>1</v>
      </c>
      <c r="B350" s="434" t="s">
        <v>1489</v>
      </c>
      <c r="C350" s="434" t="s">
        <v>1439</v>
      </c>
      <c r="D350" s="434" t="s">
        <v>118</v>
      </c>
      <c r="E350" s="434" t="s">
        <v>1371</v>
      </c>
      <c r="F350" s="434" t="s">
        <v>1443</v>
      </c>
      <c r="G350" s="593">
        <v>1470600</v>
      </c>
      <c r="H350" s="434" t="s">
        <v>1441</v>
      </c>
      <c r="I350" s="434" t="s">
        <v>1438</v>
      </c>
    </row>
    <row r="351" spans="1:12" x14ac:dyDescent="0.4">
      <c r="A351" s="434">
        <v>1</v>
      </c>
      <c r="B351" s="434" t="s">
        <v>1489</v>
      </c>
      <c r="C351" s="434" t="s">
        <v>1439</v>
      </c>
      <c r="D351" s="434" t="s">
        <v>326</v>
      </c>
      <c r="E351" s="434" t="s">
        <v>1373</v>
      </c>
      <c r="F351" s="434" t="s">
        <v>1455</v>
      </c>
      <c r="G351" s="593">
        <v>636300</v>
      </c>
      <c r="H351" s="434" t="s">
        <v>534</v>
      </c>
      <c r="I351" s="434" t="s">
        <v>534</v>
      </c>
    </row>
    <row r="352" spans="1:12" hidden="1" x14ac:dyDescent="0.4">
      <c r="A352" s="434">
        <v>1</v>
      </c>
      <c r="B352" s="434" t="s">
        <v>1489</v>
      </c>
      <c r="C352" s="434" t="s">
        <v>1439</v>
      </c>
      <c r="D352" s="434" t="s">
        <v>145</v>
      </c>
      <c r="E352" s="434" t="s">
        <v>1385</v>
      </c>
      <c r="F352" s="434" t="s">
        <v>1448</v>
      </c>
      <c r="G352" s="593">
        <v>3017200</v>
      </c>
      <c r="H352" s="434" t="s">
        <v>534</v>
      </c>
      <c r="I352" s="434" t="s">
        <v>534</v>
      </c>
    </row>
    <row r="353" spans="1:9" hidden="1" x14ac:dyDescent="0.4">
      <c r="A353" s="434">
        <v>1</v>
      </c>
      <c r="B353" s="434" t="s">
        <v>1489</v>
      </c>
      <c r="C353" s="434" t="s">
        <v>1439</v>
      </c>
      <c r="D353" s="434" t="s">
        <v>147</v>
      </c>
      <c r="E353" s="434" t="s">
        <v>1386</v>
      </c>
      <c r="F353" s="434" t="s">
        <v>1492</v>
      </c>
      <c r="G353" s="593">
        <v>90500000</v>
      </c>
      <c r="H353" s="434" t="s">
        <v>534</v>
      </c>
      <c r="I353" s="434" t="s">
        <v>534</v>
      </c>
    </row>
    <row r="354" spans="1:9" hidden="1" x14ac:dyDescent="0.4">
      <c r="A354" s="434">
        <v>1</v>
      </c>
      <c r="B354" s="434" t="s">
        <v>1489</v>
      </c>
      <c r="C354" s="434" t="s">
        <v>1439</v>
      </c>
      <c r="D354" s="434" t="s">
        <v>155</v>
      </c>
      <c r="E354" s="434" t="s">
        <v>1389</v>
      </c>
      <c r="F354" s="434" t="s">
        <v>1493</v>
      </c>
      <c r="G354" s="593">
        <v>700000</v>
      </c>
      <c r="H354" s="434" t="s">
        <v>534</v>
      </c>
      <c r="I354" s="434" t="s">
        <v>534</v>
      </c>
    </row>
    <row r="355" spans="1:9" hidden="1" x14ac:dyDescent="0.4">
      <c r="A355" s="434">
        <v>1</v>
      </c>
      <c r="B355" s="434" t="s">
        <v>1489</v>
      </c>
      <c r="C355" s="434" t="s">
        <v>1439</v>
      </c>
      <c r="D355" s="434" t="s">
        <v>157</v>
      </c>
      <c r="E355" s="434" t="s">
        <v>1390</v>
      </c>
      <c r="F355" s="434" t="s">
        <v>1494</v>
      </c>
      <c r="G355" s="593">
        <v>150000</v>
      </c>
      <c r="H355" s="434" t="s">
        <v>534</v>
      </c>
      <c r="I355" s="434" t="s">
        <v>534</v>
      </c>
    </row>
    <row r="356" spans="1:9" hidden="1" x14ac:dyDescent="0.4">
      <c r="A356" s="434">
        <v>1</v>
      </c>
      <c r="B356" s="434" t="s">
        <v>1489</v>
      </c>
      <c r="C356" s="434" t="s">
        <v>1439</v>
      </c>
      <c r="D356" s="434" t="s">
        <v>160</v>
      </c>
      <c r="E356" s="434" t="s">
        <v>1391</v>
      </c>
      <c r="F356" s="434" t="s">
        <v>1495</v>
      </c>
      <c r="G356" s="593">
        <v>2830400</v>
      </c>
      <c r="H356" s="434" t="s">
        <v>534</v>
      </c>
      <c r="I356" s="434" t="s">
        <v>534</v>
      </c>
    </row>
    <row r="357" spans="1:9" hidden="1" x14ac:dyDescent="0.4">
      <c r="A357" s="434">
        <v>1</v>
      </c>
      <c r="B357" s="434" t="s">
        <v>1489</v>
      </c>
      <c r="C357" s="434" t="s">
        <v>1439</v>
      </c>
      <c r="D357" s="434" t="s">
        <v>164</v>
      </c>
      <c r="E357" s="434" t="s">
        <v>1392</v>
      </c>
      <c r="F357" s="434" t="s">
        <v>1496</v>
      </c>
      <c r="G357" s="593">
        <v>70000000</v>
      </c>
      <c r="H357" s="434" t="s">
        <v>534</v>
      </c>
      <c r="I357" s="434" t="s">
        <v>534</v>
      </c>
    </row>
    <row r="358" spans="1:9" hidden="1" x14ac:dyDescent="0.4">
      <c r="A358" s="434">
        <v>1</v>
      </c>
      <c r="B358" s="434" t="s">
        <v>1489</v>
      </c>
      <c r="C358" s="434" t="s">
        <v>1439</v>
      </c>
      <c r="D358" s="434" t="s">
        <v>180</v>
      </c>
      <c r="E358" s="434" t="s">
        <v>1397</v>
      </c>
      <c r="F358" s="434" t="s">
        <v>1497</v>
      </c>
      <c r="G358" s="593">
        <v>100000</v>
      </c>
      <c r="H358" s="434" t="s">
        <v>534</v>
      </c>
      <c r="I358" s="434" t="s">
        <v>534</v>
      </c>
    </row>
    <row r="359" spans="1:9" hidden="1" x14ac:dyDescent="0.4">
      <c r="A359" s="434">
        <v>1</v>
      </c>
      <c r="B359" s="434" t="s">
        <v>1489</v>
      </c>
      <c r="C359" s="434" t="s">
        <v>1498</v>
      </c>
      <c r="D359" s="434" t="s">
        <v>226</v>
      </c>
      <c r="E359" s="434" t="s">
        <v>1414</v>
      </c>
      <c r="F359" s="434" t="s">
        <v>1499</v>
      </c>
      <c r="G359" s="593">
        <v>350000</v>
      </c>
      <c r="H359" s="434" t="s">
        <v>1441</v>
      </c>
      <c r="I359" s="434" t="s">
        <v>1438</v>
      </c>
    </row>
    <row r="360" spans="1:9" hidden="1" x14ac:dyDescent="0.4">
      <c r="A360" s="434">
        <v>1</v>
      </c>
      <c r="B360" s="434" t="s">
        <v>1489</v>
      </c>
      <c r="C360" s="434" t="s">
        <v>1498</v>
      </c>
      <c r="D360" s="434" t="s">
        <v>232</v>
      </c>
      <c r="E360" s="434" t="s">
        <v>1417</v>
      </c>
      <c r="F360" s="434" t="s">
        <v>1500</v>
      </c>
      <c r="G360" s="593">
        <v>688500</v>
      </c>
      <c r="H360" s="434" t="s">
        <v>1441</v>
      </c>
      <c r="I360" s="434" t="s">
        <v>1438</v>
      </c>
    </row>
    <row r="361" spans="1:9" hidden="1" x14ac:dyDescent="0.4">
      <c r="A361" s="434">
        <v>1</v>
      </c>
      <c r="B361" s="434" t="s">
        <v>1489</v>
      </c>
      <c r="C361" s="434" t="s">
        <v>1485</v>
      </c>
      <c r="D361" s="434" t="s">
        <v>809</v>
      </c>
      <c r="E361" s="434" t="s">
        <v>1501</v>
      </c>
      <c r="F361" s="434" t="s">
        <v>1502</v>
      </c>
      <c r="G361" s="593">
        <v>7780000</v>
      </c>
      <c r="H361" s="434" t="s">
        <v>1441</v>
      </c>
      <c r="I361" s="434" t="s">
        <v>1438</v>
      </c>
    </row>
    <row r="362" spans="1:9" hidden="1" x14ac:dyDescent="0.4">
      <c r="A362" s="434">
        <v>1</v>
      </c>
      <c r="B362" s="434" t="s">
        <v>1489</v>
      </c>
      <c r="C362" s="434" t="s">
        <v>1485</v>
      </c>
      <c r="D362" s="434" t="s">
        <v>345</v>
      </c>
      <c r="E362" s="434" t="s">
        <v>1427</v>
      </c>
      <c r="F362" s="434" t="s">
        <v>1503</v>
      </c>
      <c r="G362" s="593">
        <v>50000000</v>
      </c>
      <c r="H362" s="434" t="s">
        <v>1441</v>
      </c>
      <c r="I362" s="434" t="s">
        <v>1438</v>
      </c>
    </row>
    <row r="363" spans="1:9" hidden="1" x14ac:dyDescent="0.4">
      <c r="A363" s="434">
        <v>1</v>
      </c>
      <c r="B363" s="434" t="s">
        <v>1504</v>
      </c>
      <c r="C363" s="434" t="s">
        <v>1436</v>
      </c>
      <c r="D363" s="434" t="s">
        <v>72</v>
      </c>
      <c r="E363" s="434" t="s">
        <v>1348</v>
      </c>
      <c r="F363" s="434" t="s">
        <v>1437</v>
      </c>
      <c r="G363" s="593">
        <v>24242200</v>
      </c>
      <c r="H363" s="434" t="s">
        <v>1438</v>
      </c>
      <c r="I363" s="434" t="s">
        <v>1438</v>
      </c>
    </row>
    <row r="364" spans="1:9" hidden="1" x14ac:dyDescent="0.4">
      <c r="A364" s="434">
        <v>1</v>
      </c>
      <c r="B364" s="434" t="s">
        <v>1504</v>
      </c>
      <c r="C364" s="434" t="s">
        <v>1436</v>
      </c>
      <c r="D364" s="434" t="s">
        <v>80</v>
      </c>
      <c r="E364" s="434" t="s">
        <v>1332</v>
      </c>
      <c r="F364" s="434" t="s">
        <v>481</v>
      </c>
      <c r="G364" s="593">
        <v>6281800</v>
      </c>
      <c r="H364" s="434" t="s">
        <v>1438</v>
      </c>
      <c r="I364" s="434" t="s">
        <v>1438</v>
      </c>
    </row>
    <row r="365" spans="1:9" hidden="1" x14ac:dyDescent="0.4">
      <c r="A365" s="434">
        <v>1</v>
      </c>
      <c r="B365" s="434" t="s">
        <v>1504</v>
      </c>
      <c r="C365" s="434" t="s">
        <v>1436</v>
      </c>
      <c r="D365" s="434" t="s">
        <v>82</v>
      </c>
      <c r="E365" s="434" t="s">
        <v>1333</v>
      </c>
      <c r="F365" s="434" t="s">
        <v>482</v>
      </c>
      <c r="G365" s="593">
        <v>3577500</v>
      </c>
      <c r="H365" s="434" t="s">
        <v>1438</v>
      </c>
      <c r="I365" s="434" t="s">
        <v>1438</v>
      </c>
    </row>
    <row r="366" spans="1:9" hidden="1" x14ac:dyDescent="0.4">
      <c r="A366" s="434">
        <v>1</v>
      </c>
      <c r="B366" s="434" t="s">
        <v>1504</v>
      </c>
      <c r="C366" s="434" t="s">
        <v>1436</v>
      </c>
      <c r="D366" s="434" t="s">
        <v>84</v>
      </c>
      <c r="E366" s="434" t="s">
        <v>1355</v>
      </c>
      <c r="F366" s="434" t="s">
        <v>483</v>
      </c>
      <c r="G366" s="593">
        <v>3105600</v>
      </c>
      <c r="H366" s="434" t="s">
        <v>1438</v>
      </c>
      <c r="I366" s="434" t="s">
        <v>1438</v>
      </c>
    </row>
    <row r="367" spans="1:9" hidden="1" x14ac:dyDescent="0.4">
      <c r="A367" s="434">
        <v>1</v>
      </c>
      <c r="B367" s="434" t="s">
        <v>1504</v>
      </c>
      <c r="C367" s="434" t="s">
        <v>1436</v>
      </c>
      <c r="D367" s="434" t="s">
        <v>86</v>
      </c>
      <c r="E367" s="434" t="s">
        <v>1356</v>
      </c>
      <c r="F367" s="434" t="s">
        <v>484</v>
      </c>
      <c r="G367" s="593">
        <v>2757100</v>
      </c>
      <c r="H367" s="434" t="s">
        <v>1438</v>
      </c>
      <c r="I367" s="434" t="s">
        <v>1438</v>
      </c>
    </row>
    <row r="368" spans="1:9" hidden="1" x14ac:dyDescent="0.4">
      <c r="A368" s="434">
        <v>1</v>
      </c>
      <c r="B368" s="434" t="s">
        <v>1504</v>
      </c>
      <c r="C368" s="434" t="s">
        <v>1436</v>
      </c>
      <c r="D368" s="434" t="s">
        <v>87</v>
      </c>
      <c r="E368" s="434" t="s">
        <v>1334</v>
      </c>
      <c r="F368" s="434" t="s">
        <v>485</v>
      </c>
      <c r="G368" s="593">
        <v>409100</v>
      </c>
      <c r="H368" s="434" t="s">
        <v>1438</v>
      </c>
      <c r="I368" s="434" t="s">
        <v>1438</v>
      </c>
    </row>
    <row r="369" spans="1:12" hidden="1" x14ac:dyDescent="0.4">
      <c r="A369" s="434">
        <v>1</v>
      </c>
      <c r="B369" s="434" t="s">
        <v>1504</v>
      </c>
      <c r="C369" s="434" t="s">
        <v>1436</v>
      </c>
      <c r="D369" s="434" t="s">
        <v>90</v>
      </c>
      <c r="E369" s="434" t="s">
        <v>1357</v>
      </c>
      <c r="F369" s="434" t="s">
        <v>486</v>
      </c>
      <c r="G369" s="593">
        <v>3447300</v>
      </c>
      <c r="H369" s="434" t="s">
        <v>1438</v>
      </c>
      <c r="I369" s="434" t="s">
        <v>1438</v>
      </c>
    </row>
    <row r="370" spans="1:12" hidden="1" x14ac:dyDescent="0.4">
      <c r="A370" s="434">
        <v>1</v>
      </c>
      <c r="B370" s="434" t="s">
        <v>1504</v>
      </c>
      <c r="C370" s="434" t="s">
        <v>1436</v>
      </c>
      <c r="D370" s="434" t="s">
        <v>92</v>
      </c>
      <c r="E370" s="434" t="s">
        <v>1358</v>
      </c>
      <c r="F370" s="434" t="s">
        <v>487</v>
      </c>
      <c r="G370" s="593">
        <v>186300</v>
      </c>
      <c r="H370" s="434" t="s">
        <v>1438</v>
      </c>
      <c r="I370" s="434" t="s">
        <v>1438</v>
      </c>
    </row>
    <row r="371" spans="1:12" hidden="1" x14ac:dyDescent="0.4">
      <c r="A371" s="434">
        <v>1</v>
      </c>
      <c r="B371" s="434" t="s">
        <v>1504</v>
      </c>
      <c r="C371" s="434" t="s">
        <v>1436</v>
      </c>
      <c r="D371" s="434" t="s">
        <v>93</v>
      </c>
      <c r="E371" s="434" t="s">
        <v>1359</v>
      </c>
      <c r="F371" s="434" t="s">
        <v>488</v>
      </c>
      <c r="G371" s="593">
        <v>559000</v>
      </c>
      <c r="H371" s="434" t="s">
        <v>1438</v>
      </c>
      <c r="I371" s="434" t="s">
        <v>1438</v>
      </c>
    </row>
    <row r="372" spans="1:12" hidden="1" x14ac:dyDescent="0.4">
      <c r="A372" s="434">
        <v>1</v>
      </c>
      <c r="B372" s="434" t="s">
        <v>1504</v>
      </c>
      <c r="C372" s="434" t="s">
        <v>1436</v>
      </c>
      <c r="D372" s="434" t="s">
        <v>94</v>
      </c>
      <c r="E372" s="434" t="s">
        <v>1360</v>
      </c>
      <c r="F372" s="434" t="s">
        <v>489</v>
      </c>
      <c r="G372" s="593">
        <v>1863400</v>
      </c>
      <c r="H372" s="434" t="s">
        <v>1438</v>
      </c>
      <c r="I372" s="434" t="s">
        <v>1438</v>
      </c>
    </row>
    <row r="373" spans="1:12" hidden="1" x14ac:dyDescent="0.4">
      <c r="A373" s="434">
        <v>1</v>
      </c>
      <c r="B373" s="434" t="s">
        <v>1504</v>
      </c>
      <c r="C373" s="434" t="s">
        <v>1436</v>
      </c>
      <c r="D373" s="434" t="s">
        <v>96</v>
      </c>
      <c r="E373" s="434" t="s">
        <v>1361</v>
      </c>
      <c r="F373" s="434" t="s">
        <v>490</v>
      </c>
      <c r="G373" s="593">
        <v>186300</v>
      </c>
      <c r="H373" s="434" t="s">
        <v>1438</v>
      </c>
      <c r="I373" s="434" t="s">
        <v>1438</v>
      </c>
    </row>
    <row r="374" spans="1:12" hidden="1" x14ac:dyDescent="0.4">
      <c r="A374" s="434">
        <v>1</v>
      </c>
      <c r="B374" s="434" t="s">
        <v>1504</v>
      </c>
      <c r="C374" s="434" t="s">
        <v>1436</v>
      </c>
      <c r="D374" s="434" t="s">
        <v>510</v>
      </c>
      <c r="E374" s="434" t="s">
        <v>1362</v>
      </c>
      <c r="F374" s="434" t="s">
        <v>491</v>
      </c>
      <c r="G374" s="593">
        <v>2019900</v>
      </c>
      <c r="H374" s="434" t="s">
        <v>1438</v>
      </c>
      <c r="I374" s="434" t="s">
        <v>1438</v>
      </c>
    </row>
    <row r="375" spans="1:12" hidden="1" x14ac:dyDescent="0.4">
      <c r="A375" s="434">
        <v>1</v>
      </c>
      <c r="B375" s="434" t="s">
        <v>1504</v>
      </c>
      <c r="C375" s="434" t="s">
        <v>1436</v>
      </c>
      <c r="D375" s="434" t="s">
        <v>100</v>
      </c>
      <c r="E375" s="434" t="s">
        <v>1363</v>
      </c>
      <c r="F375" s="434" t="s">
        <v>491</v>
      </c>
      <c r="G375" s="593">
        <v>1118100</v>
      </c>
      <c r="H375" s="434" t="s">
        <v>1438</v>
      </c>
      <c r="I375" s="434" t="s">
        <v>1438</v>
      </c>
    </row>
    <row r="376" spans="1:12" hidden="1" x14ac:dyDescent="0.4">
      <c r="A376" s="434">
        <v>1</v>
      </c>
      <c r="B376" s="434" t="s">
        <v>1504</v>
      </c>
      <c r="C376" s="434" t="s">
        <v>1436</v>
      </c>
      <c r="D376" s="434" t="s">
        <v>101</v>
      </c>
      <c r="E376" s="434" t="s">
        <v>1364</v>
      </c>
      <c r="F376" s="434" t="s">
        <v>1135</v>
      </c>
      <c r="G376" s="593">
        <v>559000</v>
      </c>
      <c r="H376" s="434" t="s">
        <v>1438</v>
      </c>
      <c r="I376" s="434" t="s">
        <v>1438</v>
      </c>
    </row>
    <row r="377" spans="1:12" s="1448" customFormat="1" hidden="1" x14ac:dyDescent="0.4">
      <c r="A377" s="434">
        <v>1</v>
      </c>
      <c r="B377" s="1448" t="s">
        <v>1504</v>
      </c>
      <c r="C377" s="1448" t="s">
        <v>1436</v>
      </c>
      <c r="D377" s="434" t="s">
        <v>72</v>
      </c>
      <c r="F377" s="1448" t="s">
        <v>1749</v>
      </c>
      <c r="G377" s="1449">
        <v>999800</v>
      </c>
      <c r="H377" s="1448" t="s">
        <v>534</v>
      </c>
      <c r="I377" s="1448" t="s">
        <v>534</v>
      </c>
      <c r="J377" s="1450"/>
      <c r="K377" s="1450"/>
      <c r="L377" s="1450"/>
    </row>
    <row r="378" spans="1:12" s="1448" customFormat="1" hidden="1" x14ac:dyDescent="0.4">
      <c r="A378" s="434">
        <v>1</v>
      </c>
      <c r="B378" s="1448" t="s">
        <v>1504</v>
      </c>
      <c r="C378" s="1448" t="s">
        <v>1436</v>
      </c>
      <c r="D378" s="434" t="s">
        <v>80</v>
      </c>
      <c r="F378" s="1448" t="s">
        <v>1749</v>
      </c>
      <c r="G378" s="1449">
        <v>200</v>
      </c>
      <c r="H378" s="1448" t="s">
        <v>534</v>
      </c>
      <c r="I378" s="1448" t="s">
        <v>534</v>
      </c>
      <c r="J378" s="1450"/>
      <c r="K378" s="1450"/>
      <c r="L378" s="1450"/>
    </row>
    <row r="379" spans="1:12" s="1448" customFormat="1" hidden="1" x14ac:dyDescent="0.4">
      <c r="A379" s="434">
        <v>1</v>
      </c>
      <c r="B379" s="1448" t="s">
        <v>1504</v>
      </c>
      <c r="C379" s="1448" t="s">
        <v>1436</v>
      </c>
      <c r="D379" s="434" t="s">
        <v>82</v>
      </c>
      <c r="F379" s="1448" t="s">
        <v>1749</v>
      </c>
      <c r="G379" s="1449">
        <v>0</v>
      </c>
      <c r="H379" s="1448" t="s">
        <v>534</v>
      </c>
      <c r="I379" s="1448" t="s">
        <v>534</v>
      </c>
      <c r="J379" s="1450"/>
      <c r="K379" s="1450"/>
      <c r="L379" s="1450"/>
    </row>
    <row r="380" spans="1:12" s="1448" customFormat="1" hidden="1" x14ac:dyDescent="0.4">
      <c r="A380" s="434">
        <v>1</v>
      </c>
      <c r="B380" s="1448" t="s">
        <v>1504</v>
      </c>
      <c r="C380" s="1448" t="s">
        <v>1436</v>
      </c>
      <c r="D380" s="434" t="s">
        <v>84</v>
      </c>
      <c r="F380" s="1448" t="s">
        <v>1749</v>
      </c>
      <c r="G380" s="1449">
        <v>90400</v>
      </c>
      <c r="H380" s="1448" t="s">
        <v>534</v>
      </c>
      <c r="I380" s="1448" t="s">
        <v>534</v>
      </c>
      <c r="J380" s="1450"/>
      <c r="K380" s="1450"/>
      <c r="L380" s="1450"/>
    </row>
    <row r="381" spans="1:12" s="1448" customFormat="1" hidden="1" x14ac:dyDescent="0.4">
      <c r="A381" s="434">
        <v>1</v>
      </c>
      <c r="B381" s="1448" t="s">
        <v>1504</v>
      </c>
      <c r="C381" s="1448" t="s">
        <v>1436</v>
      </c>
      <c r="D381" s="434" t="s">
        <v>86</v>
      </c>
      <c r="F381" s="1448" t="s">
        <v>1749</v>
      </c>
      <c r="G381" s="1449">
        <v>83400</v>
      </c>
      <c r="H381" s="1448" t="s">
        <v>534</v>
      </c>
      <c r="I381" s="1448" t="s">
        <v>534</v>
      </c>
      <c r="J381" s="1450"/>
      <c r="K381" s="1450"/>
      <c r="L381" s="1450"/>
    </row>
    <row r="382" spans="1:12" s="1448" customFormat="1" hidden="1" x14ac:dyDescent="0.4">
      <c r="A382" s="434">
        <v>1</v>
      </c>
      <c r="B382" s="1448" t="s">
        <v>1504</v>
      </c>
      <c r="C382" s="1448" t="s">
        <v>1436</v>
      </c>
      <c r="D382" s="434" t="s">
        <v>87</v>
      </c>
      <c r="F382" s="1448" t="s">
        <v>1749</v>
      </c>
      <c r="G382" s="1449">
        <v>-100</v>
      </c>
      <c r="H382" s="1448" t="s">
        <v>534</v>
      </c>
      <c r="I382" s="1448" t="s">
        <v>534</v>
      </c>
      <c r="J382" s="1450"/>
      <c r="K382" s="1450"/>
      <c r="L382" s="1450"/>
    </row>
    <row r="383" spans="1:12" s="1448" customFormat="1" hidden="1" x14ac:dyDescent="0.4">
      <c r="A383" s="434">
        <v>1</v>
      </c>
      <c r="B383" s="1448" t="s">
        <v>1504</v>
      </c>
      <c r="C383" s="1448" t="s">
        <v>1436</v>
      </c>
      <c r="D383" s="434" t="s">
        <v>90</v>
      </c>
      <c r="F383" s="1448" t="s">
        <v>1749</v>
      </c>
      <c r="G383" s="1449">
        <v>100200</v>
      </c>
      <c r="H383" s="1448" t="s">
        <v>534</v>
      </c>
      <c r="I383" s="1448" t="s">
        <v>534</v>
      </c>
      <c r="J383" s="1450"/>
      <c r="K383" s="1450"/>
      <c r="L383" s="1450"/>
    </row>
    <row r="384" spans="1:12" s="1448" customFormat="1" hidden="1" x14ac:dyDescent="0.4">
      <c r="A384" s="434">
        <v>1</v>
      </c>
      <c r="B384" s="1448" t="s">
        <v>1504</v>
      </c>
      <c r="C384" s="1448" t="s">
        <v>1436</v>
      </c>
      <c r="D384" s="434" t="s">
        <v>92</v>
      </c>
      <c r="F384" s="1448" t="s">
        <v>1749</v>
      </c>
      <c r="G384" s="1449">
        <v>5700</v>
      </c>
      <c r="H384" s="1448" t="s">
        <v>534</v>
      </c>
      <c r="I384" s="1448" t="s">
        <v>534</v>
      </c>
      <c r="J384" s="1450"/>
      <c r="K384" s="1450"/>
      <c r="L384" s="1450"/>
    </row>
    <row r="385" spans="1:12" s="1448" customFormat="1" hidden="1" x14ac:dyDescent="0.4">
      <c r="A385" s="434">
        <v>1</v>
      </c>
      <c r="B385" s="1448" t="s">
        <v>1504</v>
      </c>
      <c r="C385" s="1448" t="s">
        <v>1436</v>
      </c>
      <c r="D385" s="434" t="s">
        <v>93</v>
      </c>
      <c r="F385" s="1448" t="s">
        <v>1749</v>
      </c>
      <c r="G385" s="1449">
        <v>16500</v>
      </c>
      <c r="H385" s="1448" t="s">
        <v>534</v>
      </c>
      <c r="I385" s="1448" t="s">
        <v>534</v>
      </c>
      <c r="J385" s="1450"/>
      <c r="K385" s="1450"/>
      <c r="L385" s="1450"/>
    </row>
    <row r="386" spans="1:12" s="1448" customFormat="1" hidden="1" x14ac:dyDescent="0.4">
      <c r="A386" s="434">
        <v>1</v>
      </c>
      <c r="B386" s="1448" t="s">
        <v>1504</v>
      </c>
      <c r="C386" s="1448" t="s">
        <v>1436</v>
      </c>
      <c r="D386" s="434" t="s">
        <v>94</v>
      </c>
      <c r="F386" s="1448" t="s">
        <v>1749</v>
      </c>
      <c r="G386" s="1449">
        <v>54100</v>
      </c>
      <c r="H386" s="1448" t="s">
        <v>534</v>
      </c>
      <c r="I386" s="1448" t="s">
        <v>534</v>
      </c>
      <c r="J386" s="1450"/>
      <c r="K386" s="1450"/>
      <c r="L386" s="1450"/>
    </row>
    <row r="387" spans="1:12" s="1448" customFormat="1" hidden="1" x14ac:dyDescent="0.4">
      <c r="A387" s="434">
        <v>1</v>
      </c>
      <c r="B387" s="1448" t="s">
        <v>1504</v>
      </c>
      <c r="C387" s="1448" t="s">
        <v>1436</v>
      </c>
      <c r="D387" s="434" t="s">
        <v>96</v>
      </c>
      <c r="F387" s="1448" t="s">
        <v>1749</v>
      </c>
      <c r="G387" s="1449">
        <v>5700</v>
      </c>
      <c r="H387" s="1448" t="s">
        <v>534</v>
      </c>
      <c r="I387" s="1448" t="s">
        <v>534</v>
      </c>
      <c r="J387" s="1450"/>
      <c r="K387" s="1450"/>
      <c r="L387" s="1450"/>
    </row>
    <row r="388" spans="1:12" s="1448" customFormat="1" hidden="1" x14ac:dyDescent="0.4">
      <c r="A388" s="434">
        <v>1</v>
      </c>
      <c r="B388" s="1448" t="s">
        <v>1504</v>
      </c>
      <c r="C388" s="1448" t="s">
        <v>1436</v>
      </c>
      <c r="D388" s="434" t="s">
        <v>510</v>
      </c>
      <c r="F388" s="1448" t="s">
        <v>1749</v>
      </c>
      <c r="G388" s="1449">
        <v>58600</v>
      </c>
      <c r="H388" s="1448" t="s">
        <v>534</v>
      </c>
      <c r="I388" s="1448" t="s">
        <v>534</v>
      </c>
      <c r="J388" s="1450"/>
      <c r="K388" s="1450"/>
      <c r="L388" s="1450"/>
    </row>
    <row r="389" spans="1:12" s="1448" customFormat="1" hidden="1" x14ac:dyDescent="0.4">
      <c r="A389" s="434">
        <v>1</v>
      </c>
      <c r="B389" s="1448" t="s">
        <v>1504</v>
      </c>
      <c r="C389" s="1448" t="s">
        <v>1436</v>
      </c>
      <c r="D389" s="434" t="s">
        <v>100</v>
      </c>
      <c r="F389" s="1448" t="s">
        <v>1749</v>
      </c>
      <c r="G389" s="1449">
        <v>32400</v>
      </c>
      <c r="H389" s="1448" t="s">
        <v>534</v>
      </c>
      <c r="I389" s="1448" t="s">
        <v>534</v>
      </c>
      <c r="J389" s="1450"/>
      <c r="K389" s="1450"/>
      <c r="L389" s="1450"/>
    </row>
    <row r="390" spans="1:12" s="1448" customFormat="1" hidden="1" x14ac:dyDescent="0.4">
      <c r="A390" s="434">
        <v>1</v>
      </c>
      <c r="B390" s="1448" t="s">
        <v>1504</v>
      </c>
      <c r="C390" s="1448" t="s">
        <v>1436</v>
      </c>
      <c r="D390" s="434" t="s">
        <v>101</v>
      </c>
      <c r="F390" s="1448" t="s">
        <v>1749</v>
      </c>
      <c r="G390" s="1449">
        <v>16500</v>
      </c>
      <c r="H390" s="1448" t="s">
        <v>534</v>
      </c>
      <c r="I390" s="1448" t="s">
        <v>534</v>
      </c>
      <c r="J390" s="1450"/>
      <c r="K390" s="1450"/>
      <c r="L390" s="1450"/>
    </row>
    <row r="391" spans="1:12" hidden="1" x14ac:dyDescent="0.4">
      <c r="A391" s="434">
        <v>1</v>
      </c>
      <c r="B391" s="434" t="s">
        <v>1504</v>
      </c>
      <c r="C391" s="434" t="s">
        <v>1439</v>
      </c>
      <c r="D391" s="434" t="s">
        <v>106</v>
      </c>
      <c r="E391" s="434" t="s">
        <v>1366</v>
      </c>
      <c r="F391" s="434" t="s">
        <v>1440</v>
      </c>
      <c r="G391" s="593">
        <v>4060000</v>
      </c>
      <c r="H391" s="434" t="s">
        <v>1441</v>
      </c>
      <c r="I391" s="434" t="s">
        <v>1438</v>
      </c>
    </row>
    <row r="392" spans="1:12" hidden="1" x14ac:dyDescent="0.4">
      <c r="A392" s="434">
        <v>1</v>
      </c>
      <c r="B392" s="434" t="s">
        <v>1504</v>
      </c>
      <c r="C392" s="434" t="s">
        <v>1439</v>
      </c>
      <c r="D392" s="434" t="s">
        <v>116</v>
      </c>
      <c r="E392" s="434" t="s">
        <v>1370</v>
      </c>
      <c r="F392" s="434" t="s">
        <v>1442</v>
      </c>
      <c r="G392" s="593">
        <v>164600</v>
      </c>
      <c r="H392" s="434" t="s">
        <v>1441</v>
      </c>
      <c r="I392" s="434" t="s">
        <v>1438</v>
      </c>
    </row>
    <row r="393" spans="1:12" hidden="1" x14ac:dyDescent="0.4">
      <c r="A393" s="434">
        <v>1</v>
      </c>
      <c r="B393" s="434" t="s">
        <v>1504</v>
      </c>
      <c r="C393" s="434" t="s">
        <v>1439</v>
      </c>
      <c r="D393" s="434" t="s">
        <v>118</v>
      </c>
      <c r="E393" s="434" t="s">
        <v>1371</v>
      </c>
      <c r="F393" s="434" t="s">
        <v>1443</v>
      </c>
      <c r="G393" s="593">
        <v>582200</v>
      </c>
      <c r="H393" s="434" t="s">
        <v>1441</v>
      </c>
      <c r="I393" s="434" t="s">
        <v>1438</v>
      </c>
    </row>
    <row r="394" spans="1:12" x14ac:dyDescent="0.4">
      <c r="A394" s="434">
        <v>1</v>
      </c>
      <c r="B394" s="434" t="s">
        <v>1504</v>
      </c>
      <c r="C394" s="434" t="s">
        <v>1439</v>
      </c>
      <c r="D394" s="434" t="s">
        <v>326</v>
      </c>
      <c r="E394" s="434" t="s">
        <v>1373</v>
      </c>
      <c r="F394" s="434" t="s">
        <v>1455</v>
      </c>
      <c r="G394" s="593">
        <v>251900</v>
      </c>
      <c r="H394" s="434" t="s">
        <v>534</v>
      </c>
      <c r="I394" s="434" t="s">
        <v>534</v>
      </c>
    </row>
    <row r="395" spans="1:12" hidden="1" x14ac:dyDescent="0.4">
      <c r="A395" s="434">
        <v>1</v>
      </c>
      <c r="B395" s="434" t="s">
        <v>1504</v>
      </c>
      <c r="C395" s="434" t="s">
        <v>1439</v>
      </c>
      <c r="D395" s="434" t="s">
        <v>133</v>
      </c>
      <c r="E395" s="434" t="s">
        <v>1378</v>
      </c>
      <c r="F395" s="434" t="s">
        <v>1505</v>
      </c>
      <c r="G395" s="593">
        <v>250000</v>
      </c>
      <c r="H395" s="434" t="s">
        <v>534</v>
      </c>
      <c r="I395" s="434" t="s">
        <v>534</v>
      </c>
    </row>
    <row r="396" spans="1:12" hidden="1" x14ac:dyDescent="0.4">
      <c r="A396" s="434">
        <v>1</v>
      </c>
      <c r="B396" s="434" t="s">
        <v>1504</v>
      </c>
      <c r="C396" s="434" t="s">
        <v>1439</v>
      </c>
      <c r="D396" s="434" t="s">
        <v>145</v>
      </c>
      <c r="E396" s="434" t="s">
        <v>1385</v>
      </c>
      <c r="F396" s="434" t="s">
        <v>1506</v>
      </c>
      <c r="G396" s="593">
        <v>7194400</v>
      </c>
      <c r="H396" s="434" t="s">
        <v>534</v>
      </c>
      <c r="I396" s="434" t="s">
        <v>534</v>
      </c>
    </row>
    <row r="397" spans="1:12" hidden="1" x14ac:dyDescent="0.4">
      <c r="A397" s="434">
        <v>1</v>
      </c>
      <c r="B397" s="434" t="s">
        <v>1504</v>
      </c>
      <c r="C397" s="434" t="s">
        <v>1439</v>
      </c>
      <c r="D397" s="434" t="s">
        <v>147</v>
      </c>
      <c r="E397" s="434" t="s">
        <v>1386</v>
      </c>
      <c r="F397" s="434" t="s">
        <v>1507</v>
      </c>
      <c r="G397" s="593">
        <v>1200000</v>
      </c>
      <c r="H397" s="434" t="s">
        <v>534</v>
      </c>
      <c r="I397" s="434" t="s">
        <v>534</v>
      </c>
    </row>
    <row r="398" spans="1:12" hidden="1" x14ac:dyDescent="0.4">
      <c r="A398" s="434">
        <v>1</v>
      </c>
      <c r="B398" s="434" t="s">
        <v>1504</v>
      </c>
      <c r="C398" s="434" t="s">
        <v>1439</v>
      </c>
      <c r="D398" s="434" t="s">
        <v>151</v>
      </c>
      <c r="E398" s="434" t="s">
        <v>1387</v>
      </c>
      <c r="F398" s="434" t="s">
        <v>1508</v>
      </c>
      <c r="G398" s="593">
        <v>750000</v>
      </c>
      <c r="H398" s="434" t="s">
        <v>534</v>
      </c>
      <c r="I398" s="434" t="s">
        <v>534</v>
      </c>
    </row>
    <row r="399" spans="1:12" hidden="1" x14ac:dyDescent="0.4">
      <c r="A399" s="1437">
        <v>1</v>
      </c>
      <c r="B399" s="1437" t="s">
        <v>1489</v>
      </c>
      <c r="C399" s="1437" t="s">
        <v>1439</v>
      </c>
      <c r="D399" s="1437" t="s">
        <v>160</v>
      </c>
      <c r="E399" s="1437" t="s">
        <v>1391</v>
      </c>
      <c r="F399" s="1437" t="s">
        <v>1495</v>
      </c>
      <c r="G399" s="1438">
        <v>1900000</v>
      </c>
      <c r="H399" s="1437" t="s">
        <v>534</v>
      </c>
      <c r="I399" s="434" t="s">
        <v>534</v>
      </c>
    </row>
    <row r="400" spans="1:12" hidden="1" x14ac:dyDescent="0.4">
      <c r="A400" s="434">
        <v>1</v>
      </c>
      <c r="B400" s="434" t="s">
        <v>1504</v>
      </c>
      <c r="C400" s="434" t="s">
        <v>1439</v>
      </c>
      <c r="D400" s="434" t="s">
        <v>160</v>
      </c>
      <c r="E400" s="434" t="s">
        <v>1391</v>
      </c>
      <c r="F400" s="434" t="s">
        <v>1509</v>
      </c>
      <c r="G400" s="593">
        <v>6254300</v>
      </c>
      <c r="H400" s="434" t="s">
        <v>534</v>
      </c>
      <c r="I400" s="434" t="s">
        <v>534</v>
      </c>
    </row>
    <row r="401" spans="1:9" hidden="1" x14ac:dyDescent="0.4">
      <c r="A401" s="434">
        <v>1</v>
      </c>
      <c r="B401" s="434" t="s">
        <v>1504</v>
      </c>
      <c r="C401" s="434" t="s">
        <v>1439</v>
      </c>
      <c r="D401" s="434" t="s">
        <v>176</v>
      </c>
      <c r="E401" s="434" t="s">
        <v>1395</v>
      </c>
      <c r="F401" s="434" t="s">
        <v>1510</v>
      </c>
      <c r="G401" s="593">
        <v>1340000</v>
      </c>
      <c r="H401" s="434" t="s">
        <v>534</v>
      </c>
      <c r="I401" s="434" t="s">
        <v>534</v>
      </c>
    </row>
    <row r="402" spans="1:9" hidden="1" x14ac:dyDescent="0.4">
      <c r="A402" s="434">
        <v>1</v>
      </c>
      <c r="B402" s="434" t="s">
        <v>1504</v>
      </c>
      <c r="C402" s="434" t="s">
        <v>1439</v>
      </c>
      <c r="D402" s="434" t="s">
        <v>406</v>
      </c>
      <c r="E402" s="434" t="s">
        <v>1400</v>
      </c>
      <c r="F402" s="434" t="s">
        <v>1511</v>
      </c>
      <c r="G402" s="593">
        <v>2160000</v>
      </c>
      <c r="H402" s="434" t="s">
        <v>534</v>
      </c>
      <c r="I402" s="434" t="s">
        <v>534</v>
      </c>
    </row>
    <row r="403" spans="1:9" hidden="1" x14ac:dyDescent="0.4">
      <c r="A403" s="434">
        <v>1</v>
      </c>
      <c r="B403" s="434" t="s">
        <v>1504</v>
      </c>
      <c r="C403" s="434" t="s">
        <v>1439</v>
      </c>
      <c r="D403" s="434" t="s">
        <v>187</v>
      </c>
      <c r="E403" s="434" t="s">
        <v>1402</v>
      </c>
      <c r="F403" s="434" t="s">
        <v>1512</v>
      </c>
      <c r="G403" s="593">
        <v>3600000</v>
      </c>
      <c r="H403" s="434" t="s">
        <v>534</v>
      </c>
      <c r="I403" s="434" t="s">
        <v>534</v>
      </c>
    </row>
    <row r="404" spans="1:9" hidden="1" x14ac:dyDescent="0.4">
      <c r="A404" s="434">
        <v>1</v>
      </c>
      <c r="B404" s="434" t="s">
        <v>1504</v>
      </c>
      <c r="C404" s="434" t="s">
        <v>1439</v>
      </c>
      <c r="D404" s="434" t="s">
        <v>189</v>
      </c>
      <c r="E404" s="434" t="s">
        <v>1403</v>
      </c>
      <c r="F404" s="434" t="s">
        <v>1104</v>
      </c>
      <c r="G404" s="593">
        <v>150000</v>
      </c>
      <c r="H404" s="434" t="s">
        <v>534</v>
      </c>
      <c r="I404" s="434" t="s">
        <v>534</v>
      </c>
    </row>
    <row r="405" spans="1:9" hidden="1" x14ac:dyDescent="0.4">
      <c r="A405" s="434">
        <v>1</v>
      </c>
      <c r="B405" s="434" t="s">
        <v>1504</v>
      </c>
      <c r="C405" s="434" t="s">
        <v>1498</v>
      </c>
      <c r="D405" s="434" t="s">
        <v>193</v>
      </c>
      <c r="E405" s="434" t="s">
        <v>1404</v>
      </c>
      <c r="F405" s="1471" t="s">
        <v>1752</v>
      </c>
      <c r="G405" s="593">
        <v>2500400</v>
      </c>
      <c r="H405" s="434" t="s">
        <v>1441</v>
      </c>
      <c r="I405" s="434" t="s">
        <v>1438</v>
      </c>
    </row>
    <row r="406" spans="1:9" hidden="1" x14ac:dyDescent="0.4">
      <c r="A406" s="434">
        <v>1</v>
      </c>
      <c r="B406" s="434" t="s">
        <v>1504</v>
      </c>
      <c r="C406" s="434" t="s">
        <v>1498</v>
      </c>
      <c r="D406" s="434" t="s">
        <v>195</v>
      </c>
      <c r="E406" s="434" t="s">
        <v>1405</v>
      </c>
      <c r="F406" s="434"/>
      <c r="G406" s="593">
        <v>94000</v>
      </c>
      <c r="H406" s="434" t="s">
        <v>1441</v>
      </c>
      <c r="I406" s="434" t="s">
        <v>1438</v>
      </c>
    </row>
    <row r="407" spans="1:9" hidden="1" x14ac:dyDescent="0.4">
      <c r="A407" s="434">
        <v>1</v>
      </c>
      <c r="B407" s="434" t="s">
        <v>1504</v>
      </c>
      <c r="C407" s="434" t="s">
        <v>1498</v>
      </c>
      <c r="D407" s="434" t="s">
        <v>218</v>
      </c>
      <c r="E407" s="434" t="s">
        <v>1410</v>
      </c>
      <c r="F407" s="434"/>
      <c r="G407" s="593">
        <v>2111600</v>
      </c>
      <c r="H407" s="434" t="s">
        <v>1441</v>
      </c>
      <c r="I407" s="434" t="s">
        <v>1438</v>
      </c>
    </row>
    <row r="408" spans="1:9" hidden="1" x14ac:dyDescent="0.4">
      <c r="A408" s="434">
        <v>1</v>
      </c>
      <c r="B408" s="434" t="s">
        <v>1504</v>
      </c>
      <c r="C408" s="434" t="s">
        <v>1498</v>
      </c>
      <c r="D408" s="434" t="s">
        <v>226</v>
      </c>
      <c r="E408" s="434" t="s">
        <v>1414</v>
      </c>
      <c r="F408" s="434"/>
      <c r="G408" s="593">
        <v>2864336</v>
      </c>
      <c r="H408" s="434" t="s">
        <v>1441</v>
      </c>
      <c r="I408" s="434" t="s">
        <v>1438</v>
      </c>
    </row>
    <row r="409" spans="1:9" hidden="1" x14ac:dyDescent="0.4">
      <c r="A409" s="434">
        <v>1</v>
      </c>
      <c r="B409" s="434" t="s">
        <v>1504</v>
      </c>
      <c r="C409" s="434" t="s">
        <v>1498</v>
      </c>
      <c r="D409" s="434" t="s">
        <v>228</v>
      </c>
      <c r="E409" s="434" t="s">
        <v>1415</v>
      </c>
      <c r="F409" s="434"/>
      <c r="G409" s="593">
        <v>460000</v>
      </c>
      <c r="H409" s="434" t="s">
        <v>1441</v>
      </c>
      <c r="I409" s="434" t="s">
        <v>1438</v>
      </c>
    </row>
    <row r="410" spans="1:9" hidden="1" x14ac:dyDescent="0.4">
      <c r="A410" s="434">
        <v>1</v>
      </c>
      <c r="B410" s="434" t="s">
        <v>1504</v>
      </c>
      <c r="C410" s="434" t="s">
        <v>1498</v>
      </c>
      <c r="D410" s="434" t="s">
        <v>230</v>
      </c>
      <c r="E410" s="434" t="s">
        <v>1416</v>
      </c>
      <c r="F410" s="434"/>
      <c r="G410" s="593">
        <v>74500</v>
      </c>
      <c r="H410" s="434" t="s">
        <v>1441</v>
      </c>
      <c r="I410" s="434" t="s">
        <v>1438</v>
      </c>
    </row>
    <row r="411" spans="1:9" hidden="1" x14ac:dyDescent="0.4">
      <c r="A411" s="434">
        <v>1</v>
      </c>
      <c r="B411" s="434" t="s">
        <v>1504</v>
      </c>
      <c r="C411" s="434" t="s">
        <v>1513</v>
      </c>
      <c r="D411" s="434" t="s">
        <v>236</v>
      </c>
      <c r="E411" s="434" t="s">
        <v>1514</v>
      </c>
      <c r="F411" s="434" t="s">
        <v>1515</v>
      </c>
      <c r="G411" s="593">
        <v>150000000</v>
      </c>
      <c r="H411" s="434" t="s">
        <v>534</v>
      </c>
      <c r="I411" s="434" t="s">
        <v>534</v>
      </c>
    </row>
    <row r="412" spans="1:9" hidden="1" x14ac:dyDescent="0.4">
      <c r="A412" s="434">
        <v>1</v>
      </c>
      <c r="B412" s="434" t="s">
        <v>1516</v>
      </c>
      <c r="C412" s="434" t="s">
        <v>1436</v>
      </c>
      <c r="D412" s="434" t="s">
        <v>72</v>
      </c>
      <c r="E412" s="434" t="s">
        <v>1348</v>
      </c>
      <c r="F412" s="434" t="s">
        <v>1437</v>
      </c>
      <c r="G412" s="593">
        <v>18378800</v>
      </c>
      <c r="H412" s="434" t="s">
        <v>1438</v>
      </c>
      <c r="I412" s="434" t="s">
        <v>1438</v>
      </c>
    </row>
    <row r="413" spans="1:9" hidden="1" x14ac:dyDescent="0.4">
      <c r="A413" s="434">
        <v>1</v>
      </c>
      <c r="B413" s="434" t="s">
        <v>1516</v>
      </c>
      <c r="C413" s="434" t="s">
        <v>1436</v>
      </c>
      <c r="D413" s="434" t="s">
        <v>80</v>
      </c>
      <c r="E413" s="434" t="s">
        <v>1332</v>
      </c>
      <c r="F413" s="434" t="s">
        <v>481</v>
      </c>
      <c r="G413" s="593">
        <v>4287100</v>
      </c>
      <c r="H413" s="434" t="s">
        <v>1438</v>
      </c>
      <c r="I413" s="434" t="s">
        <v>1438</v>
      </c>
    </row>
    <row r="414" spans="1:9" hidden="1" x14ac:dyDescent="0.4">
      <c r="A414" s="434">
        <v>1</v>
      </c>
      <c r="B414" s="434" t="s">
        <v>1516</v>
      </c>
      <c r="C414" s="434" t="s">
        <v>1436</v>
      </c>
      <c r="D414" s="434" t="s">
        <v>82</v>
      </c>
      <c r="E414" s="434" t="s">
        <v>1333</v>
      </c>
      <c r="F414" s="434" t="s">
        <v>482</v>
      </c>
      <c r="G414" s="593">
        <v>3577500</v>
      </c>
      <c r="H414" s="434" t="s">
        <v>1438</v>
      </c>
      <c r="I414" s="434" t="s">
        <v>1438</v>
      </c>
    </row>
    <row r="415" spans="1:9" hidden="1" x14ac:dyDescent="0.4">
      <c r="A415" s="434">
        <v>1</v>
      </c>
      <c r="B415" s="434" t="s">
        <v>1516</v>
      </c>
      <c r="C415" s="434" t="s">
        <v>1436</v>
      </c>
      <c r="D415" s="434" t="s">
        <v>84</v>
      </c>
      <c r="E415" s="434" t="s">
        <v>1355</v>
      </c>
      <c r="F415" s="434" t="s">
        <v>483</v>
      </c>
      <c r="G415" s="593">
        <v>2480500</v>
      </c>
      <c r="H415" s="434" t="s">
        <v>1438</v>
      </c>
      <c r="I415" s="434" t="s">
        <v>1438</v>
      </c>
    </row>
    <row r="416" spans="1:9" hidden="1" x14ac:dyDescent="0.4">
      <c r="A416" s="434">
        <v>1</v>
      </c>
      <c r="B416" s="434" t="s">
        <v>1516</v>
      </c>
      <c r="C416" s="434" t="s">
        <v>1436</v>
      </c>
      <c r="D416" s="434" t="s">
        <v>86</v>
      </c>
      <c r="E416" s="434" t="s">
        <v>1356</v>
      </c>
      <c r="F416" s="434" t="s">
        <v>484</v>
      </c>
      <c r="G416" s="593">
        <v>2076500</v>
      </c>
      <c r="H416" s="434" t="s">
        <v>1438</v>
      </c>
      <c r="I416" s="434" t="s">
        <v>1438</v>
      </c>
    </row>
    <row r="417" spans="1:12" hidden="1" x14ac:dyDescent="0.4">
      <c r="A417" s="434">
        <v>1</v>
      </c>
      <c r="B417" s="434" t="s">
        <v>1516</v>
      </c>
      <c r="C417" s="434" t="s">
        <v>1436</v>
      </c>
      <c r="D417" s="434" t="s">
        <v>87</v>
      </c>
      <c r="E417" s="434" t="s">
        <v>1334</v>
      </c>
      <c r="F417" s="434" t="s">
        <v>485</v>
      </c>
      <c r="G417" s="593">
        <v>1445600</v>
      </c>
      <c r="H417" s="434" t="s">
        <v>1438</v>
      </c>
      <c r="I417" s="434" t="s">
        <v>1438</v>
      </c>
    </row>
    <row r="418" spans="1:12" hidden="1" x14ac:dyDescent="0.4">
      <c r="A418" s="434">
        <v>1</v>
      </c>
      <c r="B418" s="434" t="s">
        <v>1516</v>
      </c>
      <c r="C418" s="434" t="s">
        <v>1436</v>
      </c>
      <c r="D418" s="434" t="s">
        <v>90</v>
      </c>
      <c r="E418" s="434" t="s">
        <v>1357</v>
      </c>
      <c r="F418" s="434" t="s">
        <v>486</v>
      </c>
      <c r="G418" s="593">
        <v>2753300</v>
      </c>
      <c r="H418" s="434" t="s">
        <v>1438</v>
      </c>
      <c r="I418" s="434" t="s">
        <v>1438</v>
      </c>
    </row>
    <row r="419" spans="1:12" hidden="1" x14ac:dyDescent="0.4">
      <c r="A419" s="434">
        <v>1</v>
      </c>
      <c r="B419" s="434" t="s">
        <v>1516</v>
      </c>
      <c r="C419" s="434" t="s">
        <v>1436</v>
      </c>
      <c r="D419" s="434" t="s">
        <v>92</v>
      </c>
      <c r="E419" s="434" t="s">
        <v>1358</v>
      </c>
      <c r="F419" s="434" t="s">
        <v>487</v>
      </c>
      <c r="G419" s="593">
        <v>148800</v>
      </c>
      <c r="H419" s="434" t="s">
        <v>1438</v>
      </c>
      <c r="I419" s="434" t="s">
        <v>1438</v>
      </c>
    </row>
    <row r="420" spans="1:12" hidden="1" x14ac:dyDescent="0.4">
      <c r="A420" s="434">
        <v>1</v>
      </c>
      <c r="B420" s="434" t="s">
        <v>1516</v>
      </c>
      <c r="C420" s="434" t="s">
        <v>1436</v>
      </c>
      <c r="D420" s="434" t="s">
        <v>93</v>
      </c>
      <c r="E420" s="434" t="s">
        <v>1359</v>
      </c>
      <c r="F420" s="434" t="s">
        <v>488</v>
      </c>
      <c r="G420" s="593">
        <v>446500</v>
      </c>
      <c r="H420" s="434" t="s">
        <v>1438</v>
      </c>
      <c r="I420" s="434" t="s">
        <v>1438</v>
      </c>
    </row>
    <row r="421" spans="1:12" hidden="1" x14ac:dyDescent="0.4">
      <c r="A421" s="434">
        <v>1</v>
      </c>
      <c r="B421" s="434" t="s">
        <v>1516</v>
      </c>
      <c r="C421" s="434" t="s">
        <v>1436</v>
      </c>
      <c r="D421" s="434" t="s">
        <v>94</v>
      </c>
      <c r="E421" s="434" t="s">
        <v>1360</v>
      </c>
      <c r="F421" s="434" t="s">
        <v>489</v>
      </c>
      <c r="G421" s="593">
        <v>1488300</v>
      </c>
      <c r="H421" s="434" t="s">
        <v>1438</v>
      </c>
      <c r="I421" s="434" t="s">
        <v>1438</v>
      </c>
    </row>
    <row r="422" spans="1:12" hidden="1" x14ac:dyDescent="0.4">
      <c r="A422" s="434">
        <v>1</v>
      </c>
      <c r="B422" s="434" t="s">
        <v>1516</v>
      </c>
      <c r="C422" s="434" t="s">
        <v>1436</v>
      </c>
      <c r="D422" s="434" t="s">
        <v>96</v>
      </c>
      <c r="E422" s="434" t="s">
        <v>1361</v>
      </c>
      <c r="F422" s="434" t="s">
        <v>490</v>
      </c>
      <c r="G422" s="593">
        <v>148800</v>
      </c>
      <c r="H422" s="434" t="s">
        <v>1438</v>
      </c>
      <c r="I422" s="434" t="s">
        <v>1438</v>
      </c>
    </row>
    <row r="423" spans="1:12" hidden="1" x14ac:dyDescent="0.4">
      <c r="A423" s="434">
        <v>1</v>
      </c>
      <c r="B423" s="434" t="s">
        <v>1516</v>
      </c>
      <c r="C423" s="434" t="s">
        <v>1436</v>
      </c>
      <c r="D423" s="434" t="s">
        <v>510</v>
      </c>
      <c r="E423" s="434" t="s">
        <v>1362</v>
      </c>
      <c r="F423" s="434" t="s">
        <v>491</v>
      </c>
      <c r="G423" s="593">
        <v>1613300</v>
      </c>
      <c r="H423" s="434" t="s">
        <v>1438</v>
      </c>
      <c r="I423" s="434" t="s">
        <v>1438</v>
      </c>
    </row>
    <row r="424" spans="1:12" hidden="1" x14ac:dyDescent="0.4">
      <c r="A424" s="434">
        <v>1</v>
      </c>
      <c r="B424" s="434" t="s">
        <v>1516</v>
      </c>
      <c r="C424" s="434" t="s">
        <v>1436</v>
      </c>
      <c r="D424" s="434" t="s">
        <v>100</v>
      </c>
      <c r="E424" s="434" t="s">
        <v>1363</v>
      </c>
      <c r="F424" s="434" t="s">
        <v>491</v>
      </c>
      <c r="G424" s="593">
        <v>893000</v>
      </c>
      <c r="H424" s="434" t="s">
        <v>1438</v>
      </c>
      <c r="I424" s="434" t="s">
        <v>1438</v>
      </c>
    </row>
    <row r="425" spans="1:12" hidden="1" x14ac:dyDescent="0.4">
      <c r="A425" s="434">
        <v>1</v>
      </c>
      <c r="B425" s="434" t="s">
        <v>1516</v>
      </c>
      <c r="C425" s="434" t="s">
        <v>1436</v>
      </c>
      <c r="D425" s="434" t="s">
        <v>101</v>
      </c>
      <c r="E425" s="434" t="s">
        <v>1364</v>
      </c>
      <c r="F425" s="434" t="s">
        <v>1135</v>
      </c>
      <c r="G425" s="593">
        <v>446500</v>
      </c>
      <c r="H425" s="434" t="s">
        <v>1438</v>
      </c>
      <c r="I425" s="434" t="s">
        <v>1438</v>
      </c>
    </row>
    <row r="426" spans="1:12" s="1448" customFormat="1" hidden="1" x14ac:dyDescent="0.4">
      <c r="A426" s="434">
        <v>1</v>
      </c>
      <c r="B426" s="1448" t="s">
        <v>1516</v>
      </c>
      <c r="C426" s="1448" t="s">
        <v>1436</v>
      </c>
      <c r="D426" s="434" t="s">
        <v>72</v>
      </c>
      <c r="F426" s="1448" t="s">
        <v>1749</v>
      </c>
      <c r="G426" s="1449">
        <v>200</v>
      </c>
      <c r="H426" s="1448" t="s">
        <v>534</v>
      </c>
      <c r="I426" s="1448" t="s">
        <v>534</v>
      </c>
      <c r="J426" s="1450"/>
      <c r="K426" s="1450"/>
      <c r="L426" s="1450"/>
    </row>
    <row r="427" spans="1:12" s="1448" customFormat="1" hidden="1" x14ac:dyDescent="0.4">
      <c r="A427" s="434">
        <v>1</v>
      </c>
      <c r="B427" s="1448" t="s">
        <v>1516</v>
      </c>
      <c r="C427" s="1448" t="s">
        <v>1436</v>
      </c>
      <c r="D427" s="434" t="s">
        <v>80</v>
      </c>
      <c r="F427" s="1448" t="s">
        <v>1749</v>
      </c>
      <c r="G427" s="1449">
        <v>-100</v>
      </c>
      <c r="H427" s="1448" t="s">
        <v>534</v>
      </c>
      <c r="I427" s="1448" t="s">
        <v>534</v>
      </c>
      <c r="J427" s="1450"/>
      <c r="K427" s="1450"/>
      <c r="L427" s="1450"/>
    </row>
    <row r="428" spans="1:12" s="1448" customFormat="1" hidden="1" x14ac:dyDescent="0.4">
      <c r="A428" s="434">
        <v>1</v>
      </c>
      <c r="B428" s="1448" t="s">
        <v>1516</v>
      </c>
      <c r="C428" s="1448" t="s">
        <v>1436</v>
      </c>
      <c r="D428" s="434" t="s">
        <v>82</v>
      </c>
      <c r="F428" s="1448" t="s">
        <v>1749</v>
      </c>
      <c r="G428" s="1449">
        <v>0</v>
      </c>
      <c r="H428" s="1448" t="s">
        <v>534</v>
      </c>
      <c r="I428" s="1448" t="s">
        <v>534</v>
      </c>
      <c r="J428" s="1450"/>
      <c r="K428" s="1450"/>
      <c r="L428" s="1450"/>
    </row>
    <row r="429" spans="1:12" s="1448" customFormat="1" hidden="1" x14ac:dyDescent="0.4">
      <c r="A429" s="434">
        <v>1</v>
      </c>
      <c r="B429" s="1448" t="s">
        <v>1516</v>
      </c>
      <c r="C429" s="1448" t="s">
        <v>1436</v>
      </c>
      <c r="D429" s="434" t="s">
        <v>84</v>
      </c>
      <c r="F429" s="1448" t="s">
        <v>1749</v>
      </c>
      <c r="G429" s="1449">
        <v>0</v>
      </c>
      <c r="H429" s="1448" t="s">
        <v>534</v>
      </c>
      <c r="I429" s="1448" t="s">
        <v>534</v>
      </c>
      <c r="J429" s="1450"/>
      <c r="K429" s="1450"/>
      <c r="L429" s="1450"/>
    </row>
    <row r="430" spans="1:12" s="1448" customFormat="1" hidden="1" x14ac:dyDescent="0.4">
      <c r="A430" s="434">
        <v>1</v>
      </c>
      <c r="B430" s="1448" t="s">
        <v>1516</v>
      </c>
      <c r="C430" s="1448" t="s">
        <v>1436</v>
      </c>
      <c r="D430" s="434" t="s">
        <v>86</v>
      </c>
      <c r="F430" s="1448" t="s">
        <v>1749</v>
      </c>
      <c r="G430" s="1449">
        <v>0</v>
      </c>
      <c r="H430" s="1448" t="s">
        <v>534</v>
      </c>
      <c r="I430" s="1448" t="s">
        <v>534</v>
      </c>
      <c r="J430" s="1450"/>
      <c r="K430" s="1450"/>
      <c r="L430" s="1450"/>
    </row>
    <row r="431" spans="1:12" s="1448" customFormat="1" hidden="1" x14ac:dyDescent="0.4">
      <c r="A431" s="434">
        <v>1</v>
      </c>
      <c r="B431" s="1448" t="s">
        <v>1516</v>
      </c>
      <c r="C431" s="1448" t="s">
        <v>1436</v>
      </c>
      <c r="D431" s="434" t="s">
        <v>87</v>
      </c>
      <c r="F431" s="1448" t="s">
        <v>1749</v>
      </c>
      <c r="G431" s="1449">
        <v>-100</v>
      </c>
      <c r="H431" s="1448" t="s">
        <v>534</v>
      </c>
      <c r="I431" s="1448" t="s">
        <v>534</v>
      </c>
      <c r="J431" s="1450"/>
      <c r="K431" s="1450"/>
      <c r="L431" s="1450"/>
    </row>
    <row r="432" spans="1:12" s="1448" customFormat="1" hidden="1" x14ac:dyDescent="0.4">
      <c r="A432" s="434">
        <v>1</v>
      </c>
      <c r="B432" s="1448" t="s">
        <v>1516</v>
      </c>
      <c r="C432" s="1448" t="s">
        <v>1436</v>
      </c>
      <c r="D432" s="434" t="s">
        <v>90</v>
      </c>
      <c r="F432" s="1448" t="s">
        <v>1749</v>
      </c>
      <c r="G432" s="1449">
        <v>200</v>
      </c>
      <c r="H432" s="1448" t="s">
        <v>534</v>
      </c>
      <c r="I432" s="1448" t="s">
        <v>534</v>
      </c>
      <c r="J432" s="1450"/>
      <c r="K432" s="1450"/>
      <c r="L432" s="1450"/>
    </row>
    <row r="433" spans="1:12" s="1448" customFormat="1" hidden="1" x14ac:dyDescent="0.4">
      <c r="A433" s="434">
        <v>1</v>
      </c>
      <c r="B433" s="1448" t="s">
        <v>1516</v>
      </c>
      <c r="C433" s="1448" t="s">
        <v>1436</v>
      </c>
      <c r="D433" s="434" t="s">
        <v>92</v>
      </c>
      <c r="F433" s="1448" t="s">
        <v>1749</v>
      </c>
      <c r="G433" s="1449">
        <v>200</v>
      </c>
      <c r="H433" s="1448" t="s">
        <v>534</v>
      </c>
      <c r="I433" s="1448" t="s">
        <v>534</v>
      </c>
      <c r="J433" s="1450"/>
      <c r="K433" s="1450"/>
      <c r="L433" s="1450"/>
    </row>
    <row r="434" spans="1:12" s="1448" customFormat="1" hidden="1" x14ac:dyDescent="0.4">
      <c r="A434" s="434">
        <v>1</v>
      </c>
      <c r="B434" s="1448" t="s">
        <v>1516</v>
      </c>
      <c r="C434" s="1448" t="s">
        <v>1436</v>
      </c>
      <c r="D434" s="434" t="s">
        <v>93</v>
      </c>
      <c r="F434" s="1448" t="s">
        <v>1749</v>
      </c>
      <c r="G434" s="1449">
        <v>0</v>
      </c>
      <c r="H434" s="1448" t="s">
        <v>534</v>
      </c>
      <c r="I434" s="1448" t="s">
        <v>534</v>
      </c>
      <c r="J434" s="1450"/>
      <c r="K434" s="1450"/>
      <c r="L434" s="1450"/>
    </row>
    <row r="435" spans="1:12" s="1448" customFormat="1" hidden="1" x14ac:dyDescent="0.4">
      <c r="A435" s="434">
        <v>1</v>
      </c>
      <c r="B435" s="1448" t="s">
        <v>1516</v>
      </c>
      <c r="C435" s="1448" t="s">
        <v>1436</v>
      </c>
      <c r="D435" s="434" t="s">
        <v>94</v>
      </c>
      <c r="F435" s="1448" t="s">
        <v>1749</v>
      </c>
      <c r="G435" s="1449">
        <v>200</v>
      </c>
      <c r="H435" s="1448" t="s">
        <v>534</v>
      </c>
      <c r="I435" s="1448" t="s">
        <v>534</v>
      </c>
      <c r="J435" s="1450"/>
      <c r="K435" s="1450"/>
      <c r="L435" s="1450"/>
    </row>
    <row r="436" spans="1:12" s="1448" customFormat="1" hidden="1" x14ac:dyDescent="0.4">
      <c r="A436" s="434">
        <v>1</v>
      </c>
      <c r="B436" s="1448" t="s">
        <v>1516</v>
      </c>
      <c r="C436" s="1448" t="s">
        <v>1436</v>
      </c>
      <c r="D436" s="434" t="s">
        <v>96</v>
      </c>
      <c r="F436" s="1448" t="s">
        <v>1749</v>
      </c>
      <c r="G436" s="1449">
        <v>200</v>
      </c>
      <c r="H436" s="1448" t="s">
        <v>534</v>
      </c>
      <c r="I436" s="1448" t="s">
        <v>534</v>
      </c>
      <c r="J436" s="1450"/>
      <c r="K436" s="1450"/>
      <c r="L436" s="1450"/>
    </row>
    <row r="437" spans="1:12" s="1448" customFormat="1" hidden="1" x14ac:dyDescent="0.4">
      <c r="A437" s="434">
        <v>1</v>
      </c>
      <c r="B437" s="1448" t="s">
        <v>1516</v>
      </c>
      <c r="C437" s="1448" t="s">
        <v>1436</v>
      </c>
      <c r="D437" s="434" t="s">
        <v>510</v>
      </c>
      <c r="F437" s="1448" t="s">
        <v>1749</v>
      </c>
      <c r="G437" s="1449">
        <v>200</v>
      </c>
      <c r="H437" s="1448" t="s">
        <v>534</v>
      </c>
      <c r="I437" s="1448" t="s">
        <v>534</v>
      </c>
      <c r="J437" s="1450"/>
      <c r="K437" s="1450"/>
      <c r="L437" s="1450"/>
    </row>
    <row r="438" spans="1:12" s="1448" customFormat="1" hidden="1" x14ac:dyDescent="0.4">
      <c r="A438" s="434">
        <v>1</v>
      </c>
      <c r="B438" s="1448" t="s">
        <v>1516</v>
      </c>
      <c r="C438" s="1448" t="s">
        <v>1436</v>
      </c>
      <c r="D438" s="434" t="s">
        <v>100</v>
      </c>
      <c r="F438" s="1448" t="s">
        <v>1749</v>
      </c>
      <c r="G438" s="1449">
        <v>0</v>
      </c>
      <c r="H438" s="1448" t="s">
        <v>534</v>
      </c>
      <c r="I438" s="1448" t="s">
        <v>534</v>
      </c>
      <c r="J438" s="1450"/>
      <c r="K438" s="1450"/>
      <c r="L438" s="1450"/>
    </row>
    <row r="439" spans="1:12" s="1448" customFormat="1" hidden="1" x14ac:dyDescent="0.4">
      <c r="A439" s="434">
        <v>1</v>
      </c>
      <c r="B439" s="1448" t="s">
        <v>1516</v>
      </c>
      <c r="C439" s="1448" t="s">
        <v>1436</v>
      </c>
      <c r="D439" s="434" t="s">
        <v>101</v>
      </c>
      <c r="F439" s="1448" t="s">
        <v>1749</v>
      </c>
      <c r="G439" s="1449">
        <v>0</v>
      </c>
      <c r="H439" s="1448" t="s">
        <v>534</v>
      </c>
      <c r="I439" s="1448" t="s">
        <v>534</v>
      </c>
      <c r="J439" s="1450"/>
      <c r="K439" s="1450"/>
      <c r="L439" s="1450"/>
    </row>
    <row r="440" spans="1:12" hidden="1" x14ac:dyDescent="0.4">
      <c r="A440" s="434">
        <v>1</v>
      </c>
      <c r="B440" s="434" t="s">
        <v>1516</v>
      </c>
      <c r="C440" s="434" t="s">
        <v>1439</v>
      </c>
      <c r="D440" s="434" t="s">
        <v>106</v>
      </c>
      <c r="E440" s="434" t="s">
        <v>1366</v>
      </c>
      <c r="F440" s="434" t="s">
        <v>1459</v>
      </c>
      <c r="G440" s="593">
        <v>2580300</v>
      </c>
      <c r="H440" s="434" t="s">
        <v>1441</v>
      </c>
      <c r="I440" s="434" t="s">
        <v>1438</v>
      </c>
    </row>
    <row r="441" spans="1:12" hidden="1" x14ac:dyDescent="0.4">
      <c r="A441" s="434">
        <v>1</v>
      </c>
      <c r="B441" s="434" t="s">
        <v>1516</v>
      </c>
      <c r="C441" s="434" t="s">
        <v>1439</v>
      </c>
      <c r="D441" s="434" t="s">
        <v>116</v>
      </c>
      <c r="E441" s="434" t="s">
        <v>1370</v>
      </c>
      <c r="F441" s="434" t="s">
        <v>1442</v>
      </c>
      <c r="G441" s="593">
        <v>104600</v>
      </c>
      <c r="H441" s="434" t="s">
        <v>1441</v>
      </c>
      <c r="I441" s="434" t="s">
        <v>1438</v>
      </c>
    </row>
    <row r="442" spans="1:12" hidden="1" x14ac:dyDescent="0.4">
      <c r="A442" s="434">
        <v>1</v>
      </c>
      <c r="B442" s="434" t="s">
        <v>1516</v>
      </c>
      <c r="C442" s="434" t="s">
        <v>1439</v>
      </c>
      <c r="D442" s="434" t="s">
        <v>118</v>
      </c>
      <c r="E442" s="434" t="s">
        <v>1371</v>
      </c>
      <c r="F442" s="434" t="s">
        <v>1443</v>
      </c>
      <c r="G442" s="593">
        <v>1677820</v>
      </c>
      <c r="H442" s="434" t="s">
        <v>1441</v>
      </c>
      <c r="I442" s="434" t="s">
        <v>1438</v>
      </c>
    </row>
    <row r="443" spans="1:12" hidden="1" x14ac:dyDescent="0.4">
      <c r="A443" s="434">
        <v>1</v>
      </c>
      <c r="B443" s="434" t="s">
        <v>1516</v>
      </c>
      <c r="C443" s="434" t="s">
        <v>1439</v>
      </c>
      <c r="D443" s="434" t="s">
        <v>120</v>
      </c>
      <c r="E443" s="434" t="s">
        <v>1372</v>
      </c>
      <c r="F443" s="434" t="s">
        <v>1517</v>
      </c>
      <c r="G443" s="593">
        <v>5000000</v>
      </c>
      <c r="H443" s="434" t="s">
        <v>1441</v>
      </c>
      <c r="I443" s="434" t="s">
        <v>1438</v>
      </c>
    </row>
    <row r="444" spans="1:12" x14ac:dyDescent="0.4">
      <c r="A444" s="434">
        <v>1</v>
      </c>
      <c r="B444" s="434" t="s">
        <v>1516</v>
      </c>
      <c r="C444" s="434" t="s">
        <v>1439</v>
      </c>
      <c r="D444" s="434" t="s">
        <v>326</v>
      </c>
      <c r="E444" s="434" t="s">
        <v>1373</v>
      </c>
      <c r="F444" s="434" t="s">
        <v>1444</v>
      </c>
      <c r="G444" s="593">
        <v>160100</v>
      </c>
      <c r="H444" s="434" t="s">
        <v>534</v>
      </c>
      <c r="I444" s="434" t="s">
        <v>534</v>
      </c>
    </row>
    <row r="445" spans="1:12" hidden="1" x14ac:dyDescent="0.4">
      <c r="A445" s="434">
        <v>1</v>
      </c>
      <c r="B445" s="434" t="s">
        <v>1516</v>
      </c>
      <c r="C445" s="434" t="s">
        <v>1439</v>
      </c>
      <c r="D445" s="434" t="s">
        <v>123</v>
      </c>
      <c r="E445" s="434" t="s">
        <v>1374</v>
      </c>
      <c r="F445" s="434" t="s">
        <v>1518</v>
      </c>
      <c r="G445" s="593">
        <v>300000</v>
      </c>
      <c r="H445" s="434" t="s">
        <v>534</v>
      </c>
      <c r="I445" s="434" t="s">
        <v>534</v>
      </c>
    </row>
    <row r="446" spans="1:12" hidden="1" x14ac:dyDescent="0.4">
      <c r="A446" s="434">
        <v>1</v>
      </c>
      <c r="B446" s="434" t="s">
        <v>1516</v>
      </c>
      <c r="C446" s="434" t="s">
        <v>1439</v>
      </c>
      <c r="D446" s="434" t="s">
        <v>145</v>
      </c>
      <c r="E446" s="434" t="s">
        <v>1385</v>
      </c>
      <c r="F446" s="434" t="s">
        <v>1519</v>
      </c>
      <c r="G446" s="593">
        <v>7359100</v>
      </c>
      <c r="H446" s="434" t="s">
        <v>534</v>
      </c>
      <c r="I446" s="434" t="s">
        <v>534</v>
      </c>
    </row>
    <row r="447" spans="1:12" hidden="1" x14ac:dyDescent="0.4">
      <c r="A447" s="434">
        <v>1</v>
      </c>
      <c r="B447" s="434" t="s">
        <v>1516</v>
      </c>
      <c r="C447" s="434" t="s">
        <v>1439</v>
      </c>
      <c r="D447" s="434" t="s">
        <v>147</v>
      </c>
      <c r="E447" s="434" t="s">
        <v>1386</v>
      </c>
      <c r="F447" s="434" t="s">
        <v>1520</v>
      </c>
      <c r="G447" s="593">
        <v>500000</v>
      </c>
      <c r="H447" s="434" t="s">
        <v>534</v>
      </c>
      <c r="I447" s="434" t="s">
        <v>534</v>
      </c>
    </row>
    <row r="448" spans="1:12" hidden="1" x14ac:dyDescent="0.4">
      <c r="A448" s="434">
        <v>1</v>
      </c>
      <c r="B448" s="434" t="s">
        <v>1516</v>
      </c>
      <c r="C448" s="434" t="s">
        <v>1439</v>
      </c>
      <c r="D448" s="434" t="s">
        <v>160</v>
      </c>
      <c r="E448" s="434" t="s">
        <v>1391</v>
      </c>
      <c r="F448" s="434" t="s">
        <v>1521</v>
      </c>
      <c r="G448" s="593">
        <v>545400</v>
      </c>
      <c r="H448" s="434" t="s">
        <v>534</v>
      </c>
      <c r="I448" s="434" t="s">
        <v>534</v>
      </c>
    </row>
    <row r="449" spans="1:9" hidden="1" x14ac:dyDescent="0.4">
      <c r="A449" s="434">
        <v>1</v>
      </c>
      <c r="B449" s="434" t="s">
        <v>1516</v>
      </c>
      <c r="C449" s="434" t="s">
        <v>1439</v>
      </c>
      <c r="D449" s="434" t="s">
        <v>172</v>
      </c>
      <c r="E449" s="434" t="s">
        <v>1394</v>
      </c>
      <c r="F449" s="434" t="s">
        <v>1522</v>
      </c>
      <c r="G449" s="593">
        <v>500000</v>
      </c>
      <c r="H449" s="434" t="s">
        <v>534</v>
      </c>
      <c r="I449" s="434" t="s">
        <v>534</v>
      </c>
    </row>
    <row r="450" spans="1:9" hidden="1" x14ac:dyDescent="0.4">
      <c r="A450" s="434">
        <v>1</v>
      </c>
      <c r="B450" s="434" t="s">
        <v>1516</v>
      </c>
      <c r="C450" s="434" t="s">
        <v>1439</v>
      </c>
      <c r="D450" s="434" t="s">
        <v>178</v>
      </c>
      <c r="E450" s="434" t="s">
        <v>1396</v>
      </c>
      <c r="F450" s="434" t="s">
        <v>1523</v>
      </c>
      <c r="G450" s="593">
        <v>1600000</v>
      </c>
      <c r="H450" s="434" t="s">
        <v>534</v>
      </c>
      <c r="I450" s="434" t="s">
        <v>534</v>
      </c>
    </row>
    <row r="451" spans="1:9" hidden="1" x14ac:dyDescent="0.4">
      <c r="A451" s="434">
        <v>1</v>
      </c>
      <c r="B451" s="434" t="s">
        <v>1516</v>
      </c>
      <c r="C451" s="434" t="s">
        <v>1439</v>
      </c>
      <c r="D451" s="434" t="s">
        <v>180</v>
      </c>
      <c r="E451" s="434" t="s">
        <v>1397</v>
      </c>
      <c r="F451" s="434" t="s">
        <v>1524</v>
      </c>
      <c r="G451" s="593">
        <v>1500000</v>
      </c>
      <c r="H451" s="434" t="s">
        <v>534</v>
      </c>
      <c r="I451" s="434" t="s">
        <v>534</v>
      </c>
    </row>
    <row r="452" spans="1:9" hidden="1" x14ac:dyDescent="0.4">
      <c r="A452" s="434">
        <v>1</v>
      </c>
      <c r="B452" s="434" t="s">
        <v>1516</v>
      </c>
      <c r="C452" s="434" t="s">
        <v>1439</v>
      </c>
      <c r="D452" s="434" t="s">
        <v>183</v>
      </c>
      <c r="E452" s="434" t="s">
        <v>1399</v>
      </c>
      <c r="F452" s="434" t="s">
        <v>1525</v>
      </c>
      <c r="G452" s="593">
        <v>300000</v>
      </c>
      <c r="H452" s="434" t="s">
        <v>534</v>
      </c>
      <c r="I452" s="434" t="s">
        <v>534</v>
      </c>
    </row>
    <row r="453" spans="1:9" hidden="1" x14ac:dyDescent="0.4">
      <c r="A453" s="434">
        <v>1</v>
      </c>
      <c r="B453" s="434" t="s">
        <v>1516</v>
      </c>
      <c r="C453" s="434" t="s">
        <v>1498</v>
      </c>
      <c r="D453" s="434" t="s">
        <v>193</v>
      </c>
      <c r="E453" s="434" t="s">
        <v>1404</v>
      </c>
      <c r="F453" s="1471" t="s">
        <v>1526</v>
      </c>
      <c r="G453" s="593">
        <v>500080</v>
      </c>
      <c r="H453" s="434" t="s">
        <v>1441</v>
      </c>
      <c r="I453" s="434" t="s">
        <v>1438</v>
      </c>
    </row>
    <row r="454" spans="1:9" hidden="1" x14ac:dyDescent="0.4">
      <c r="A454" s="434">
        <v>1</v>
      </c>
      <c r="B454" s="434" t="s">
        <v>1516</v>
      </c>
      <c r="C454" s="434" t="s">
        <v>1498</v>
      </c>
      <c r="D454" s="434" t="s">
        <v>218</v>
      </c>
      <c r="E454" s="434" t="s">
        <v>1410</v>
      </c>
      <c r="F454" s="434" t="s">
        <v>1527</v>
      </c>
      <c r="G454" s="593">
        <v>2113900</v>
      </c>
      <c r="H454" s="434" t="s">
        <v>1441</v>
      </c>
      <c r="I454" s="434" t="s">
        <v>1438</v>
      </c>
    </row>
    <row r="455" spans="1:9" hidden="1" x14ac:dyDescent="0.4">
      <c r="A455" s="434">
        <v>1</v>
      </c>
      <c r="B455" s="434" t="s">
        <v>1516</v>
      </c>
      <c r="C455" s="434" t="s">
        <v>1498</v>
      </c>
      <c r="D455" s="434" t="s">
        <v>221</v>
      </c>
      <c r="E455" s="434" t="s">
        <v>1411</v>
      </c>
      <c r="F455" s="434" t="s">
        <v>1528</v>
      </c>
      <c r="G455" s="593">
        <v>6309</v>
      </c>
      <c r="H455" s="434" t="s">
        <v>1441</v>
      </c>
      <c r="I455" s="434" t="s">
        <v>1438</v>
      </c>
    </row>
    <row r="456" spans="1:9" hidden="1" x14ac:dyDescent="0.4">
      <c r="A456" s="434">
        <v>1</v>
      </c>
      <c r="B456" s="434" t="s">
        <v>1516</v>
      </c>
      <c r="C456" s="434" t="s">
        <v>1498</v>
      </c>
      <c r="D456" s="434" t="s">
        <v>224</v>
      </c>
      <c r="E456" s="434" t="s">
        <v>1413</v>
      </c>
      <c r="F456" s="434" t="s">
        <v>1529</v>
      </c>
      <c r="G456" s="593">
        <v>1790500</v>
      </c>
      <c r="H456" s="434" t="s">
        <v>1441</v>
      </c>
      <c r="I456" s="434" t="s">
        <v>1438</v>
      </c>
    </row>
    <row r="457" spans="1:9" hidden="1" x14ac:dyDescent="0.4">
      <c r="A457" s="434">
        <v>1</v>
      </c>
      <c r="B457" s="434" t="s">
        <v>1516</v>
      </c>
      <c r="C457" s="434" t="s">
        <v>1498</v>
      </c>
      <c r="D457" s="434" t="s">
        <v>226</v>
      </c>
      <c r="E457" s="434" t="s">
        <v>1414</v>
      </c>
      <c r="F457" s="434" t="s">
        <v>1530</v>
      </c>
      <c r="G457" s="593">
        <v>853696</v>
      </c>
      <c r="H457" s="434" t="s">
        <v>1441</v>
      </c>
      <c r="I457" s="434" t="s">
        <v>1438</v>
      </c>
    </row>
    <row r="458" spans="1:9" hidden="1" x14ac:dyDescent="0.4">
      <c r="A458" s="434">
        <v>1</v>
      </c>
      <c r="B458" s="434" t="s">
        <v>1516</v>
      </c>
      <c r="C458" s="434" t="s">
        <v>1498</v>
      </c>
      <c r="D458" s="434" t="s">
        <v>228</v>
      </c>
      <c r="E458" s="434" t="s">
        <v>1415</v>
      </c>
      <c r="F458" s="434" t="s">
        <v>1529</v>
      </c>
      <c r="G458" s="593">
        <v>2002077</v>
      </c>
      <c r="H458" s="434" t="s">
        <v>1441</v>
      </c>
      <c r="I458" s="434" t="s">
        <v>1438</v>
      </c>
    </row>
    <row r="459" spans="1:9" hidden="1" x14ac:dyDescent="0.4">
      <c r="A459" s="434">
        <v>1</v>
      </c>
      <c r="B459" s="434" t="s">
        <v>1516</v>
      </c>
      <c r="C459" s="434" t="s">
        <v>1498</v>
      </c>
      <c r="D459" s="434" t="s">
        <v>232</v>
      </c>
      <c r="E459" s="434" t="s">
        <v>1417</v>
      </c>
      <c r="F459" s="434" t="s">
        <v>1531</v>
      </c>
      <c r="G459" s="593">
        <v>63000</v>
      </c>
      <c r="H459" s="434" t="s">
        <v>1441</v>
      </c>
      <c r="I459" s="434" t="s">
        <v>1438</v>
      </c>
    </row>
    <row r="460" spans="1:9" hidden="1" x14ac:dyDescent="0.4">
      <c r="A460" s="434">
        <v>1</v>
      </c>
      <c r="B460" s="434" t="s">
        <v>1516</v>
      </c>
      <c r="C460" s="434" t="s">
        <v>1513</v>
      </c>
      <c r="D460" s="434" t="s">
        <v>238</v>
      </c>
      <c r="E460" s="434" t="s">
        <v>1419</v>
      </c>
      <c r="F460" s="434" t="s">
        <v>1532</v>
      </c>
      <c r="G460" s="593">
        <v>2550000</v>
      </c>
      <c r="H460" s="434" t="s">
        <v>534</v>
      </c>
      <c r="I460" s="434" t="s">
        <v>534</v>
      </c>
    </row>
    <row r="461" spans="1:9" hidden="1" x14ac:dyDescent="0.4">
      <c r="A461" s="434">
        <v>1</v>
      </c>
      <c r="B461" s="434" t="s">
        <v>1533</v>
      </c>
      <c r="C461" s="434" t="s">
        <v>1436</v>
      </c>
      <c r="D461" s="434" t="s">
        <v>72</v>
      </c>
      <c r="E461" s="434" t="s">
        <v>1348</v>
      </c>
      <c r="F461" s="434" t="s">
        <v>1437</v>
      </c>
      <c r="G461" s="593">
        <v>22288600</v>
      </c>
      <c r="H461" s="434" t="s">
        <v>1438</v>
      </c>
      <c r="I461" s="434" t="s">
        <v>1438</v>
      </c>
    </row>
    <row r="462" spans="1:9" hidden="1" x14ac:dyDescent="0.4">
      <c r="A462" s="434">
        <v>1</v>
      </c>
      <c r="B462" s="434" t="s">
        <v>1533</v>
      </c>
      <c r="C462" s="434" t="s">
        <v>1436</v>
      </c>
      <c r="D462" s="434" t="s">
        <v>80</v>
      </c>
      <c r="E462" s="434" t="s">
        <v>1332</v>
      </c>
      <c r="F462" s="434" t="s">
        <v>481</v>
      </c>
      <c r="G462" s="593">
        <v>980200</v>
      </c>
      <c r="H462" s="434" t="s">
        <v>1438</v>
      </c>
      <c r="I462" s="434" t="s">
        <v>1438</v>
      </c>
    </row>
    <row r="463" spans="1:9" hidden="1" x14ac:dyDescent="0.4">
      <c r="A463" s="434">
        <v>1</v>
      </c>
      <c r="B463" s="434" t="s">
        <v>1533</v>
      </c>
      <c r="C463" s="434" t="s">
        <v>1436</v>
      </c>
      <c r="D463" s="434" t="s">
        <v>82</v>
      </c>
      <c r="E463" s="434" t="s">
        <v>1333</v>
      </c>
      <c r="F463" s="434" t="s">
        <v>482</v>
      </c>
      <c r="G463" s="593">
        <v>144700</v>
      </c>
      <c r="H463" s="434" t="s">
        <v>1438</v>
      </c>
      <c r="I463" s="434" t="s">
        <v>1438</v>
      </c>
    </row>
    <row r="464" spans="1:9" hidden="1" x14ac:dyDescent="0.4">
      <c r="A464" s="434">
        <v>1</v>
      </c>
      <c r="B464" s="434" t="s">
        <v>1533</v>
      </c>
      <c r="C464" s="434" t="s">
        <v>1436</v>
      </c>
      <c r="D464" s="434" t="s">
        <v>84</v>
      </c>
      <c r="E464" s="434" t="s">
        <v>1355</v>
      </c>
      <c r="F464" s="434" t="s">
        <v>483</v>
      </c>
      <c r="G464" s="593">
        <v>2109200</v>
      </c>
      <c r="H464" s="434" t="s">
        <v>1438</v>
      </c>
      <c r="I464" s="434" t="s">
        <v>1438</v>
      </c>
    </row>
    <row r="465" spans="1:12" hidden="1" x14ac:dyDescent="0.4">
      <c r="A465" s="434">
        <v>1</v>
      </c>
      <c r="B465" s="434" t="s">
        <v>1533</v>
      </c>
      <c r="C465" s="434" t="s">
        <v>1436</v>
      </c>
      <c r="D465" s="434" t="s">
        <v>86</v>
      </c>
      <c r="E465" s="434" t="s">
        <v>1356</v>
      </c>
      <c r="F465" s="434" t="s">
        <v>484</v>
      </c>
      <c r="G465" s="593">
        <v>1897100</v>
      </c>
      <c r="H465" s="434" t="s">
        <v>1438</v>
      </c>
      <c r="I465" s="434" t="s">
        <v>1438</v>
      </c>
    </row>
    <row r="466" spans="1:12" hidden="1" x14ac:dyDescent="0.4">
      <c r="A466" s="434">
        <v>1</v>
      </c>
      <c r="B466" s="434" t="s">
        <v>1533</v>
      </c>
      <c r="C466" s="434" t="s">
        <v>1436</v>
      </c>
      <c r="D466" s="434" t="s">
        <v>90</v>
      </c>
      <c r="E466" s="434" t="s">
        <v>1357</v>
      </c>
      <c r="F466" s="434" t="s">
        <v>486</v>
      </c>
      <c r="G466" s="593">
        <v>2341200</v>
      </c>
      <c r="H466" s="434" t="s">
        <v>1438</v>
      </c>
      <c r="I466" s="434" t="s">
        <v>1438</v>
      </c>
    </row>
    <row r="467" spans="1:12" hidden="1" x14ac:dyDescent="0.4">
      <c r="A467" s="434">
        <v>1</v>
      </c>
      <c r="B467" s="434" t="s">
        <v>1533</v>
      </c>
      <c r="C467" s="434" t="s">
        <v>1436</v>
      </c>
      <c r="D467" s="434" t="s">
        <v>92</v>
      </c>
      <c r="E467" s="434" t="s">
        <v>1358</v>
      </c>
      <c r="F467" s="434" t="s">
        <v>487</v>
      </c>
      <c r="G467" s="593">
        <v>126600</v>
      </c>
      <c r="H467" s="434" t="s">
        <v>1438</v>
      </c>
      <c r="I467" s="434" t="s">
        <v>1438</v>
      </c>
    </row>
    <row r="468" spans="1:12" hidden="1" x14ac:dyDescent="0.4">
      <c r="A468" s="434">
        <v>1</v>
      </c>
      <c r="B468" s="434" t="s">
        <v>1533</v>
      </c>
      <c r="C468" s="434" t="s">
        <v>1436</v>
      </c>
      <c r="D468" s="434" t="s">
        <v>93</v>
      </c>
      <c r="E468" s="434" t="s">
        <v>1359</v>
      </c>
      <c r="F468" s="434" t="s">
        <v>488</v>
      </c>
      <c r="G468" s="593">
        <v>379700</v>
      </c>
      <c r="H468" s="434" t="s">
        <v>1438</v>
      </c>
      <c r="I468" s="434" t="s">
        <v>1438</v>
      </c>
    </row>
    <row r="469" spans="1:12" hidden="1" x14ac:dyDescent="0.4">
      <c r="A469" s="434">
        <v>1</v>
      </c>
      <c r="B469" s="434" t="s">
        <v>1533</v>
      </c>
      <c r="C469" s="434" t="s">
        <v>1436</v>
      </c>
      <c r="D469" s="434" t="s">
        <v>94</v>
      </c>
      <c r="E469" s="434" t="s">
        <v>1360</v>
      </c>
      <c r="F469" s="434" t="s">
        <v>489</v>
      </c>
      <c r="G469" s="593">
        <v>1265500</v>
      </c>
      <c r="H469" s="434" t="s">
        <v>1438</v>
      </c>
      <c r="I469" s="434" t="s">
        <v>1438</v>
      </c>
    </row>
    <row r="470" spans="1:12" hidden="1" x14ac:dyDescent="0.4">
      <c r="A470" s="434">
        <v>1</v>
      </c>
      <c r="B470" s="434" t="s">
        <v>1533</v>
      </c>
      <c r="C470" s="434" t="s">
        <v>1436</v>
      </c>
      <c r="D470" s="434" t="s">
        <v>96</v>
      </c>
      <c r="E470" s="434" t="s">
        <v>1361</v>
      </c>
      <c r="F470" s="434" t="s">
        <v>490</v>
      </c>
      <c r="G470" s="593">
        <v>126600</v>
      </c>
      <c r="H470" s="434" t="s">
        <v>1438</v>
      </c>
      <c r="I470" s="434" t="s">
        <v>1438</v>
      </c>
    </row>
    <row r="471" spans="1:12" hidden="1" x14ac:dyDescent="0.4">
      <c r="A471" s="434">
        <v>1</v>
      </c>
      <c r="B471" s="434" t="s">
        <v>1533</v>
      </c>
      <c r="C471" s="434" t="s">
        <v>1436</v>
      </c>
      <c r="D471" s="434" t="s">
        <v>510</v>
      </c>
      <c r="E471" s="434" t="s">
        <v>1362</v>
      </c>
      <c r="F471" s="434" t="s">
        <v>491</v>
      </c>
      <c r="G471" s="593">
        <v>1371800</v>
      </c>
      <c r="H471" s="434" t="s">
        <v>1438</v>
      </c>
      <c r="I471" s="434" t="s">
        <v>1438</v>
      </c>
    </row>
    <row r="472" spans="1:12" hidden="1" x14ac:dyDescent="0.4">
      <c r="A472" s="434">
        <v>1</v>
      </c>
      <c r="B472" s="434" t="s">
        <v>1533</v>
      </c>
      <c r="C472" s="434" t="s">
        <v>1436</v>
      </c>
      <c r="D472" s="434" t="s">
        <v>100</v>
      </c>
      <c r="E472" s="434" t="s">
        <v>1363</v>
      </c>
      <c r="F472" s="434" t="s">
        <v>491</v>
      </c>
      <c r="G472" s="593">
        <v>759300</v>
      </c>
      <c r="H472" s="434" t="s">
        <v>1438</v>
      </c>
      <c r="I472" s="434" t="s">
        <v>1438</v>
      </c>
    </row>
    <row r="473" spans="1:12" hidden="1" x14ac:dyDescent="0.4">
      <c r="A473" s="434">
        <v>1</v>
      </c>
      <c r="B473" s="434" t="s">
        <v>1533</v>
      </c>
      <c r="C473" s="434" t="s">
        <v>1436</v>
      </c>
      <c r="D473" s="434" t="s">
        <v>101</v>
      </c>
      <c r="E473" s="434" t="s">
        <v>1364</v>
      </c>
      <c r="F473" s="434" t="s">
        <v>1135</v>
      </c>
      <c r="G473" s="593">
        <v>379700</v>
      </c>
      <c r="H473" s="434" t="s">
        <v>1438</v>
      </c>
      <c r="I473" s="434" t="s">
        <v>1438</v>
      </c>
    </row>
    <row r="474" spans="1:12" s="1448" customFormat="1" hidden="1" x14ac:dyDescent="0.4">
      <c r="A474" s="434">
        <v>1</v>
      </c>
      <c r="B474" s="1448" t="s">
        <v>1533</v>
      </c>
      <c r="C474" s="1448" t="s">
        <v>1436</v>
      </c>
      <c r="D474" s="434" t="s">
        <v>72</v>
      </c>
      <c r="F474" s="1448" t="s">
        <v>1749</v>
      </c>
      <c r="G474" s="1449">
        <v>6906400</v>
      </c>
      <c r="H474" s="1448" t="s">
        <v>534</v>
      </c>
      <c r="I474" s="1448" t="s">
        <v>534</v>
      </c>
      <c r="J474" s="1450"/>
      <c r="K474" s="1450"/>
      <c r="L474" s="1450"/>
    </row>
    <row r="475" spans="1:12" s="1448" customFormat="1" hidden="1" x14ac:dyDescent="0.4">
      <c r="A475" s="434">
        <v>1</v>
      </c>
      <c r="B475" s="1448" t="s">
        <v>1533</v>
      </c>
      <c r="C475" s="1448" t="s">
        <v>1436</v>
      </c>
      <c r="D475" s="434" t="s">
        <v>80</v>
      </c>
      <c r="F475" s="1448" t="s">
        <v>1749</v>
      </c>
      <c r="G475" s="1449">
        <v>-200</v>
      </c>
      <c r="H475" s="1448" t="s">
        <v>534</v>
      </c>
      <c r="I475" s="1448" t="s">
        <v>534</v>
      </c>
      <c r="J475" s="1450"/>
      <c r="K475" s="1450"/>
      <c r="L475" s="1450"/>
    </row>
    <row r="476" spans="1:12" s="1448" customFormat="1" hidden="1" x14ac:dyDescent="0.4">
      <c r="A476" s="434">
        <v>1</v>
      </c>
      <c r="B476" s="1448" t="s">
        <v>1533</v>
      </c>
      <c r="C476" s="1448" t="s">
        <v>1436</v>
      </c>
      <c r="D476" s="434" t="s">
        <v>82</v>
      </c>
      <c r="F476" s="1448" t="s">
        <v>1749</v>
      </c>
      <c r="G476" s="1449">
        <v>-200</v>
      </c>
      <c r="H476" s="1448" t="s">
        <v>534</v>
      </c>
      <c r="I476" s="1448" t="s">
        <v>534</v>
      </c>
      <c r="J476" s="1450"/>
      <c r="K476" s="1450"/>
      <c r="L476" s="1450"/>
    </row>
    <row r="477" spans="1:12" s="1448" customFormat="1" hidden="1" x14ac:dyDescent="0.4">
      <c r="A477" s="434">
        <v>1</v>
      </c>
      <c r="B477" s="1448" t="s">
        <v>1533</v>
      </c>
      <c r="C477" s="1448" t="s">
        <v>1436</v>
      </c>
      <c r="D477" s="434" t="s">
        <v>84</v>
      </c>
      <c r="F477" s="1448" t="s">
        <v>1749</v>
      </c>
      <c r="G477" s="1449">
        <v>623300</v>
      </c>
      <c r="H477" s="1448" t="s">
        <v>534</v>
      </c>
      <c r="I477" s="1448" t="s">
        <v>534</v>
      </c>
      <c r="J477" s="1450"/>
      <c r="K477" s="1450"/>
      <c r="L477" s="1450"/>
    </row>
    <row r="478" spans="1:12" s="1448" customFormat="1" hidden="1" x14ac:dyDescent="0.4">
      <c r="A478" s="434">
        <v>1</v>
      </c>
      <c r="B478" s="1448" t="s">
        <v>1533</v>
      </c>
      <c r="C478" s="1448" t="s">
        <v>1436</v>
      </c>
      <c r="D478" s="434" t="s">
        <v>86</v>
      </c>
      <c r="F478" s="1448" t="s">
        <v>1749</v>
      </c>
      <c r="G478" s="1449">
        <v>575400</v>
      </c>
      <c r="H478" s="1448" t="s">
        <v>534</v>
      </c>
      <c r="I478" s="1448" t="s">
        <v>534</v>
      </c>
      <c r="J478" s="1450"/>
      <c r="K478" s="1450"/>
      <c r="L478" s="1450"/>
    </row>
    <row r="479" spans="1:12" s="1448" customFormat="1" hidden="1" x14ac:dyDescent="0.4">
      <c r="A479" s="434">
        <v>1</v>
      </c>
      <c r="B479" s="1448" t="s">
        <v>1533</v>
      </c>
      <c r="C479" s="1448" t="s">
        <v>1436</v>
      </c>
      <c r="D479" s="434" t="s">
        <v>90</v>
      </c>
      <c r="F479" s="1448" t="s">
        <v>1749</v>
      </c>
      <c r="G479" s="1449">
        <v>692300</v>
      </c>
      <c r="H479" s="1448" t="s">
        <v>534</v>
      </c>
      <c r="I479" s="1448" t="s">
        <v>534</v>
      </c>
      <c r="J479" s="1450"/>
      <c r="K479" s="1450"/>
      <c r="L479" s="1450"/>
    </row>
    <row r="480" spans="1:12" s="1448" customFormat="1" hidden="1" x14ac:dyDescent="0.4">
      <c r="A480" s="434">
        <v>1</v>
      </c>
      <c r="B480" s="1448" t="s">
        <v>1533</v>
      </c>
      <c r="C480" s="1448" t="s">
        <v>1436</v>
      </c>
      <c r="D480" s="434" t="s">
        <v>92</v>
      </c>
      <c r="F480" s="1448" t="s">
        <v>1749</v>
      </c>
      <c r="G480" s="1449">
        <v>37400</v>
      </c>
      <c r="H480" s="1448" t="s">
        <v>534</v>
      </c>
      <c r="I480" s="1448" t="s">
        <v>534</v>
      </c>
      <c r="J480" s="1450"/>
      <c r="K480" s="1450"/>
      <c r="L480" s="1450"/>
    </row>
    <row r="481" spans="1:12" s="1448" customFormat="1" hidden="1" x14ac:dyDescent="0.4">
      <c r="A481" s="434">
        <v>1</v>
      </c>
      <c r="B481" s="1448" t="s">
        <v>1533</v>
      </c>
      <c r="C481" s="1448" t="s">
        <v>1436</v>
      </c>
      <c r="D481" s="434" t="s">
        <v>93</v>
      </c>
      <c r="F481" s="1448" t="s">
        <v>1749</v>
      </c>
      <c r="G481" s="1449">
        <v>112300</v>
      </c>
      <c r="H481" s="1448" t="s">
        <v>534</v>
      </c>
      <c r="I481" s="1448" t="s">
        <v>534</v>
      </c>
      <c r="J481" s="1450"/>
      <c r="K481" s="1450"/>
      <c r="L481" s="1450"/>
    </row>
    <row r="482" spans="1:12" s="1448" customFormat="1" hidden="1" x14ac:dyDescent="0.4">
      <c r="A482" s="434">
        <v>1</v>
      </c>
      <c r="B482" s="1448" t="s">
        <v>1533</v>
      </c>
      <c r="C482" s="1448" t="s">
        <v>1436</v>
      </c>
      <c r="D482" s="434" t="s">
        <v>94</v>
      </c>
      <c r="F482" s="1448" t="s">
        <v>1749</v>
      </c>
      <c r="G482" s="1449">
        <v>374000</v>
      </c>
      <c r="H482" s="1448" t="s">
        <v>534</v>
      </c>
      <c r="I482" s="1448" t="s">
        <v>534</v>
      </c>
      <c r="J482" s="1450"/>
      <c r="K482" s="1450"/>
      <c r="L482" s="1450"/>
    </row>
    <row r="483" spans="1:12" s="1448" customFormat="1" hidden="1" x14ac:dyDescent="0.4">
      <c r="A483" s="434">
        <v>1</v>
      </c>
      <c r="B483" s="1448" t="s">
        <v>1533</v>
      </c>
      <c r="C483" s="1448" t="s">
        <v>1436</v>
      </c>
      <c r="D483" s="434" t="s">
        <v>96</v>
      </c>
      <c r="F483" s="1448" t="s">
        <v>1749</v>
      </c>
      <c r="G483" s="1449">
        <v>37400</v>
      </c>
      <c r="H483" s="1448" t="s">
        <v>534</v>
      </c>
      <c r="I483" s="1448" t="s">
        <v>534</v>
      </c>
      <c r="J483" s="1450"/>
      <c r="K483" s="1450"/>
      <c r="L483" s="1450"/>
    </row>
    <row r="484" spans="1:12" s="1448" customFormat="1" hidden="1" x14ac:dyDescent="0.4">
      <c r="A484" s="434">
        <v>1</v>
      </c>
      <c r="B484" s="1448" t="s">
        <v>1533</v>
      </c>
      <c r="C484" s="1448" t="s">
        <v>1436</v>
      </c>
      <c r="D484" s="434" t="s">
        <v>510</v>
      </c>
      <c r="F484" s="1448" t="s">
        <v>1749</v>
      </c>
      <c r="G484" s="1449">
        <v>405700</v>
      </c>
      <c r="H484" s="1448" t="s">
        <v>534</v>
      </c>
      <c r="I484" s="1448" t="s">
        <v>534</v>
      </c>
      <c r="J484" s="1450"/>
      <c r="K484" s="1450"/>
      <c r="L484" s="1450"/>
    </row>
    <row r="485" spans="1:12" s="1448" customFormat="1" hidden="1" x14ac:dyDescent="0.4">
      <c r="A485" s="434">
        <v>1</v>
      </c>
      <c r="B485" s="1448" t="s">
        <v>1533</v>
      </c>
      <c r="C485" s="1448" t="s">
        <v>1436</v>
      </c>
      <c r="D485" s="434" t="s">
        <v>100</v>
      </c>
      <c r="F485" s="1448" t="s">
        <v>1749</v>
      </c>
      <c r="G485" s="1449">
        <v>224700</v>
      </c>
      <c r="H485" s="1448" t="s">
        <v>534</v>
      </c>
      <c r="I485" s="1448" t="s">
        <v>534</v>
      </c>
      <c r="J485" s="1450"/>
      <c r="K485" s="1450"/>
      <c r="L485" s="1450"/>
    </row>
    <row r="486" spans="1:12" s="1448" customFormat="1" hidden="1" x14ac:dyDescent="0.4">
      <c r="A486" s="434">
        <v>1</v>
      </c>
      <c r="B486" s="1448" t="s">
        <v>1533</v>
      </c>
      <c r="C486" s="1448" t="s">
        <v>1436</v>
      </c>
      <c r="D486" s="434" t="s">
        <v>101</v>
      </c>
      <c r="F486" s="1448" t="s">
        <v>1749</v>
      </c>
      <c r="G486" s="1449">
        <v>112300</v>
      </c>
      <c r="H486" s="1448" t="s">
        <v>534</v>
      </c>
      <c r="I486" s="1448" t="s">
        <v>534</v>
      </c>
      <c r="J486" s="1450"/>
      <c r="K486" s="1450"/>
      <c r="L486" s="1450"/>
    </row>
    <row r="487" spans="1:12" hidden="1" x14ac:dyDescent="0.4">
      <c r="A487" s="434">
        <v>1</v>
      </c>
      <c r="B487" s="434" t="s">
        <v>1533</v>
      </c>
      <c r="C487" s="434" t="s">
        <v>1439</v>
      </c>
      <c r="D487" s="434" t="s">
        <v>106</v>
      </c>
      <c r="E487" s="434" t="s">
        <v>1366</v>
      </c>
      <c r="F487" s="434" t="s">
        <v>1440</v>
      </c>
      <c r="G487" s="593">
        <v>5593900</v>
      </c>
      <c r="H487" s="434" t="s">
        <v>1441</v>
      </c>
      <c r="I487" s="434" t="s">
        <v>1438</v>
      </c>
    </row>
    <row r="488" spans="1:12" hidden="1" x14ac:dyDescent="0.4">
      <c r="A488" s="434">
        <v>1</v>
      </c>
      <c r="B488" s="434" t="s">
        <v>1533</v>
      </c>
      <c r="C488" s="434" t="s">
        <v>1439</v>
      </c>
      <c r="D488" s="434" t="s">
        <v>116</v>
      </c>
      <c r="E488" s="434" t="s">
        <v>1370</v>
      </c>
      <c r="F488" s="434" t="s">
        <v>1442</v>
      </c>
      <c r="G488" s="593">
        <v>226800</v>
      </c>
      <c r="H488" s="434" t="s">
        <v>1441</v>
      </c>
      <c r="I488" s="434" t="s">
        <v>1438</v>
      </c>
    </row>
    <row r="489" spans="1:12" hidden="1" x14ac:dyDescent="0.4">
      <c r="A489" s="434">
        <v>1</v>
      </c>
      <c r="B489" s="434" t="s">
        <v>1533</v>
      </c>
      <c r="C489" s="434" t="s">
        <v>1439</v>
      </c>
      <c r="D489" s="434" t="s">
        <v>118</v>
      </c>
      <c r="E489" s="434" t="s">
        <v>1371</v>
      </c>
      <c r="F489" s="434" t="s">
        <v>1443</v>
      </c>
      <c r="G489" s="593">
        <v>802100</v>
      </c>
      <c r="H489" s="434" t="s">
        <v>1441</v>
      </c>
      <c r="I489" s="434" t="s">
        <v>1438</v>
      </c>
    </row>
    <row r="490" spans="1:12" x14ac:dyDescent="0.4">
      <c r="A490" s="434">
        <v>1</v>
      </c>
      <c r="B490" s="434" t="s">
        <v>1533</v>
      </c>
      <c r="C490" s="434" t="s">
        <v>1439</v>
      </c>
      <c r="D490" s="434" t="s">
        <v>326</v>
      </c>
      <c r="E490" s="434" t="s">
        <v>1373</v>
      </c>
      <c r="F490" s="434" t="s">
        <v>1455</v>
      </c>
      <c r="G490" s="593">
        <v>347100</v>
      </c>
      <c r="H490" s="434" t="s">
        <v>534</v>
      </c>
      <c r="I490" s="434" t="s">
        <v>534</v>
      </c>
    </row>
    <row r="491" spans="1:12" hidden="1" x14ac:dyDescent="0.4">
      <c r="A491" s="434">
        <v>1</v>
      </c>
      <c r="B491" s="434" t="s">
        <v>1533</v>
      </c>
      <c r="C491" s="434" t="s">
        <v>1439</v>
      </c>
      <c r="D491" s="434" t="s">
        <v>397</v>
      </c>
      <c r="E491" s="434" t="s">
        <v>1380</v>
      </c>
      <c r="F491" s="434" t="s">
        <v>1534</v>
      </c>
      <c r="G491" s="593">
        <v>5500000</v>
      </c>
      <c r="H491" s="434" t="s">
        <v>534</v>
      </c>
      <c r="I491" s="434" t="s">
        <v>534</v>
      </c>
    </row>
    <row r="492" spans="1:12" hidden="1" x14ac:dyDescent="0.4">
      <c r="A492" s="434">
        <v>1</v>
      </c>
      <c r="B492" s="434" t="s">
        <v>1533</v>
      </c>
      <c r="C492" s="434" t="s">
        <v>1439</v>
      </c>
      <c r="D492" s="434" t="s">
        <v>145</v>
      </c>
      <c r="E492" s="434" t="s">
        <v>1385</v>
      </c>
      <c r="F492" s="434" t="s">
        <v>1535</v>
      </c>
      <c r="G492" s="593">
        <v>2445700</v>
      </c>
      <c r="H492" s="434" t="s">
        <v>534</v>
      </c>
      <c r="I492" s="434" t="s">
        <v>534</v>
      </c>
    </row>
    <row r="493" spans="1:12" hidden="1" x14ac:dyDescent="0.4">
      <c r="A493" s="434">
        <v>1</v>
      </c>
      <c r="B493" s="434" t="s">
        <v>1533</v>
      </c>
      <c r="C493" s="434" t="s">
        <v>1439</v>
      </c>
      <c r="D493" s="434" t="s">
        <v>160</v>
      </c>
      <c r="E493" s="434" t="s">
        <v>1391</v>
      </c>
      <c r="F493" s="434" t="s">
        <v>1449</v>
      </c>
      <c r="G493" s="593">
        <v>174600</v>
      </c>
      <c r="H493" s="434" t="s">
        <v>534</v>
      </c>
      <c r="I493" s="434" t="s">
        <v>534</v>
      </c>
    </row>
    <row r="494" spans="1:12" hidden="1" x14ac:dyDescent="0.4">
      <c r="A494" s="434">
        <v>1</v>
      </c>
      <c r="B494" s="434" t="s">
        <v>1533</v>
      </c>
      <c r="C494" s="434" t="s">
        <v>1439</v>
      </c>
      <c r="D494" s="434" t="s">
        <v>180</v>
      </c>
      <c r="E494" s="434" t="s">
        <v>1397</v>
      </c>
      <c r="F494" s="434" t="s">
        <v>1536</v>
      </c>
      <c r="G494" s="593">
        <v>1000000</v>
      </c>
      <c r="H494" s="434" t="s">
        <v>534</v>
      </c>
      <c r="I494" s="434" t="s">
        <v>534</v>
      </c>
    </row>
    <row r="495" spans="1:12" hidden="1" x14ac:dyDescent="0.4">
      <c r="A495" s="434">
        <v>1</v>
      </c>
      <c r="B495" s="434" t="s">
        <v>1537</v>
      </c>
      <c r="C495" s="434" t="s">
        <v>1436</v>
      </c>
      <c r="D495" s="434" t="s">
        <v>72</v>
      </c>
      <c r="E495" s="434" t="s">
        <v>1348</v>
      </c>
      <c r="F495" s="434" t="s">
        <v>1437</v>
      </c>
      <c r="G495" s="593">
        <v>23091400</v>
      </c>
      <c r="H495" s="434" t="s">
        <v>1438</v>
      </c>
      <c r="I495" s="434" t="s">
        <v>1438</v>
      </c>
    </row>
    <row r="496" spans="1:12" hidden="1" x14ac:dyDescent="0.4">
      <c r="A496" s="434">
        <v>1</v>
      </c>
      <c r="B496" s="434" t="s">
        <v>1537</v>
      </c>
      <c r="C496" s="434" t="s">
        <v>1436</v>
      </c>
      <c r="D496" s="434" t="s">
        <v>80</v>
      </c>
      <c r="E496" s="434" t="s">
        <v>1332</v>
      </c>
      <c r="F496" s="434" t="s">
        <v>481</v>
      </c>
      <c r="G496" s="593">
        <v>4131200</v>
      </c>
      <c r="H496" s="434" t="s">
        <v>1438</v>
      </c>
      <c r="I496" s="434" t="s">
        <v>1438</v>
      </c>
    </row>
    <row r="497" spans="1:12" hidden="1" x14ac:dyDescent="0.4">
      <c r="A497" s="434">
        <v>1</v>
      </c>
      <c r="B497" s="434" t="s">
        <v>1537</v>
      </c>
      <c r="C497" s="434" t="s">
        <v>1436</v>
      </c>
      <c r="D497" s="434" t="s">
        <v>82</v>
      </c>
      <c r="E497" s="434" t="s">
        <v>1333</v>
      </c>
      <c r="F497" s="434" t="s">
        <v>482</v>
      </c>
      <c r="G497" s="593">
        <v>5949000</v>
      </c>
      <c r="H497" s="434" t="s">
        <v>1438</v>
      </c>
      <c r="I497" s="434" t="s">
        <v>1438</v>
      </c>
    </row>
    <row r="498" spans="1:12" hidden="1" x14ac:dyDescent="0.4">
      <c r="A498" s="434">
        <v>1</v>
      </c>
      <c r="B498" s="434" t="s">
        <v>1537</v>
      </c>
      <c r="C498" s="434" t="s">
        <v>1436</v>
      </c>
      <c r="D498" s="434" t="s">
        <v>84</v>
      </c>
      <c r="E498" s="434" t="s">
        <v>1355</v>
      </c>
      <c r="F498" s="434" t="s">
        <v>483</v>
      </c>
      <c r="G498" s="593">
        <v>3704300</v>
      </c>
      <c r="H498" s="434" t="s">
        <v>1438</v>
      </c>
      <c r="I498" s="434" t="s">
        <v>1438</v>
      </c>
    </row>
    <row r="499" spans="1:12" hidden="1" x14ac:dyDescent="0.4">
      <c r="A499" s="434">
        <v>1</v>
      </c>
      <c r="B499" s="434" t="s">
        <v>1537</v>
      </c>
      <c r="C499" s="434" t="s">
        <v>1436</v>
      </c>
      <c r="D499" s="434" t="s">
        <v>86</v>
      </c>
      <c r="E499" s="434" t="s">
        <v>1356</v>
      </c>
      <c r="F499" s="434" t="s">
        <v>484</v>
      </c>
      <c r="G499" s="593">
        <v>3301000</v>
      </c>
      <c r="H499" s="434" t="s">
        <v>1438</v>
      </c>
      <c r="I499" s="434" t="s">
        <v>1438</v>
      </c>
    </row>
    <row r="500" spans="1:12" hidden="1" x14ac:dyDescent="0.4">
      <c r="A500" s="434">
        <v>1</v>
      </c>
      <c r="B500" s="434" t="s">
        <v>1537</v>
      </c>
      <c r="C500" s="434" t="s">
        <v>1436</v>
      </c>
      <c r="D500" s="434" t="s">
        <v>87</v>
      </c>
      <c r="E500" s="434" t="s">
        <v>1334</v>
      </c>
      <c r="F500" s="434" t="s">
        <v>485</v>
      </c>
      <c r="G500" s="593">
        <v>7979000</v>
      </c>
      <c r="H500" s="434" t="s">
        <v>1438</v>
      </c>
      <c r="I500" s="434" t="s">
        <v>1438</v>
      </c>
    </row>
    <row r="501" spans="1:12" hidden="1" x14ac:dyDescent="0.4">
      <c r="A501" s="434">
        <v>1</v>
      </c>
      <c r="B501" s="434" t="s">
        <v>1537</v>
      </c>
      <c r="C501" s="434" t="s">
        <v>1436</v>
      </c>
      <c r="D501" s="434" t="s">
        <v>90</v>
      </c>
      <c r="E501" s="434" t="s">
        <v>1357</v>
      </c>
      <c r="F501" s="434" t="s">
        <v>486</v>
      </c>
      <c r="G501" s="593">
        <v>4111800</v>
      </c>
      <c r="H501" s="434" t="s">
        <v>1438</v>
      </c>
      <c r="I501" s="434" t="s">
        <v>1438</v>
      </c>
    </row>
    <row r="502" spans="1:12" hidden="1" x14ac:dyDescent="0.4">
      <c r="A502" s="434">
        <v>1</v>
      </c>
      <c r="B502" s="434" t="s">
        <v>1537</v>
      </c>
      <c r="C502" s="434" t="s">
        <v>1436</v>
      </c>
      <c r="D502" s="434" t="s">
        <v>92</v>
      </c>
      <c r="E502" s="434" t="s">
        <v>1358</v>
      </c>
      <c r="F502" s="434" t="s">
        <v>487</v>
      </c>
      <c r="G502" s="593">
        <v>222300</v>
      </c>
      <c r="H502" s="434" t="s">
        <v>1438</v>
      </c>
      <c r="I502" s="434" t="s">
        <v>1438</v>
      </c>
    </row>
    <row r="503" spans="1:12" hidden="1" x14ac:dyDescent="0.4">
      <c r="A503" s="434">
        <v>1</v>
      </c>
      <c r="B503" s="434" t="s">
        <v>1537</v>
      </c>
      <c r="C503" s="434" t="s">
        <v>1436</v>
      </c>
      <c r="D503" s="434" t="s">
        <v>93</v>
      </c>
      <c r="E503" s="434" t="s">
        <v>1359</v>
      </c>
      <c r="F503" s="434" t="s">
        <v>488</v>
      </c>
      <c r="G503" s="593">
        <v>666800</v>
      </c>
      <c r="H503" s="434" t="s">
        <v>1438</v>
      </c>
      <c r="I503" s="434" t="s">
        <v>1438</v>
      </c>
    </row>
    <row r="504" spans="1:12" hidden="1" x14ac:dyDescent="0.4">
      <c r="A504" s="434">
        <v>1</v>
      </c>
      <c r="B504" s="434" t="s">
        <v>1537</v>
      </c>
      <c r="C504" s="434" t="s">
        <v>1436</v>
      </c>
      <c r="D504" s="434" t="s">
        <v>94</v>
      </c>
      <c r="E504" s="434" t="s">
        <v>1360</v>
      </c>
      <c r="F504" s="434" t="s">
        <v>489</v>
      </c>
      <c r="G504" s="593">
        <v>2222600</v>
      </c>
      <c r="H504" s="434" t="s">
        <v>1438</v>
      </c>
      <c r="I504" s="434" t="s">
        <v>1438</v>
      </c>
    </row>
    <row r="505" spans="1:12" hidden="1" x14ac:dyDescent="0.4">
      <c r="A505" s="434">
        <v>1</v>
      </c>
      <c r="B505" s="434" t="s">
        <v>1537</v>
      </c>
      <c r="C505" s="434" t="s">
        <v>1436</v>
      </c>
      <c r="D505" s="434" t="s">
        <v>96</v>
      </c>
      <c r="E505" s="434" t="s">
        <v>1361</v>
      </c>
      <c r="F505" s="434" t="s">
        <v>490</v>
      </c>
      <c r="G505" s="593">
        <v>222300</v>
      </c>
      <c r="H505" s="434" t="s">
        <v>1438</v>
      </c>
      <c r="I505" s="434" t="s">
        <v>1438</v>
      </c>
    </row>
    <row r="506" spans="1:12" hidden="1" x14ac:dyDescent="0.4">
      <c r="A506" s="434">
        <v>1</v>
      </c>
      <c r="B506" s="434" t="s">
        <v>1537</v>
      </c>
      <c r="C506" s="434" t="s">
        <v>1436</v>
      </c>
      <c r="D506" s="434" t="s">
        <v>510</v>
      </c>
      <c r="E506" s="434" t="s">
        <v>1362</v>
      </c>
      <c r="F506" s="434" t="s">
        <v>491</v>
      </c>
      <c r="G506" s="593">
        <v>2409300</v>
      </c>
      <c r="H506" s="434" t="s">
        <v>1438</v>
      </c>
      <c r="I506" s="434" t="s">
        <v>1438</v>
      </c>
    </row>
    <row r="507" spans="1:12" hidden="1" x14ac:dyDescent="0.4">
      <c r="A507" s="434">
        <v>1</v>
      </c>
      <c r="B507" s="434" t="s">
        <v>1537</v>
      </c>
      <c r="C507" s="434" t="s">
        <v>1436</v>
      </c>
      <c r="D507" s="434" t="s">
        <v>100</v>
      </c>
      <c r="E507" s="434" t="s">
        <v>1363</v>
      </c>
      <c r="F507" s="434" t="s">
        <v>491</v>
      </c>
      <c r="G507" s="593">
        <v>1333500</v>
      </c>
      <c r="H507" s="434" t="s">
        <v>1438</v>
      </c>
      <c r="I507" s="434" t="s">
        <v>1438</v>
      </c>
    </row>
    <row r="508" spans="1:12" hidden="1" x14ac:dyDescent="0.4">
      <c r="A508" s="434">
        <v>1</v>
      </c>
      <c r="B508" s="434" t="s">
        <v>1537</v>
      </c>
      <c r="C508" s="434" t="s">
        <v>1436</v>
      </c>
      <c r="D508" s="434" t="s">
        <v>101</v>
      </c>
      <c r="E508" s="434" t="s">
        <v>1364</v>
      </c>
      <c r="F508" s="434" t="s">
        <v>1135</v>
      </c>
      <c r="G508" s="593">
        <v>666800</v>
      </c>
      <c r="H508" s="434" t="s">
        <v>1438</v>
      </c>
      <c r="I508" s="434" t="s">
        <v>1438</v>
      </c>
    </row>
    <row r="509" spans="1:12" s="1448" customFormat="1" hidden="1" x14ac:dyDescent="0.4">
      <c r="A509" s="434">
        <v>1</v>
      </c>
      <c r="B509" s="1448" t="s">
        <v>1537</v>
      </c>
      <c r="C509" s="1448" t="s">
        <v>1436</v>
      </c>
      <c r="D509" s="434" t="s">
        <v>72</v>
      </c>
      <c r="F509" s="1448" t="s">
        <v>1749</v>
      </c>
      <c r="G509" s="1449">
        <v>6906100</v>
      </c>
      <c r="H509" s="1448" t="s">
        <v>534</v>
      </c>
      <c r="I509" s="1448" t="s">
        <v>534</v>
      </c>
      <c r="J509" s="1450"/>
      <c r="K509" s="1450"/>
      <c r="L509" s="1450"/>
    </row>
    <row r="510" spans="1:12" s="1448" customFormat="1" hidden="1" x14ac:dyDescent="0.4">
      <c r="A510" s="434">
        <v>1</v>
      </c>
      <c r="B510" s="1448" t="s">
        <v>1537</v>
      </c>
      <c r="C510" s="1448" t="s">
        <v>1436</v>
      </c>
      <c r="D510" s="434" t="s">
        <v>80</v>
      </c>
      <c r="F510" s="1448" t="s">
        <v>1749</v>
      </c>
      <c r="G510" s="1449">
        <v>-200</v>
      </c>
      <c r="H510" s="1448" t="s">
        <v>534</v>
      </c>
      <c r="I510" s="1448" t="s">
        <v>534</v>
      </c>
      <c r="J510" s="1450"/>
      <c r="K510" s="1450"/>
      <c r="L510" s="1450"/>
    </row>
    <row r="511" spans="1:12" s="1448" customFormat="1" hidden="1" x14ac:dyDescent="0.4">
      <c r="A511" s="434">
        <v>1</v>
      </c>
      <c r="B511" s="1448" t="s">
        <v>1537</v>
      </c>
      <c r="C511" s="1448" t="s">
        <v>1436</v>
      </c>
      <c r="D511" s="434" t="s">
        <v>82</v>
      </c>
      <c r="F511" s="1448" t="s">
        <v>1749</v>
      </c>
      <c r="G511" s="1449">
        <v>0</v>
      </c>
      <c r="H511" s="1448" t="s">
        <v>534</v>
      </c>
      <c r="I511" s="1448" t="s">
        <v>534</v>
      </c>
      <c r="J511" s="1450"/>
      <c r="K511" s="1450"/>
      <c r="L511" s="1450"/>
    </row>
    <row r="512" spans="1:12" s="1448" customFormat="1" hidden="1" x14ac:dyDescent="0.4">
      <c r="A512" s="434">
        <v>1</v>
      </c>
      <c r="B512" s="1448" t="s">
        <v>1537</v>
      </c>
      <c r="C512" s="1448" t="s">
        <v>1436</v>
      </c>
      <c r="D512" s="434" t="s">
        <v>84</v>
      </c>
      <c r="F512" s="1448" t="s">
        <v>1749</v>
      </c>
      <c r="G512" s="1449">
        <v>623700</v>
      </c>
      <c r="H512" s="1448" t="s">
        <v>534</v>
      </c>
      <c r="I512" s="1448" t="s">
        <v>534</v>
      </c>
      <c r="J512" s="1450"/>
      <c r="K512" s="1450"/>
      <c r="L512" s="1450"/>
    </row>
    <row r="513" spans="1:12" s="1448" customFormat="1" hidden="1" x14ac:dyDescent="0.4">
      <c r="A513" s="434">
        <v>1</v>
      </c>
      <c r="B513" s="1448" t="s">
        <v>1537</v>
      </c>
      <c r="C513" s="1448" t="s">
        <v>1436</v>
      </c>
      <c r="D513" s="434" t="s">
        <v>86</v>
      </c>
      <c r="F513" s="1448" t="s">
        <v>1749</v>
      </c>
      <c r="G513" s="1449">
        <v>575500</v>
      </c>
      <c r="H513" s="1448" t="s">
        <v>534</v>
      </c>
      <c r="I513" s="1448" t="s">
        <v>534</v>
      </c>
      <c r="J513" s="1450"/>
      <c r="K513" s="1450"/>
      <c r="L513" s="1450"/>
    </row>
    <row r="514" spans="1:12" s="1448" customFormat="1" hidden="1" x14ac:dyDescent="0.4">
      <c r="A514" s="434">
        <v>1</v>
      </c>
      <c r="B514" s="1448" t="s">
        <v>1537</v>
      </c>
      <c r="C514" s="1448" t="s">
        <v>1436</v>
      </c>
      <c r="D514" s="434" t="s">
        <v>87</v>
      </c>
      <c r="F514" s="1448" t="s">
        <v>1749</v>
      </c>
      <c r="G514" s="1449">
        <v>0</v>
      </c>
      <c r="H514" s="1448" t="s">
        <v>534</v>
      </c>
      <c r="I514" s="1448" t="s">
        <v>534</v>
      </c>
      <c r="J514" s="1450"/>
      <c r="K514" s="1450"/>
      <c r="L514" s="1450"/>
    </row>
    <row r="515" spans="1:12" s="1448" customFormat="1" hidden="1" x14ac:dyDescent="0.4">
      <c r="A515" s="434">
        <v>1</v>
      </c>
      <c r="B515" s="1448" t="s">
        <v>1537</v>
      </c>
      <c r="C515" s="1448" t="s">
        <v>1436</v>
      </c>
      <c r="D515" s="434" t="s">
        <v>90</v>
      </c>
      <c r="F515" s="1448" t="s">
        <v>1749</v>
      </c>
      <c r="G515" s="1449">
        <v>692200</v>
      </c>
      <c r="H515" s="1448" t="s">
        <v>534</v>
      </c>
      <c r="I515" s="1448" t="s">
        <v>534</v>
      </c>
      <c r="J515" s="1450"/>
      <c r="K515" s="1450"/>
      <c r="L515" s="1450"/>
    </row>
    <row r="516" spans="1:12" s="1448" customFormat="1" hidden="1" x14ac:dyDescent="0.4">
      <c r="A516" s="434">
        <v>1</v>
      </c>
      <c r="B516" s="1448" t="s">
        <v>1537</v>
      </c>
      <c r="C516" s="1448" t="s">
        <v>1436</v>
      </c>
      <c r="D516" s="434" t="s">
        <v>92</v>
      </c>
      <c r="F516" s="1448" t="s">
        <v>1749</v>
      </c>
      <c r="G516" s="1449">
        <v>37200</v>
      </c>
      <c r="H516" s="1448" t="s">
        <v>534</v>
      </c>
      <c r="I516" s="1448" t="s">
        <v>534</v>
      </c>
      <c r="J516" s="1450"/>
      <c r="K516" s="1450"/>
      <c r="L516" s="1450"/>
    </row>
    <row r="517" spans="1:12" s="1448" customFormat="1" hidden="1" x14ac:dyDescent="0.4">
      <c r="A517" s="434">
        <v>1</v>
      </c>
      <c r="B517" s="1448" t="s">
        <v>1537</v>
      </c>
      <c r="C517" s="1448" t="s">
        <v>1436</v>
      </c>
      <c r="D517" s="434" t="s">
        <v>93</v>
      </c>
      <c r="F517" s="1448" t="s">
        <v>1749</v>
      </c>
      <c r="G517" s="1449">
        <v>112200</v>
      </c>
      <c r="H517" s="1448" t="s">
        <v>534</v>
      </c>
      <c r="I517" s="1448" t="s">
        <v>534</v>
      </c>
      <c r="J517" s="1450"/>
      <c r="K517" s="1450"/>
      <c r="L517" s="1450"/>
    </row>
    <row r="518" spans="1:12" s="1448" customFormat="1" hidden="1" x14ac:dyDescent="0.4">
      <c r="A518" s="434">
        <v>1</v>
      </c>
      <c r="B518" s="1448" t="s">
        <v>1537</v>
      </c>
      <c r="C518" s="1448" t="s">
        <v>1436</v>
      </c>
      <c r="D518" s="434" t="s">
        <v>94</v>
      </c>
      <c r="F518" s="1448" t="s">
        <v>1749</v>
      </c>
      <c r="G518" s="1449">
        <v>373900</v>
      </c>
      <c r="H518" s="1448" t="s">
        <v>534</v>
      </c>
      <c r="I518" s="1448" t="s">
        <v>534</v>
      </c>
      <c r="J518" s="1450"/>
      <c r="K518" s="1450"/>
      <c r="L518" s="1450"/>
    </row>
    <row r="519" spans="1:12" s="1448" customFormat="1" hidden="1" x14ac:dyDescent="0.4">
      <c r="A519" s="434">
        <v>1</v>
      </c>
      <c r="B519" s="1448" t="s">
        <v>1537</v>
      </c>
      <c r="C519" s="1448" t="s">
        <v>1436</v>
      </c>
      <c r="D519" s="434" t="s">
        <v>96</v>
      </c>
      <c r="F519" s="1448" t="s">
        <v>1749</v>
      </c>
      <c r="G519" s="1449">
        <v>37200</v>
      </c>
      <c r="H519" s="1448" t="s">
        <v>534</v>
      </c>
      <c r="I519" s="1448" t="s">
        <v>534</v>
      </c>
      <c r="J519" s="1450"/>
      <c r="K519" s="1450"/>
      <c r="L519" s="1450"/>
    </row>
    <row r="520" spans="1:12" s="1448" customFormat="1" hidden="1" x14ac:dyDescent="0.4">
      <c r="A520" s="434">
        <v>1</v>
      </c>
      <c r="B520" s="1448" t="s">
        <v>1537</v>
      </c>
      <c r="C520" s="1448" t="s">
        <v>1436</v>
      </c>
      <c r="D520" s="434" t="s">
        <v>510</v>
      </c>
      <c r="F520" s="1448" t="s">
        <v>1749</v>
      </c>
      <c r="G520" s="1449">
        <v>405700</v>
      </c>
      <c r="H520" s="1448" t="s">
        <v>534</v>
      </c>
      <c r="I520" s="1448" t="s">
        <v>534</v>
      </c>
      <c r="J520" s="1450"/>
      <c r="K520" s="1450"/>
      <c r="L520" s="1450"/>
    </row>
    <row r="521" spans="1:12" s="1448" customFormat="1" hidden="1" x14ac:dyDescent="0.4">
      <c r="A521" s="434">
        <v>1</v>
      </c>
      <c r="B521" s="1448" t="s">
        <v>1537</v>
      </c>
      <c r="C521" s="1448" t="s">
        <v>1436</v>
      </c>
      <c r="D521" s="434" t="s">
        <v>100</v>
      </c>
      <c r="F521" s="1448" t="s">
        <v>1749</v>
      </c>
      <c r="G521" s="1449">
        <v>224500</v>
      </c>
      <c r="H521" s="1448" t="s">
        <v>534</v>
      </c>
      <c r="I521" s="1448" t="s">
        <v>534</v>
      </c>
      <c r="J521" s="1450"/>
      <c r="K521" s="1450"/>
      <c r="L521" s="1450"/>
    </row>
    <row r="522" spans="1:12" s="1448" customFormat="1" hidden="1" x14ac:dyDescent="0.4">
      <c r="A522" s="434">
        <v>1</v>
      </c>
      <c r="B522" s="1448" t="s">
        <v>1537</v>
      </c>
      <c r="C522" s="1448" t="s">
        <v>1436</v>
      </c>
      <c r="D522" s="434" t="s">
        <v>101</v>
      </c>
      <c r="F522" s="1448" t="s">
        <v>1749</v>
      </c>
      <c r="G522" s="1449">
        <v>112200</v>
      </c>
      <c r="H522" s="1448" t="s">
        <v>534</v>
      </c>
      <c r="I522" s="1448" t="s">
        <v>534</v>
      </c>
      <c r="J522" s="1450"/>
      <c r="K522" s="1450"/>
      <c r="L522" s="1450"/>
    </row>
    <row r="523" spans="1:12" hidden="1" x14ac:dyDescent="0.4">
      <c r="A523" s="434">
        <v>1</v>
      </c>
      <c r="B523" s="434" t="s">
        <v>1537</v>
      </c>
      <c r="C523" s="434" t="s">
        <v>1439</v>
      </c>
      <c r="D523" s="434" t="s">
        <v>106</v>
      </c>
      <c r="E523" s="434" t="s">
        <v>1366</v>
      </c>
      <c r="F523" s="434" t="s">
        <v>1440</v>
      </c>
      <c r="G523" s="593">
        <v>2645100</v>
      </c>
      <c r="H523" s="434" t="s">
        <v>1441</v>
      </c>
      <c r="I523" s="434" t="s">
        <v>1438</v>
      </c>
    </row>
    <row r="524" spans="1:12" hidden="1" x14ac:dyDescent="0.4">
      <c r="A524" s="434">
        <v>1</v>
      </c>
      <c r="B524" s="434" t="s">
        <v>1537</v>
      </c>
      <c r="C524" s="434" t="s">
        <v>1439</v>
      </c>
      <c r="D524" s="434" t="s">
        <v>116</v>
      </c>
      <c r="E524" s="434" t="s">
        <v>1370</v>
      </c>
      <c r="F524" s="434" t="s">
        <v>1442</v>
      </c>
      <c r="G524" s="593">
        <v>107300</v>
      </c>
      <c r="H524" s="434" t="s">
        <v>1441</v>
      </c>
      <c r="I524" s="434" t="s">
        <v>1438</v>
      </c>
    </row>
    <row r="525" spans="1:12" hidden="1" x14ac:dyDescent="0.4">
      <c r="A525" s="434">
        <v>1</v>
      </c>
      <c r="B525" s="434" t="s">
        <v>1537</v>
      </c>
      <c r="C525" s="434" t="s">
        <v>1439</v>
      </c>
      <c r="D525" s="434" t="s">
        <v>118</v>
      </c>
      <c r="E525" s="434" t="s">
        <v>1371</v>
      </c>
      <c r="F525" s="434" t="s">
        <v>1443</v>
      </c>
      <c r="G525" s="593">
        <v>379300</v>
      </c>
      <c r="H525" s="434" t="s">
        <v>1441</v>
      </c>
      <c r="I525" s="434" t="s">
        <v>1438</v>
      </c>
    </row>
    <row r="526" spans="1:12" x14ac:dyDescent="0.4">
      <c r="A526" s="434">
        <v>1</v>
      </c>
      <c r="B526" s="434" t="s">
        <v>1537</v>
      </c>
      <c r="C526" s="434" t="s">
        <v>1439</v>
      </c>
      <c r="D526" s="434" t="s">
        <v>326</v>
      </c>
      <c r="E526" s="434" t="s">
        <v>1373</v>
      </c>
      <c r="F526" s="434" t="s">
        <v>1444</v>
      </c>
      <c r="G526" s="593">
        <v>164100</v>
      </c>
      <c r="H526" s="434" t="s">
        <v>534</v>
      </c>
      <c r="I526" s="434" t="s">
        <v>534</v>
      </c>
    </row>
    <row r="527" spans="1:12" hidden="1" x14ac:dyDescent="0.4">
      <c r="A527" s="434">
        <v>1</v>
      </c>
      <c r="B527" s="434" t="s">
        <v>1537</v>
      </c>
      <c r="C527" s="434" t="s">
        <v>1439</v>
      </c>
      <c r="D527" s="434" t="s">
        <v>123</v>
      </c>
      <c r="E527" s="434" t="s">
        <v>1374</v>
      </c>
      <c r="F527" s="434" t="s">
        <v>1538</v>
      </c>
      <c r="G527" s="593">
        <v>481380</v>
      </c>
      <c r="H527" s="434" t="s">
        <v>534</v>
      </c>
      <c r="I527" s="434" t="s">
        <v>534</v>
      </c>
    </row>
    <row r="528" spans="1:12" hidden="1" x14ac:dyDescent="0.4">
      <c r="A528" s="434">
        <v>1</v>
      </c>
      <c r="B528" s="434" t="s">
        <v>1537</v>
      </c>
      <c r="C528" s="434" t="s">
        <v>1439</v>
      </c>
      <c r="D528" s="434" t="s">
        <v>145</v>
      </c>
      <c r="E528" s="434" t="s">
        <v>1385</v>
      </c>
      <c r="F528" s="434" t="s">
        <v>1448</v>
      </c>
      <c r="G528" s="593">
        <v>778200</v>
      </c>
      <c r="H528" s="434" t="s">
        <v>534</v>
      </c>
      <c r="I528" s="434" t="s">
        <v>534</v>
      </c>
    </row>
    <row r="529" spans="1:9" hidden="1" x14ac:dyDescent="0.4">
      <c r="A529" s="434">
        <v>1</v>
      </c>
      <c r="B529" s="434" t="s">
        <v>1537</v>
      </c>
      <c r="C529" s="434" t="s">
        <v>1439</v>
      </c>
      <c r="D529" s="434" t="s">
        <v>153</v>
      </c>
      <c r="E529" s="434" t="s">
        <v>1388</v>
      </c>
      <c r="F529" s="434" t="s">
        <v>1539</v>
      </c>
      <c r="G529" s="593">
        <v>3153600</v>
      </c>
      <c r="H529" s="434" t="s">
        <v>534</v>
      </c>
      <c r="I529" s="434" t="s">
        <v>534</v>
      </c>
    </row>
    <row r="530" spans="1:9" hidden="1" x14ac:dyDescent="0.4">
      <c r="A530" s="434">
        <v>1</v>
      </c>
      <c r="B530" s="434" t="s">
        <v>1537</v>
      </c>
      <c r="C530" s="434" t="s">
        <v>1439</v>
      </c>
      <c r="D530" s="434" t="s">
        <v>160</v>
      </c>
      <c r="E530" s="434" t="s">
        <v>1391</v>
      </c>
      <c r="F530" s="434" t="s">
        <v>1449</v>
      </c>
      <c r="G530" s="593">
        <v>251700</v>
      </c>
      <c r="H530" s="434" t="s">
        <v>534</v>
      </c>
      <c r="I530" s="434" t="s">
        <v>534</v>
      </c>
    </row>
    <row r="531" spans="1:9" hidden="1" x14ac:dyDescent="0.4">
      <c r="A531" s="434">
        <v>1</v>
      </c>
      <c r="B531" s="434" t="s">
        <v>1537</v>
      </c>
      <c r="C531" s="434" t="s">
        <v>1498</v>
      </c>
      <c r="D531" s="434" t="s">
        <v>195</v>
      </c>
      <c r="E531" s="434" t="s">
        <v>1405</v>
      </c>
      <c r="F531" s="434" t="s">
        <v>1540</v>
      </c>
      <c r="G531" s="593">
        <v>811900</v>
      </c>
      <c r="H531" s="434" t="s">
        <v>1441</v>
      </c>
      <c r="I531" s="434" t="s">
        <v>1438</v>
      </c>
    </row>
    <row r="532" spans="1:9" hidden="1" x14ac:dyDescent="0.4">
      <c r="A532" s="434">
        <v>1</v>
      </c>
      <c r="B532" s="434" t="s">
        <v>1537</v>
      </c>
      <c r="C532" s="434" t="s">
        <v>1498</v>
      </c>
      <c r="D532" s="434" t="s">
        <v>223</v>
      </c>
      <c r="E532" s="434" t="s">
        <v>1412</v>
      </c>
      <c r="F532" s="434" t="s">
        <v>1541</v>
      </c>
      <c r="G532" s="593">
        <v>1038250</v>
      </c>
      <c r="H532" s="434" t="s">
        <v>1441</v>
      </c>
      <c r="I532" s="434" t="s">
        <v>1438</v>
      </c>
    </row>
    <row r="533" spans="1:9" hidden="1" x14ac:dyDescent="0.4">
      <c r="A533" s="434">
        <v>1</v>
      </c>
      <c r="B533" s="434" t="s">
        <v>1537</v>
      </c>
      <c r="C533" s="434" t="s">
        <v>1498</v>
      </c>
      <c r="D533" s="434" t="s">
        <v>224</v>
      </c>
      <c r="E533" s="434" t="s">
        <v>1413</v>
      </c>
      <c r="F533" s="434"/>
      <c r="G533" s="593">
        <v>72000</v>
      </c>
      <c r="H533" s="434" t="s">
        <v>1441</v>
      </c>
      <c r="I533" s="434" t="s">
        <v>1438</v>
      </c>
    </row>
    <row r="534" spans="1:9" hidden="1" x14ac:dyDescent="0.4">
      <c r="A534" s="434">
        <v>1</v>
      </c>
      <c r="B534" s="434" t="s">
        <v>1537</v>
      </c>
      <c r="C534" s="434" t="s">
        <v>1513</v>
      </c>
      <c r="D534" s="434" t="s">
        <v>244</v>
      </c>
      <c r="E534" s="434" t="s">
        <v>1542</v>
      </c>
      <c r="F534" s="434" t="s">
        <v>1543</v>
      </c>
      <c r="G534" s="593">
        <v>2500000</v>
      </c>
      <c r="H534" s="434" t="s">
        <v>534</v>
      </c>
      <c r="I534" s="434" t="s">
        <v>534</v>
      </c>
    </row>
    <row r="535" spans="1:9" hidden="1" x14ac:dyDescent="0.4">
      <c r="A535" s="434">
        <v>1</v>
      </c>
      <c r="B535" s="434" t="s">
        <v>1544</v>
      </c>
      <c r="C535" s="434" t="s">
        <v>1436</v>
      </c>
      <c r="D535" s="434" t="s">
        <v>72</v>
      </c>
      <c r="E535" s="434" t="s">
        <v>1348</v>
      </c>
      <c r="F535" s="434" t="s">
        <v>1437</v>
      </c>
      <c r="G535" s="593">
        <v>253546700</v>
      </c>
      <c r="H535" s="434" t="s">
        <v>1438</v>
      </c>
      <c r="I535" s="434" t="s">
        <v>1438</v>
      </c>
    </row>
    <row r="536" spans="1:9" hidden="1" x14ac:dyDescent="0.4">
      <c r="A536" s="434">
        <v>1</v>
      </c>
      <c r="B536" s="434" t="s">
        <v>1544</v>
      </c>
      <c r="C536" s="434" t="s">
        <v>1436</v>
      </c>
      <c r="D536" s="434" t="s">
        <v>76</v>
      </c>
      <c r="E536" s="434" t="s">
        <v>1352</v>
      </c>
      <c r="F536" s="434" t="s">
        <v>1056</v>
      </c>
      <c r="G536" s="593">
        <v>901600</v>
      </c>
      <c r="H536" s="434" t="s">
        <v>1438</v>
      </c>
      <c r="I536" s="434" t="s">
        <v>1438</v>
      </c>
    </row>
    <row r="537" spans="1:9" hidden="1" x14ac:dyDescent="0.4">
      <c r="A537" s="434">
        <v>1</v>
      </c>
      <c r="B537" s="434" t="s">
        <v>1544</v>
      </c>
      <c r="C537" s="434" t="s">
        <v>1436</v>
      </c>
      <c r="D537" s="434" t="s">
        <v>80</v>
      </c>
      <c r="E537" s="434" t="s">
        <v>1332</v>
      </c>
      <c r="F537" s="434" t="s">
        <v>481</v>
      </c>
      <c r="G537" s="593">
        <v>58079000</v>
      </c>
      <c r="H537" s="434" t="s">
        <v>1438</v>
      </c>
      <c r="I537" s="434" t="s">
        <v>1438</v>
      </c>
    </row>
    <row r="538" spans="1:9" hidden="1" x14ac:dyDescent="0.4">
      <c r="A538" s="434">
        <v>1</v>
      </c>
      <c r="B538" s="434" t="s">
        <v>1544</v>
      </c>
      <c r="C538" s="434" t="s">
        <v>1436</v>
      </c>
      <c r="D538" s="434" t="s">
        <v>82</v>
      </c>
      <c r="E538" s="434" t="s">
        <v>1333</v>
      </c>
      <c r="F538" s="434" t="s">
        <v>482</v>
      </c>
      <c r="G538" s="593">
        <v>74317700</v>
      </c>
      <c r="H538" s="434" t="s">
        <v>1438</v>
      </c>
      <c r="I538" s="434" t="s">
        <v>1438</v>
      </c>
    </row>
    <row r="539" spans="1:9" hidden="1" x14ac:dyDescent="0.4">
      <c r="A539" s="434">
        <v>1</v>
      </c>
      <c r="B539" s="434" t="s">
        <v>1544</v>
      </c>
      <c r="C539" s="434" t="s">
        <v>1436</v>
      </c>
      <c r="D539" s="434" t="s">
        <v>84</v>
      </c>
      <c r="E539" s="434" t="s">
        <v>1355</v>
      </c>
      <c r="F539" s="434" t="s">
        <v>483</v>
      </c>
      <c r="G539" s="593">
        <v>36124900</v>
      </c>
      <c r="H539" s="434" t="s">
        <v>1438</v>
      </c>
      <c r="I539" s="434" t="s">
        <v>1438</v>
      </c>
    </row>
    <row r="540" spans="1:9" hidden="1" x14ac:dyDescent="0.4">
      <c r="A540" s="434">
        <v>1</v>
      </c>
      <c r="B540" s="434" t="s">
        <v>1544</v>
      </c>
      <c r="C540" s="434" t="s">
        <v>1436</v>
      </c>
      <c r="D540" s="434" t="s">
        <v>86</v>
      </c>
      <c r="E540" s="434" t="s">
        <v>1356</v>
      </c>
      <c r="F540" s="434" t="s">
        <v>484</v>
      </c>
      <c r="G540" s="593">
        <v>32252100</v>
      </c>
      <c r="H540" s="434" t="s">
        <v>1438</v>
      </c>
      <c r="I540" s="434" t="s">
        <v>1438</v>
      </c>
    </row>
    <row r="541" spans="1:9" hidden="1" x14ac:dyDescent="0.4">
      <c r="A541" s="434">
        <v>1</v>
      </c>
      <c r="B541" s="434" t="s">
        <v>1544</v>
      </c>
      <c r="C541" s="434" t="s">
        <v>1436</v>
      </c>
      <c r="D541" s="434" t="s">
        <v>87</v>
      </c>
      <c r="E541" s="434" t="s">
        <v>1334</v>
      </c>
      <c r="F541" s="434" t="s">
        <v>485</v>
      </c>
      <c r="G541" s="593">
        <v>14401700</v>
      </c>
      <c r="H541" s="434" t="s">
        <v>1438</v>
      </c>
      <c r="I541" s="434" t="s">
        <v>1438</v>
      </c>
    </row>
    <row r="542" spans="1:9" hidden="1" x14ac:dyDescent="0.4">
      <c r="A542" s="434">
        <v>1</v>
      </c>
      <c r="B542" s="434" t="s">
        <v>1544</v>
      </c>
      <c r="C542" s="434" t="s">
        <v>1436</v>
      </c>
      <c r="D542" s="434" t="s">
        <v>90</v>
      </c>
      <c r="E542" s="434" t="s">
        <v>1357</v>
      </c>
      <c r="F542" s="434" t="s">
        <v>486</v>
      </c>
      <c r="G542" s="593">
        <v>40098600</v>
      </c>
      <c r="H542" s="434" t="s">
        <v>1438</v>
      </c>
      <c r="I542" s="434" t="s">
        <v>1438</v>
      </c>
    </row>
    <row r="543" spans="1:9" hidden="1" x14ac:dyDescent="0.4">
      <c r="A543" s="434">
        <v>1</v>
      </c>
      <c r="B543" s="434" t="s">
        <v>1544</v>
      </c>
      <c r="C543" s="434" t="s">
        <v>1436</v>
      </c>
      <c r="D543" s="434" t="s">
        <v>92</v>
      </c>
      <c r="E543" s="434" t="s">
        <v>1358</v>
      </c>
      <c r="F543" s="434" t="s">
        <v>487</v>
      </c>
      <c r="G543" s="593">
        <v>2167500</v>
      </c>
      <c r="H543" s="434" t="s">
        <v>1438</v>
      </c>
      <c r="I543" s="434" t="s">
        <v>1438</v>
      </c>
    </row>
    <row r="544" spans="1:9" hidden="1" x14ac:dyDescent="0.4">
      <c r="A544" s="434">
        <v>1</v>
      </c>
      <c r="B544" s="434" t="s">
        <v>1544</v>
      </c>
      <c r="C544" s="434" t="s">
        <v>1436</v>
      </c>
      <c r="D544" s="434" t="s">
        <v>93</v>
      </c>
      <c r="E544" s="434" t="s">
        <v>1359</v>
      </c>
      <c r="F544" s="434" t="s">
        <v>488</v>
      </c>
      <c r="G544" s="593">
        <v>6502500</v>
      </c>
      <c r="H544" s="434" t="s">
        <v>1438</v>
      </c>
      <c r="I544" s="434" t="s">
        <v>1438</v>
      </c>
    </row>
    <row r="545" spans="1:12" hidden="1" x14ac:dyDescent="0.4">
      <c r="A545" s="434">
        <v>1</v>
      </c>
      <c r="B545" s="434" t="s">
        <v>1544</v>
      </c>
      <c r="C545" s="434" t="s">
        <v>1436</v>
      </c>
      <c r="D545" s="434" t="s">
        <v>94</v>
      </c>
      <c r="E545" s="434" t="s">
        <v>1360</v>
      </c>
      <c r="F545" s="434" t="s">
        <v>489</v>
      </c>
      <c r="G545" s="593">
        <v>21674900</v>
      </c>
      <c r="H545" s="434" t="s">
        <v>1438</v>
      </c>
      <c r="I545" s="434" t="s">
        <v>1438</v>
      </c>
    </row>
    <row r="546" spans="1:12" hidden="1" x14ac:dyDescent="0.4">
      <c r="A546" s="434">
        <v>1</v>
      </c>
      <c r="B546" s="434" t="s">
        <v>1544</v>
      </c>
      <c r="C546" s="434" t="s">
        <v>1436</v>
      </c>
      <c r="D546" s="434" t="s">
        <v>96</v>
      </c>
      <c r="E546" s="434" t="s">
        <v>1361</v>
      </c>
      <c r="F546" s="434" t="s">
        <v>490</v>
      </c>
      <c r="G546" s="593">
        <v>2167500</v>
      </c>
      <c r="H546" s="434" t="s">
        <v>1438</v>
      </c>
      <c r="I546" s="434" t="s">
        <v>1438</v>
      </c>
    </row>
    <row r="547" spans="1:12" hidden="1" x14ac:dyDescent="0.4">
      <c r="A547" s="434">
        <v>1</v>
      </c>
      <c r="B547" s="434" t="s">
        <v>1544</v>
      </c>
      <c r="C547" s="434" t="s">
        <v>1436</v>
      </c>
      <c r="D547" s="434" t="s">
        <v>510</v>
      </c>
      <c r="E547" s="434" t="s">
        <v>1362</v>
      </c>
      <c r="F547" s="434" t="s">
        <v>491</v>
      </c>
      <c r="G547" s="593">
        <v>23495600</v>
      </c>
      <c r="H547" s="434" t="s">
        <v>1438</v>
      </c>
      <c r="I547" s="434" t="s">
        <v>1438</v>
      </c>
    </row>
    <row r="548" spans="1:12" hidden="1" x14ac:dyDescent="0.4">
      <c r="A548" s="434">
        <v>1</v>
      </c>
      <c r="B548" s="434" t="s">
        <v>1544</v>
      </c>
      <c r="C548" s="434" t="s">
        <v>1436</v>
      </c>
      <c r="D548" s="434" t="s">
        <v>100</v>
      </c>
      <c r="E548" s="434" t="s">
        <v>1363</v>
      </c>
      <c r="F548" s="434" t="s">
        <v>491</v>
      </c>
      <c r="G548" s="593">
        <v>13005000</v>
      </c>
      <c r="H548" s="434" t="s">
        <v>1438</v>
      </c>
      <c r="I548" s="434" t="s">
        <v>1438</v>
      </c>
    </row>
    <row r="549" spans="1:12" hidden="1" x14ac:dyDescent="0.4">
      <c r="A549" s="434">
        <v>1</v>
      </c>
      <c r="B549" s="434" t="s">
        <v>1544</v>
      </c>
      <c r="C549" s="434" t="s">
        <v>1436</v>
      </c>
      <c r="D549" s="434" t="s">
        <v>101</v>
      </c>
      <c r="E549" s="434" t="s">
        <v>1364</v>
      </c>
      <c r="F549" s="434" t="s">
        <v>1135</v>
      </c>
      <c r="G549" s="593">
        <v>6502500</v>
      </c>
      <c r="H549" s="434" t="s">
        <v>1438</v>
      </c>
      <c r="I549" s="434" t="s">
        <v>1438</v>
      </c>
    </row>
    <row r="550" spans="1:12" s="1448" customFormat="1" hidden="1" x14ac:dyDescent="0.4">
      <c r="A550" s="434">
        <v>1</v>
      </c>
      <c r="B550" s="1448" t="s">
        <v>1544</v>
      </c>
      <c r="C550" s="1448" t="s">
        <v>1436</v>
      </c>
      <c r="D550" s="434" t="s">
        <v>72</v>
      </c>
      <c r="F550" s="1448" t="s">
        <v>1749</v>
      </c>
      <c r="G550" s="1449">
        <v>31729300</v>
      </c>
      <c r="H550" s="1448" t="s">
        <v>534</v>
      </c>
      <c r="I550" s="1448" t="s">
        <v>534</v>
      </c>
      <c r="J550" s="1450"/>
      <c r="K550" s="1450"/>
      <c r="L550" s="1450"/>
    </row>
    <row r="551" spans="1:12" s="1448" customFormat="1" hidden="1" x14ac:dyDescent="0.4">
      <c r="A551" s="434">
        <v>1</v>
      </c>
      <c r="B551" s="1448" t="s">
        <v>1544</v>
      </c>
      <c r="C551" s="1448" t="s">
        <v>1436</v>
      </c>
      <c r="D551" s="434" t="s">
        <v>76</v>
      </c>
      <c r="F551" s="1448" t="s">
        <v>1749</v>
      </c>
      <c r="G551" s="1449">
        <v>-100</v>
      </c>
      <c r="H551" s="1448" t="s">
        <v>534</v>
      </c>
      <c r="I551" s="1448" t="s">
        <v>534</v>
      </c>
      <c r="J551" s="1450"/>
      <c r="K551" s="1450"/>
      <c r="L551" s="1450"/>
    </row>
    <row r="552" spans="1:12" s="1448" customFormat="1" hidden="1" x14ac:dyDescent="0.4">
      <c r="A552" s="434">
        <v>1</v>
      </c>
      <c r="B552" s="1448" t="s">
        <v>1544</v>
      </c>
      <c r="C552" s="1448" t="s">
        <v>1436</v>
      </c>
      <c r="D552" s="434" t="s">
        <v>80</v>
      </c>
      <c r="F552" s="1448" t="s">
        <v>1749</v>
      </c>
      <c r="G552" s="1449">
        <v>0</v>
      </c>
      <c r="H552" s="1448" t="s">
        <v>534</v>
      </c>
      <c r="I552" s="1448" t="s">
        <v>534</v>
      </c>
      <c r="J552" s="1450"/>
      <c r="K552" s="1450"/>
      <c r="L552" s="1450"/>
    </row>
    <row r="553" spans="1:12" s="1448" customFormat="1" hidden="1" x14ac:dyDescent="0.4">
      <c r="A553" s="434">
        <v>1</v>
      </c>
      <c r="B553" s="1448" t="s">
        <v>1544</v>
      </c>
      <c r="C553" s="1448" t="s">
        <v>1436</v>
      </c>
      <c r="D553" s="434" t="s">
        <v>82</v>
      </c>
      <c r="F553" s="1448" t="s">
        <v>1749</v>
      </c>
      <c r="G553" s="1449">
        <v>-200</v>
      </c>
      <c r="H553" s="1448" t="s">
        <v>534</v>
      </c>
      <c r="I553" s="1448" t="s">
        <v>534</v>
      </c>
      <c r="J553" s="1450"/>
      <c r="K553" s="1450"/>
      <c r="L553" s="1450"/>
    </row>
    <row r="554" spans="1:12" s="1448" customFormat="1" hidden="1" x14ac:dyDescent="0.4">
      <c r="A554" s="434">
        <v>1</v>
      </c>
      <c r="B554" s="1448" t="s">
        <v>1544</v>
      </c>
      <c r="C554" s="1448" t="s">
        <v>1436</v>
      </c>
      <c r="D554" s="434" t="s">
        <v>84</v>
      </c>
      <c r="F554" s="1448" t="s">
        <v>1749</v>
      </c>
      <c r="G554" s="1449">
        <v>2864100</v>
      </c>
      <c r="H554" s="1448" t="s">
        <v>534</v>
      </c>
      <c r="I554" s="1448" t="s">
        <v>534</v>
      </c>
      <c r="J554" s="1450"/>
      <c r="K554" s="1450"/>
      <c r="L554" s="1450"/>
    </row>
    <row r="555" spans="1:12" s="1448" customFormat="1" hidden="1" x14ac:dyDescent="0.4">
      <c r="A555" s="434">
        <v>1</v>
      </c>
      <c r="B555" s="1448" t="s">
        <v>1544</v>
      </c>
      <c r="C555" s="1448" t="s">
        <v>1436</v>
      </c>
      <c r="D555" s="434" t="s">
        <v>86</v>
      </c>
      <c r="F555" s="1448" t="s">
        <v>1749</v>
      </c>
      <c r="G555" s="1449">
        <v>2642900</v>
      </c>
      <c r="H555" s="1448" t="s">
        <v>534</v>
      </c>
      <c r="I555" s="1448" t="s">
        <v>534</v>
      </c>
      <c r="J555" s="1450"/>
      <c r="K555" s="1450"/>
      <c r="L555" s="1450"/>
    </row>
    <row r="556" spans="1:12" s="1448" customFormat="1" hidden="1" x14ac:dyDescent="0.4">
      <c r="A556" s="434">
        <v>1</v>
      </c>
      <c r="B556" s="1448" t="s">
        <v>1544</v>
      </c>
      <c r="C556" s="1448" t="s">
        <v>1436</v>
      </c>
      <c r="D556" s="434" t="s">
        <v>87</v>
      </c>
      <c r="F556" s="1448" t="s">
        <v>1749</v>
      </c>
      <c r="G556" s="1449">
        <v>-200</v>
      </c>
      <c r="H556" s="1448" t="s">
        <v>534</v>
      </c>
      <c r="I556" s="1448" t="s">
        <v>534</v>
      </c>
      <c r="J556" s="1450"/>
      <c r="K556" s="1450"/>
      <c r="L556" s="1450"/>
    </row>
    <row r="557" spans="1:12" s="1448" customFormat="1" hidden="1" x14ac:dyDescent="0.4">
      <c r="A557" s="434">
        <v>1</v>
      </c>
      <c r="B557" s="1448" t="s">
        <v>1544</v>
      </c>
      <c r="C557" s="1448" t="s">
        <v>1436</v>
      </c>
      <c r="D557" s="434" t="s">
        <v>90</v>
      </c>
      <c r="F557" s="1448" t="s">
        <v>1749</v>
      </c>
      <c r="G557" s="1449">
        <v>3179400</v>
      </c>
      <c r="H557" s="1448" t="s">
        <v>534</v>
      </c>
      <c r="I557" s="1448" t="s">
        <v>534</v>
      </c>
      <c r="J557" s="1450"/>
      <c r="K557" s="1450"/>
      <c r="L557" s="1450"/>
    </row>
    <row r="558" spans="1:12" s="1448" customFormat="1" hidden="1" x14ac:dyDescent="0.4">
      <c r="A558" s="434">
        <v>1</v>
      </c>
      <c r="B558" s="1448" t="s">
        <v>1544</v>
      </c>
      <c r="C558" s="1448" t="s">
        <v>1436</v>
      </c>
      <c r="D558" s="434" t="s">
        <v>92</v>
      </c>
      <c r="F558" s="1448" t="s">
        <v>1749</v>
      </c>
      <c r="G558" s="1449">
        <v>172000</v>
      </c>
      <c r="H558" s="1448" t="s">
        <v>534</v>
      </c>
      <c r="I558" s="1448" t="s">
        <v>534</v>
      </c>
      <c r="J558" s="1450"/>
      <c r="K558" s="1450"/>
      <c r="L558" s="1450"/>
    </row>
    <row r="559" spans="1:12" s="1448" customFormat="1" hidden="1" x14ac:dyDescent="0.4">
      <c r="A559" s="434">
        <v>1</v>
      </c>
      <c r="B559" s="1448" t="s">
        <v>1544</v>
      </c>
      <c r="C559" s="1448" t="s">
        <v>1436</v>
      </c>
      <c r="D559" s="434" t="s">
        <v>93</v>
      </c>
      <c r="F559" s="1448" t="s">
        <v>1749</v>
      </c>
      <c r="G559" s="1449">
        <v>515500</v>
      </c>
      <c r="H559" s="1448" t="s">
        <v>534</v>
      </c>
      <c r="I559" s="1448" t="s">
        <v>534</v>
      </c>
      <c r="J559" s="1450"/>
      <c r="K559" s="1450"/>
      <c r="L559" s="1450"/>
    </row>
    <row r="560" spans="1:12" s="1448" customFormat="1" hidden="1" x14ac:dyDescent="0.4">
      <c r="A560" s="434">
        <v>1</v>
      </c>
      <c r="B560" s="1448" t="s">
        <v>1544</v>
      </c>
      <c r="C560" s="1448" t="s">
        <v>1436</v>
      </c>
      <c r="D560" s="434" t="s">
        <v>94</v>
      </c>
      <c r="F560" s="1448" t="s">
        <v>1749</v>
      </c>
      <c r="G560" s="1449">
        <v>1718600</v>
      </c>
      <c r="H560" s="1448" t="s">
        <v>534</v>
      </c>
      <c r="I560" s="1448" t="s">
        <v>534</v>
      </c>
      <c r="J560" s="1450"/>
      <c r="K560" s="1450"/>
      <c r="L560" s="1450"/>
    </row>
    <row r="561" spans="1:12" s="1448" customFormat="1" hidden="1" x14ac:dyDescent="0.4">
      <c r="A561" s="434">
        <v>1</v>
      </c>
      <c r="B561" s="1448" t="s">
        <v>1544</v>
      </c>
      <c r="C561" s="1448" t="s">
        <v>1436</v>
      </c>
      <c r="D561" s="434" t="s">
        <v>96</v>
      </c>
      <c r="F561" s="1448" t="s">
        <v>1749</v>
      </c>
      <c r="G561" s="1449">
        <v>172000</v>
      </c>
      <c r="H561" s="1448" t="s">
        <v>534</v>
      </c>
      <c r="I561" s="1448" t="s">
        <v>534</v>
      </c>
      <c r="J561" s="1450"/>
      <c r="K561" s="1450"/>
      <c r="L561" s="1450"/>
    </row>
    <row r="562" spans="1:12" s="1448" customFormat="1" hidden="1" x14ac:dyDescent="0.4">
      <c r="A562" s="434">
        <v>1</v>
      </c>
      <c r="B562" s="1448" t="s">
        <v>1544</v>
      </c>
      <c r="C562" s="1448" t="s">
        <v>1436</v>
      </c>
      <c r="D562" s="434" t="s">
        <v>510</v>
      </c>
      <c r="F562" s="1448" t="s">
        <v>1749</v>
      </c>
      <c r="G562" s="1449">
        <v>1862900</v>
      </c>
      <c r="H562" s="1448" t="s">
        <v>534</v>
      </c>
      <c r="I562" s="1448" t="s">
        <v>534</v>
      </c>
      <c r="J562" s="1450"/>
      <c r="K562" s="1450"/>
      <c r="L562" s="1450"/>
    </row>
    <row r="563" spans="1:12" s="1448" customFormat="1" hidden="1" x14ac:dyDescent="0.4">
      <c r="A563" s="434">
        <v>1</v>
      </c>
      <c r="B563" s="1448" t="s">
        <v>1544</v>
      </c>
      <c r="C563" s="1448" t="s">
        <v>1436</v>
      </c>
      <c r="D563" s="434" t="s">
        <v>100</v>
      </c>
      <c r="F563" s="1448" t="s">
        <v>1749</v>
      </c>
      <c r="G563" s="1449">
        <v>1031000</v>
      </c>
      <c r="H563" s="1448" t="s">
        <v>534</v>
      </c>
      <c r="I563" s="1448" t="s">
        <v>534</v>
      </c>
      <c r="J563" s="1450"/>
      <c r="K563" s="1450"/>
      <c r="L563" s="1450"/>
    </row>
    <row r="564" spans="1:12" s="1448" customFormat="1" hidden="1" x14ac:dyDescent="0.4">
      <c r="A564" s="434">
        <v>1</v>
      </c>
      <c r="B564" s="1448" t="s">
        <v>1544</v>
      </c>
      <c r="C564" s="1448" t="s">
        <v>1436</v>
      </c>
      <c r="D564" s="434" t="s">
        <v>101</v>
      </c>
      <c r="F564" s="1448" t="s">
        <v>1749</v>
      </c>
      <c r="G564" s="1449">
        <v>515500</v>
      </c>
      <c r="H564" s="1448" t="s">
        <v>534</v>
      </c>
      <c r="I564" s="1448" t="s">
        <v>534</v>
      </c>
      <c r="J564" s="1450"/>
      <c r="K564" s="1450"/>
      <c r="L564" s="1450"/>
    </row>
    <row r="565" spans="1:12" hidden="1" x14ac:dyDescent="0.4">
      <c r="A565" s="434">
        <v>1</v>
      </c>
      <c r="B565" s="434" t="s">
        <v>1544</v>
      </c>
      <c r="C565" s="434" t="s">
        <v>1439</v>
      </c>
      <c r="D565" s="434" t="s">
        <v>106</v>
      </c>
      <c r="E565" s="434" t="s">
        <v>1366</v>
      </c>
      <c r="F565" s="434" t="s">
        <v>1545</v>
      </c>
      <c r="G565" s="593">
        <v>17584700</v>
      </c>
      <c r="H565" s="434" t="s">
        <v>1441</v>
      </c>
      <c r="I565" s="434" t="s">
        <v>1438</v>
      </c>
    </row>
    <row r="566" spans="1:12" hidden="1" x14ac:dyDescent="0.4">
      <c r="A566" s="434">
        <v>1</v>
      </c>
      <c r="B566" s="434" t="s">
        <v>1544</v>
      </c>
      <c r="C566" s="434" t="s">
        <v>1439</v>
      </c>
      <c r="D566" s="434" t="s">
        <v>116</v>
      </c>
      <c r="E566" s="434" t="s">
        <v>1370</v>
      </c>
      <c r="F566" s="434" t="s">
        <v>1546</v>
      </c>
      <c r="G566" s="593">
        <v>712800</v>
      </c>
      <c r="H566" s="434" t="s">
        <v>1441</v>
      </c>
      <c r="I566" s="434" t="s">
        <v>1438</v>
      </c>
    </row>
    <row r="567" spans="1:12" hidden="1" x14ac:dyDescent="0.4">
      <c r="A567" s="434">
        <v>1</v>
      </c>
      <c r="B567" s="434" t="s">
        <v>1544</v>
      </c>
      <c r="C567" s="434" t="s">
        <v>1439</v>
      </c>
      <c r="D567" s="434" t="s">
        <v>118</v>
      </c>
      <c r="E567" s="434" t="s">
        <v>1371</v>
      </c>
      <c r="F567" s="434" t="s">
        <v>1547</v>
      </c>
      <c r="G567" s="593">
        <v>2521300</v>
      </c>
      <c r="H567" s="434" t="s">
        <v>1441</v>
      </c>
      <c r="I567" s="434" t="s">
        <v>1438</v>
      </c>
    </row>
    <row r="568" spans="1:12" x14ac:dyDescent="0.4">
      <c r="A568" s="434">
        <v>1</v>
      </c>
      <c r="B568" s="434" t="s">
        <v>1544</v>
      </c>
      <c r="C568" s="434" t="s">
        <v>1439</v>
      </c>
      <c r="D568" s="434" t="s">
        <v>326</v>
      </c>
      <c r="E568" s="434" t="s">
        <v>1373</v>
      </c>
      <c r="F568" s="593">
        <v>26291000</v>
      </c>
      <c r="G568" s="593">
        <v>12103595.16</v>
      </c>
      <c r="H568" s="434" t="s">
        <v>1441</v>
      </c>
      <c r="I568" s="434" t="s">
        <v>1438</v>
      </c>
    </row>
    <row r="569" spans="1:12" x14ac:dyDescent="0.4">
      <c r="A569" s="434">
        <v>1</v>
      </c>
      <c r="B569" s="434" t="s">
        <v>1544</v>
      </c>
      <c r="C569" s="434" t="s">
        <v>1439</v>
      </c>
      <c r="D569" s="434" t="s">
        <v>326</v>
      </c>
      <c r="E569" s="434" t="s">
        <v>1373</v>
      </c>
      <c r="F569" s="434" t="s">
        <v>1548</v>
      </c>
      <c r="G569" s="1277">
        <v>14187404.84</v>
      </c>
      <c r="H569" s="434" t="s">
        <v>534</v>
      </c>
      <c r="I569" s="434" t="s">
        <v>534</v>
      </c>
    </row>
    <row r="570" spans="1:12" hidden="1" x14ac:dyDescent="0.4">
      <c r="A570" s="434">
        <v>1</v>
      </c>
      <c r="B570" s="434" t="s">
        <v>1544</v>
      </c>
      <c r="C570" s="434" t="s">
        <v>1439</v>
      </c>
      <c r="D570" s="434" t="s">
        <v>397</v>
      </c>
      <c r="E570" s="434" t="s">
        <v>1380</v>
      </c>
      <c r="F570" s="434" t="s">
        <v>1549</v>
      </c>
      <c r="G570" s="593">
        <v>90180908</v>
      </c>
      <c r="H570" s="434" t="s">
        <v>534</v>
      </c>
      <c r="I570" s="434" t="s">
        <v>534</v>
      </c>
    </row>
    <row r="571" spans="1:12" hidden="1" x14ac:dyDescent="0.4">
      <c r="A571" s="434">
        <v>1</v>
      </c>
      <c r="B571" s="434" t="s">
        <v>1544</v>
      </c>
      <c r="C571" s="434" t="s">
        <v>1439</v>
      </c>
      <c r="D571" s="434" t="s">
        <v>145</v>
      </c>
      <c r="E571" s="434" t="s">
        <v>1385</v>
      </c>
      <c r="F571" s="434" t="s">
        <v>1550</v>
      </c>
      <c r="G571" s="593">
        <v>5173100</v>
      </c>
      <c r="H571" s="434" t="s">
        <v>534</v>
      </c>
      <c r="I571" s="434" t="s">
        <v>534</v>
      </c>
    </row>
    <row r="572" spans="1:12" hidden="1" x14ac:dyDescent="0.4">
      <c r="A572" s="434">
        <v>1</v>
      </c>
      <c r="B572" s="434" t="s">
        <v>1544</v>
      </c>
      <c r="C572" s="434" t="s">
        <v>1439</v>
      </c>
      <c r="D572" s="434" t="s">
        <v>147</v>
      </c>
      <c r="E572" s="434" t="s">
        <v>1386</v>
      </c>
      <c r="F572" s="434" t="s">
        <v>1720</v>
      </c>
      <c r="G572" s="593">
        <v>140000000</v>
      </c>
      <c r="H572" s="434" t="s">
        <v>534</v>
      </c>
      <c r="I572" s="434" t="s">
        <v>534</v>
      </c>
    </row>
    <row r="573" spans="1:12" hidden="1" x14ac:dyDescent="0.4">
      <c r="A573" s="434">
        <v>1</v>
      </c>
      <c r="B573" s="434" t="s">
        <v>1544</v>
      </c>
      <c r="C573" s="434" t="s">
        <v>1439</v>
      </c>
      <c r="D573" s="434" t="s">
        <v>160</v>
      </c>
      <c r="E573" s="434" t="s">
        <v>1391</v>
      </c>
      <c r="F573" s="434" t="s">
        <v>1551</v>
      </c>
      <c r="G573" s="593">
        <v>3891800</v>
      </c>
      <c r="H573" s="434" t="s">
        <v>534</v>
      </c>
      <c r="I573" s="434" t="s">
        <v>534</v>
      </c>
    </row>
    <row r="574" spans="1:12" hidden="1" x14ac:dyDescent="0.4">
      <c r="A574" s="434">
        <v>1</v>
      </c>
      <c r="B574" s="434" t="s">
        <v>1544</v>
      </c>
      <c r="C574" s="434" t="s">
        <v>1439</v>
      </c>
      <c r="D574" s="434" t="s">
        <v>178</v>
      </c>
      <c r="E574" s="434" t="s">
        <v>1396</v>
      </c>
      <c r="F574" s="434" t="s">
        <v>1552</v>
      </c>
      <c r="G574" s="593">
        <v>42500000</v>
      </c>
      <c r="H574" s="434" t="s">
        <v>534</v>
      </c>
      <c r="I574" s="434" t="s">
        <v>534</v>
      </c>
    </row>
    <row r="575" spans="1:12" hidden="1" x14ac:dyDescent="0.4">
      <c r="A575" s="434">
        <v>1</v>
      </c>
      <c r="B575" s="434" t="s">
        <v>1544</v>
      </c>
      <c r="C575" s="434" t="s">
        <v>1439</v>
      </c>
      <c r="D575" s="434" t="s">
        <v>180</v>
      </c>
      <c r="E575" s="434" t="s">
        <v>1397</v>
      </c>
      <c r="F575" s="434" t="s">
        <v>1553</v>
      </c>
      <c r="G575" s="593">
        <v>3200000</v>
      </c>
      <c r="H575" s="434" t="s">
        <v>534</v>
      </c>
      <c r="I575" s="434" t="s">
        <v>534</v>
      </c>
    </row>
    <row r="576" spans="1:12" hidden="1" x14ac:dyDescent="0.4">
      <c r="A576" s="434">
        <v>1</v>
      </c>
      <c r="B576" s="434" t="s">
        <v>1544</v>
      </c>
      <c r="C576" s="434" t="s">
        <v>1513</v>
      </c>
      <c r="D576" s="434" t="s">
        <v>238</v>
      </c>
      <c r="E576" s="434" t="s">
        <v>1419</v>
      </c>
      <c r="F576" s="434" t="s">
        <v>1554</v>
      </c>
      <c r="G576" s="593">
        <v>850000</v>
      </c>
      <c r="H576" s="434" t="s">
        <v>534</v>
      </c>
      <c r="I576" s="434" t="s">
        <v>534</v>
      </c>
    </row>
    <row r="577" spans="1:9" hidden="1" x14ac:dyDescent="0.4">
      <c r="A577" s="434">
        <v>1</v>
      </c>
      <c r="B577" s="434" t="s">
        <v>1544</v>
      </c>
      <c r="C577" s="434" t="s">
        <v>1513</v>
      </c>
      <c r="D577" s="434" t="s">
        <v>242</v>
      </c>
      <c r="E577" s="434" t="s">
        <v>1421</v>
      </c>
      <c r="F577" s="434" t="s">
        <v>1555</v>
      </c>
      <c r="G577" s="593">
        <v>100000000</v>
      </c>
      <c r="H577" s="434" t="s">
        <v>534</v>
      </c>
      <c r="I577" s="434" t="s">
        <v>534</v>
      </c>
    </row>
    <row r="578" spans="1:9" hidden="1" x14ac:dyDescent="0.4">
      <c r="A578" s="434">
        <v>1</v>
      </c>
      <c r="B578" s="434" t="s">
        <v>1544</v>
      </c>
      <c r="C578" s="434" t="s">
        <v>1513</v>
      </c>
      <c r="D578" s="434" t="s">
        <v>411</v>
      </c>
      <c r="E578" s="434" t="s">
        <v>1424</v>
      </c>
      <c r="F578" s="434" t="s">
        <v>1556</v>
      </c>
      <c r="G578" s="593">
        <v>413787754</v>
      </c>
      <c r="H578" s="434" t="s">
        <v>534</v>
      </c>
      <c r="I578" s="434" t="s">
        <v>534</v>
      </c>
    </row>
    <row r="579" spans="1:9" hidden="1" x14ac:dyDescent="0.4">
      <c r="A579" s="434">
        <v>1</v>
      </c>
      <c r="B579" s="434" t="s">
        <v>1557</v>
      </c>
      <c r="C579" s="434" t="s">
        <v>1439</v>
      </c>
      <c r="D579" s="434" t="s">
        <v>127</v>
      </c>
      <c r="E579" s="434" t="s">
        <v>1375</v>
      </c>
      <c r="F579" s="434" t="s">
        <v>1558</v>
      </c>
      <c r="G579" s="593">
        <v>1900000</v>
      </c>
      <c r="H579" s="434" t="s">
        <v>534</v>
      </c>
      <c r="I579" s="434" t="s">
        <v>534</v>
      </c>
    </row>
    <row r="580" spans="1:9" hidden="1" x14ac:dyDescent="0.4">
      <c r="A580" s="434">
        <v>1</v>
      </c>
      <c r="B580" s="434" t="s">
        <v>1557</v>
      </c>
      <c r="C580" s="434" t="s">
        <v>1439</v>
      </c>
      <c r="D580" s="434" t="s">
        <v>137</v>
      </c>
      <c r="E580" s="434" t="s">
        <v>1379</v>
      </c>
      <c r="F580" s="434" t="s">
        <v>1559</v>
      </c>
      <c r="G580" s="593">
        <v>35000000</v>
      </c>
      <c r="H580" s="434" t="s">
        <v>534</v>
      </c>
      <c r="I580" s="434" t="s">
        <v>534</v>
      </c>
    </row>
    <row r="581" spans="1:9" hidden="1" x14ac:dyDescent="0.4">
      <c r="A581" s="434">
        <v>1</v>
      </c>
      <c r="B581" s="434" t="s">
        <v>1557</v>
      </c>
      <c r="C581" s="434" t="s">
        <v>1439</v>
      </c>
      <c r="D581" s="434" t="s">
        <v>160</v>
      </c>
      <c r="E581" s="434" t="s">
        <v>1391</v>
      </c>
      <c r="F581" s="434" t="s">
        <v>1449</v>
      </c>
      <c r="G581" s="593">
        <v>468900</v>
      </c>
      <c r="H581" s="434" t="s">
        <v>534</v>
      </c>
      <c r="I581" s="434" t="s">
        <v>534</v>
      </c>
    </row>
    <row r="582" spans="1:9" hidden="1" x14ac:dyDescent="0.4">
      <c r="A582" s="434">
        <v>1</v>
      </c>
      <c r="B582" s="434" t="s">
        <v>1557</v>
      </c>
      <c r="C582" s="434" t="s">
        <v>1498</v>
      </c>
      <c r="D582" s="434" t="s">
        <v>197</v>
      </c>
      <c r="E582" s="434" t="s">
        <v>1406</v>
      </c>
      <c r="F582" s="434" t="s">
        <v>1560</v>
      </c>
      <c r="G582" s="593">
        <v>5974000</v>
      </c>
      <c r="H582" s="434" t="s">
        <v>1441</v>
      </c>
      <c r="I582" s="434" t="s">
        <v>1438</v>
      </c>
    </row>
    <row r="583" spans="1:9" hidden="1" x14ac:dyDescent="0.4">
      <c r="A583" s="434">
        <v>1</v>
      </c>
      <c r="B583" s="434" t="s">
        <v>1557</v>
      </c>
      <c r="C583" s="434" t="s">
        <v>1498</v>
      </c>
      <c r="D583" s="434" t="s">
        <v>218</v>
      </c>
      <c r="E583" s="434" t="s">
        <v>1410</v>
      </c>
      <c r="F583" s="434" t="s">
        <v>1560</v>
      </c>
      <c r="G583" s="593">
        <v>60000</v>
      </c>
      <c r="H583" s="434" t="s">
        <v>1441</v>
      </c>
      <c r="I583" s="434" t="s">
        <v>1438</v>
      </c>
    </row>
    <row r="584" spans="1:9" hidden="1" x14ac:dyDescent="0.4">
      <c r="A584" s="434">
        <v>1</v>
      </c>
      <c r="B584" s="434" t="s">
        <v>1557</v>
      </c>
      <c r="C584" s="434" t="s">
        <v>1498</v>
      </c>
      <c r="D584" s="434" t="s">
        <v>221</v>
      </c>
      <c r="E584" s="434" t="s">
        <v>1411</v>
      </c>
      <c r="F584" s="434" t="s">
        <v>1561</v>
      </c>
      <c r="G584" s="593">
        <v>3278943</v>
      </c>
      <c r="H584" s="434" t="s">
        <v>1441</v>
      </c>
      <c r="I584" s="434" t="s">
        <v>1438</v>
      </c>
    </row>
    <row r="585" spans="1:9" hidden="1" x14ac:dyDescent="0.4">
      <c r="A585" s="434">
        <v>1</v>
      </c>
      <c r="B585" s="434" t="s">
        <v>1557</v>
      </c>
      <c r="C585" s="434" t="s">
        <v>1498</v>
      </c>
      <c r="D585" s="434" t="s">
        <v>224</v>
      </c>
      <c r="E585" s="434" t="s">
        <v>1413</v>
      </c>
      <c r="F585" s="434" t="s">
        <v>1562</v>
      </c>
      <c r="G585" s="593">
        <v>1398740</v>
      </c>
      <c r="H585" s="434" t="s">
        <v>1441</v>
      </c>
      <c r="I585" s="434" t="s">
        <v>1438</v>
      </c>
    </row>
    <row r="586" spans="1:9" hidden="1" x14ac:dyDescent="0.4">
      <c r="A586" s="434">
        <v>2</v>
      </c>
      <c r="B586" s="434" t="s">
        <v>1563</v>
      </c>
      <c r="C586" s="434" t="s">
        <v>1436</v>
      </c>
      <c r="D586" s="434" t="s">
        <v>72</v>
      </c>
      <c r="E586" s="434" t="s">
        <v>1348</v>
      </c>
      <c r="F586" s="434" t="s">
        <v>1437</v>
      </c>
      <c r="G586" s="593">
        <v>193767900</v>
      </c>
      <c r="H586" s="434" t="s">
        <v>1438</v>
      </c>
      <c r="I586" s="434" t="s">
        <v>1438</v>
      </c>
    </row>
    <row r="587" spans="1:9" hidden="1" x14ac:dyDescent="0.4">
      <c r="A587" s="434">
        <v>2</v>
      </c>
      <c r="B587" s="434" t="s">
        <v>1563</v>
      </c>
      <c r="C587" s="434" t="s">
        <v>1436</v>
      </c>
      <c r="D587" s="434" t="s">
        <v>73</v>
      </c>
      <c r="E587" s="434" t="s">
        <v>1349</v>
      </c>
      <c r="F587" s="434" t="s">
        <v>1564</v>
      </c>
      <c r="G587" s="593">
        <v>3400700</v>
      </c>
      <c r="H587" s="434" t="s">
        <v>1438</v>
      </c>
      <c r="I587" s="434" t="s">
        <v>1438</v>
      </c>
    </row>
    <row r="588" spans="1:9" hidden="1" x14ac:dyDescent="0.4">
      <c r="A588" s="434">
        <v>2</v>
      </c>
      <c r="B588" s="434" t="s">
        <v>1563</v>
      </c>
      <c r="C588" s="434" t="s">
        <v>1436</v>
      </c>
      <c r="D588" s="434" t="s">
        <v>80</v>
      </c>
      <c r="E588" s="434" t="s">
        <v>1332</v>
      </c>
      <c r="F588" s="434" t="s">
        <v>481</v>
      </c>
      <c r="G588" s="593">
        <v>32431200</v>
      </c>
      <c r="H588" s="434" t="s">
        <v>1438</v>
      </c>
      <c r="I588" s="434" t="s">
        <v>1438</v>
      </c>
    </row>
    <row r="589" spans="1:9" hidden="1" x14ac:dyDescent="0.4">
      <c r="A589" s="434">
        <v>2</v>
      </c>
      <c r="B589" s="434" t="s">
        <v>1563</v>
      </c>
      <c r="C589" s="434" t="s">
        <v>1436</v>
      </c>
      <c r="D589" s="434" t="s">
        <v>82</v>
      </c>
      <c r="E589" s="434" t="s">
        <v>1333</v>
      </c>
      <c r="F589" s="434" t="s">
        <v>482</v>
      </c>
      <c r="G589" s="593">
        <v>51115200</v>
      </c>
      <c r="H589" s="434" t="s">
        <v>1438</v>
      </c>
      <c r="I589" s="434" t="s">
        <v>1438</v>
      </c>
    </row>
    <row r="590" spans="1:9" hidden="1" x14ac:dyDescent="0.4">
      <c r="A590" s="434">
        <v>2</v>
      </c>
      <c r="B590" s="434" t="s">
        <v>1563</v>
      </c>
      <c r="C590" s="434" t="s">
        <v>1436</v>
      </c>
      <c r="D590" s="434" t="s">
        <v>84</v>
      </c>
      <c r="E590" s="434" t="s">
        <v>1355</v>
      </c>
      <c r="F590" s="434" t="s">
        <v>483</v>
      </c>
      <c r="G590" s="593">
        <v>26823900</v>
      </c>
      <c r="H590" s="434" t="s">
        <v>1438</v>
      </c>
      <c r="I590" s="434" t="s">
        <v>1438</v>
      </c>
    </row>
    <row r="591" spans="1:9" hidden="1" x14ac:dyDescent="0.4">
      <c r="A591" s="434">
        <v>2</v>
      </c>
      <c r="B591" s="434" t="s">
        <v>1563</v>
      </c>
      <c r="C591" s="434" t="s">
        <v>1436</v>
      </c>
      <c r="D591" s="434" t="s">
        <v>86</v>
      </c>
      <c r="E591" s="434" t="s">
        <v>1356</v>
      </c>
      <c r="F591" s="434" t="s">
        <v>484</v>
      </c>
      <c r="G591" s="593">
        <v>23692500</v>
      </c>
      <c r="H591" s="434" t="s">
        <v>1438</v>
      </c>
      <c r="I591" s="434" t="s">
        <v>1438</v>
      </c>
    </row>
    <row r="592" spans="1:9" hidden="1" x14ac:dyDescent="0.4">
      <c r="A592" s="434">
        <v>2</v>
      </c>
      <c r="B592" s="434" t="s">
        <v>1563</v>
      </c>
      <c r="C592" s="434" t="s">
        <v>1436</v>
      </c>
      <c r="D592" s="434" t="s">
        <v>87</v>
      </c>
      <c r="E592" s="434" t="s">
        <v>1334</v>
      </c>
      <c r="F592" s="434" t="s">
        <v>485</v>
      </c>
      <c r="G592" s="593">
        <v>17479000</v>
      </c>
      <c r="H592" s="434" t="s">
        <v>1438</v>
      </c>
      <c r="I592" s="434" t="s">
        <v>1438</v>
      </c>
    </row>
    <row r="593" spans="1:12" hidden="1" x14ac:dyDescent="0.4">
      <c r="A593" s="434">
        <v>2</v>
      </c>
      <c r="B593" s="434" t="s">
        <v>1563</v>
      </c>
      <c r="C593" s="434" t="s">
        <v>1436</v>
      </c>
      <c r="D593" s="434" t="s">
        <v>90</v>
      </c>
      <c r="E593" s="434" t="s">
        <v>1357</v>
      </c>
      <c r="F593" s="434" t="s">
        <v>486</v>
      </c>
      <c r="G593" s="593">
        <v>29774500</v>
      </c>
      <c r="H593" s="434" t="s">
        <v>1438</v>
      </c>
      <c r="I593" s="434" t="s">
        <v>1438</v>
      </c>
    </row>
    <row r="594" spans="1:12" hidden="1" x14ac:dyDescent="0.4">
      <c r="A594" s="434">
        <v>2</v>
      </c>
      <c r="B594" s="434" t="s">
        <v>1563</v>
      </c>
      <c r="C594" s="434" t="s">
        <v>1436</v>
      </c>
      <c r="D594" s="434" t="s">
        <v>92</v>
      </c>
      <c r="E594" s="434" t="s">
        <v>1358</v>
      </c>
      <c r="F594" s="434" t="s">
        <v>487</v>
      </c>
      <c r="G594" s="593">
        <v>1609400</v>
      </c>
      <c r="H594" s="434" t="s">
        <v>1438</v>
      </c>
      <c r="I594" s="434" t="s">
        <v>1438</v>
      </c>
    </row>
    <row r="595" spans="1:12" hidden="1" x14ac:dyDescent="0.4">
      <c r="A595" s="434">
        <v>2</v>
      </c>
      <c r="B595" s="434" t="s">
        <v>1563</v>
      </c>
      <c r="C595" s="434" t="s">
        <v>1436</v>
      </c>
      <c r="D595" s="434" t="s">
        <v>93</v>
      </c>
      <c r="E595" s="434" t="s">
        <v>1359</v>
      </c>
      <c r="F595" s="434" t="s">
        <v>488</v>
      </c>
      <c r="G595" s="593">
        <v>4828300</v>
      </c>
      <c r="H595" s="434" t="s">
        <v>1438</v>
      </c>
      <c r="I595" s="434" t="s">
        <v>1438</v>
      </c>
    </row>
    <row r="596" spans="1:12" hidden="1" x14ac:dyDescent="0.4">
      <c r="A596" s="434">
        <v>2</v>
      </c>
      <c r="B596" s="434" t="s">
        <v>1563</v>
      </c>
      <c r="C596" s="434" t="s">
        <v>1436</v>
      </c>
      <c r="D596" s="434" t="s">
        <v>94</v>
      </c>
      <c r="E596" s="434" t="s">
        <v>1360</v>
      </c>
      <c r="F596" s="434" t="s">
        <v>489</v>
      </c>
      <c r="G596" s="593">
        <v>16094300</v>
      </c>
      <c r="H596" s="434" t="s">
        <v>1438</v>
      </c>
      <c r="I596" s="434" t="s">
        <v>1438</v>
      </c>
    </row>
    <row r="597" spans="1:12" hidden="1" x14ac:dyDescent="0.4">
      <c r="A597" s="434">
        <v>2</v>
      </c>
      <c r="B597" s="434" t="s">
        <v>1563</v>
      </c>
      <c r="C597" s="434" t="s">
        <v>1436</v>
      </c>
      <c r="D597" s="434" t="s">
        <v>96</v>
      </c>
      <c r="E597" s="434" t="s">
        <v>1361</v>
      </c>
      <c r="F597" s="434" t="s">
        <v>490</v>
      </c>
      <c r="G597" s="593">
        <v>1609400</v>
      </c>
      <c r="H597" s="434" t="s">
        <v>1438</v>
      </c>
      <c r="I597" s="434" t="s">
        <v>1438</v>
      </c>
    </row>
    <row r="598" spans="1:12" hidden="1" x14ac:dyDescent="0.4">
      <c r="A598" s="434">
        <v>2</v>
      </c>
      <c r="B598" s="434" t="s">
        <v>1563</v>
      </c>
      <c r="C598" s="434" t="s">
        <v>1436</v>
      </c>
      <c r="D598" s="434" t="s">
        <v>510</v>
      </c>
      <c r="E598" s="434" t="s">
        <v>1362</v>
      </c>
      <c r="F598" s="434" t="s">
        <v>491</v>
      </c>
      <c r="G598" s="593">
        <v>17446200</v>
      </c>
      <c r="H598" s="434" t="s">
        <v>1438</v>
      </c>
      <c r="I598" s="434" t="s">
        <v>1438</v>
      </c>
    </row>
    <row r="599" spans="1:12" hidden="1" x14ac:dyDescent="0.4">
      <c r="A599" s="434">
        <v>2</v>
      </c>
      <c r="B599" s="434" t="s">
        <v>1563</v>
      </c>
      <c r="C599" s="434" t="s">
        <v>1436</v>
      </c>
      <c r="D599" s="434" t="s">
        <v>100</v>
      </c>
      <c r="E599" s="434" t="s">
        <v>1363</v>
      </c>
      <c r="F599" s="434" t="s">
        <v>491</v>
      </c>
      <c r="G599" s="593">
        <v>9656600</v>
      </c>
      <c r="H599" s="434" t="s">
        <v>1438</v>
      </c>
      <c r="I599" s="434" t="s">
        <v>1438</v>
      </c>
    </row>
    <row r="600" spans="1:12" hidden="1" x14ac:dyDescent="0.4">
      <c r="A600" s="434">
        <v>2</v>
      </c>
      <c r="B600" s="434" t="s">
        <v>1563</v>
      </c>
      <c r="C600" s="434" t="s">
        <v>1436</v>
      </c>
      <c r="D600" s="434" t="s">
        <v>101</v>
      </c>
      <c r="E600" s="434" t="s">
        <v>1364</v>
      </c>
      <c r="F600" s="434" t="s">
        <v>1135</v>
      </c>
      <c r="G600" s="593">
        <v>4828300</v>
      </c>
      <c r="H600" s="434" t="s">
        <v>1438</v>
      </c>
      <c r="I600" s="434" t="s">
        <v>1438</v>
      </c>
    </row>
    <row r="601" spans="1:12" s="1448" customFormat="1" hidden="1" x14ac:dyDescent="0.4">
      <c r="A601" s="434">
        <v>2</v>
      </c>
      <c r="B601" s="1448" t="s">
        <v>1563</v>
      </c>
      <c r="C601" s="1448" t="s">
        <v>1436</v>
      </c>
      <c r="D601" s="434" t="s">
        <v>72</v>
      </c>
      <c r="F601" s="1448" t="s">
        <v>1749</v>
      </c>
      <c r="G601" s="1449">
        <v>29053100</v>
      </c>
      <c r="H601" s="1448" t="s">
        <v>534</v>
      </c>
      <c r="I601" s="1448" t="s">
        <v>534</v>
      </c>
      <c r="J601" s="1450"/>
      <c r="K601" s="1450"/>
      <c r="L601" s="1450"/>
    </row>
    <row r="602" spans="1:12" s="1448" customFormat="1" hidden="1" x14ac:dyDescent="0.4">
      <c r="A602" s="434">
        <v>2</v>
      </c>
      <c r="B602" s="1448" t="s">
        <v>1563</v>
      </c>
      <c r="C602" s="1448" t="s">
        <v>1436</v>
      </c>
      <c r="D602" s="434" t="s">
        <v>73</v>
      </c>
      <c r="F602" s="1448" t="s">
        <v>1749</v>
      </c>
      <c r="G602" s="1449">
        <v>-200</v>
      </c>
      <c r="H602" s="1448" t="s">
        <v>534</v>
      </c>
      <c r="I602" s="1448" t="s">
        <v>534</v>
      </c>
      <c r="J602" s="1450"/>
      <c r="K602" s="1450"/>
      <c r="L602" s="1450"/>
    </row>
    <row r="603" spans="1:12" s="1448" customFormat="1" hidden="1" x14ac:dyDescent="0.4">
      <c r="A603" s="434">
        <v>2</v>
      </c>
      <c r="B603" s="1448" t="s">
        <v>1563</v>
      </c>
      <c r="C603" s="1448" t="s">
        <v>1436</v>
      </c>
      <c r="D603" s="434" t="s">
        <v>80</v>
      </c>
      <c r="F603" s="1448" t="s">
        <v>1749</v>
      </c>
      <c r="G603" s="1449">
        <v>-200</v>
      </c>
      <c r="H603" s="1448" t="s">
        <v>534</v>
      </c>
      <c r="I603" s="1448" t="s">
        <v>534</v>
      </c>
      <c r="J603" s="1450"/>
      <c r="K603" s="1450"/>
      <c r="L603" s="1450"/>
    </row>
    <row r="604" spans="1:12" s="1448" customFormat="1" hidden="1" x14ac:dyDescent="0.4">
      <c r="A604" s="434">
        <v>2</v>
      </c>
      <c r="B604" s="1448" t="s">
        <v>1563</v>
      </c>
      <c r="C604" s="1448" t="s">
        <v>1436</v>
      </c>
      <c r="D604" s="434" t="s">
        <v>82</v>
      </c>
      <c r="F604" s="1448" t="s">
        <v>1749</v>
      </c>
      <c r="G604" s="1449">
        <v>-200</v>
      </c>
      <c r="H604" s="1448" t="s">
        <v>534</v>
      </c>
      <c r="I604" s="1448" t="s">
        <v>534</v>
      </c>
      <c r="J604" s="1450"/>
      <c r="K604" s="1450"/>
      <c r="L604" s="1450"/>
    </row>
    <row r="605" spans="1:12" s="1448" customFormat="1" hidden="1" x14ac:dyDescent="0.4">
      <c r="A605" s="434">
        <v>2</v>
      </c>
      <c r="B605" s="1448" t="s">
        <v>1563</v>
      </c>
      <c r="C605" s="1448" t="s">
        <v>1436</v>
      </c>
      <c r="D605" s="434" t="s">
        <v>84</v>
      </c>
      <c r="F605" s="1448" t="s">
        <v>1749</v>
      </c>
      <c r="G605" s="1449">
        <v>2358600</v>
      </c>
      <c r="H605" s="1448" t="s">
        <v>534</v>
      </c>
      <c r="I605" s="1448" t="s">
        <v>534</v>
      </c>
      <c r="J605" s="1450"/>
      <c r="K605" s="1450"/>
      <c r="L605" s="1450"/>
    </row>
    <row r="606" spans="1:12" s="1448" customFormat="1" hidden="1" x14ac:dyDescent="0.4">
      <c r="A606" s="434">
        <v>2</v>
      </c>
      <c r="B606" s="1448" t="s">
        <v>1563</v>
      </c>
      <c r="C606" s="1448" t="s">
        <v>1436</v>
      </c>
      <c r="D606" s="434" t="s">
        <v>86</v>
      </c>
      <c r="F606" s="1448" t="s">
        <v>1749</v>
      </c>
      <c r="G606" s="1449">
        <v>2420000</v>
      </c>
      <c r="H606" s="1448" t="s">
        <v>534</v>
      </c>
      <c r="I606" s="1448" t="s">
        <v>534</v>
      </c>
      <c r="J606" s="1450"/>
      <c r="K606" s="1450"/>
      <c r="L606" s="1450"/>
    </row>
    <row r="607" spans="1:12" s="1448" customFormat="1" hidden="1" x14ac:dyDescent="0.4">
      <c r="A607" s="434">
        <v>2</v>
      </c>
      <c r="B607" s="1448" t="s">
        <v>1563</v>
      </c>
      <c r="C607" s="1448" t="s">
        <v>1436</v>
      </c>
      <c r="D607" s="434" t="s">
        <v>87</v>
      </c>
      <c r="F607" s="1448" t="s">
        <v>1749</v>
      </c>
      <c r="G607" s="1449">
        <v>-3168000</v>
      </c>
      <c r="H607" s="1448" t="s">
        <v>534</v>
      </c>
      <c r="I607" s="1448" t="s">
        <v>534</v>
      </c>
      <c r="J607" s="1450"/>
      <c r="K607" s="1450"/>
      <c r="L607" s="1450"/>
    </row>
    <row r="608" spans="1:12" s="1448" customFormat="1" hidden="1" x14ac:dyDescent="0.4">
      <c r="A608" s="434">
        <v>2</v>
      </c>
      <c r="B608" s="1448" t="s">
        <v>1563</v>
      </c>
      <c r="C608" s="1448" t="s">
        <v>1436</v>
      </c>
      <c r="D608" s="434" t="s">
        <v>90</v>
      </c>
      <c r="F608" s="1448" t="s">
        <v>1749</v>
      </c>
      <c r="G608" s="1449">
        <v>2618000</v>
      </c>
      <c r="H608" s="1448" t="s">
        <v>534</v>
      </c>
      <c r="I608" s="1448" t="s">
        <v>534</v>
      </c>
      <c r="J608" s="1450"/>
      <c r="K608" s="1450"/>
      <c r="L608" s="1450"/>
    </row>
    <row r="609" spans="1:12" s="1448" customFormat="1" hidden="1" x14ac:dyDescent="0.4">
      <c r="A609" s="434">
        <v>2</v>
      </c>
      <c r="B609" s="1448" t="s">
        <v>1563</v>
      </c>
      <c r="C609" s="1448" t="s">
        <v>1436</v>
      </c>
      <c r="D609" s="434" t="s">
        <v>92</v>
      </c>
      <c r="F609" s="1448" t="s">
        <v>1749</v>
      </c>
      <c r="G609" s="1449">
        <v>141600</v>
      </c>
      <c r="H609" s="1448" t="s">
        <v>534</v>
      </c>
      <c r="I609" s="1448" t="s">
        <v>534</v>
      </c>
      <c r="J609" s="1450"/>
      <c r="K609" s="1450"/>
      <c r="L609" s="1450"/>
    </row>
    <row r="610" spans="1:12" s="1448" customFormat="1" hidden="1" x14ac:dyDescent="0.4">
      <c r="A610" s="434">
        <v>2</v>
      </c>
      <c r="B610" s="1448" t="s">
        <v>1563</v>
      </c>
      <c r="C610" s="1448" t="s">
        <v>1436</v>
      </c>
      <c r="D610" s="434" t="s">
        <v>93</v>
      </c>
      <c r="F610" s="1448" t="s">
        <v>1749</v>
      </c>
      <c r="G610" s="1449">
        <v>424700</v>
      </c>
      <c r="H610" s="1448" t="s">
        <v>534</v>
      </c>
      <c r="I610" s="1448" t="s">
        <v>534</v>
      </c>
      <c r="J610" s="1450"/>
      <c r="K610" s="1450"/>
      <c r="L610" s="1450"/>
    </row>
    <row r="611" spans="1:12" s="1448" customFormat="1" hidden="1" x14ac:dyDescent="0.4">
      <c r="A611" s="434">
        <v>2</v>
      </c>
      <c r="B611" s="1448" t="s">
        <v>1563</v>
      </c>
      <c r="C611" s="1448" t="s">
        <v>1436</v>
      </c>
      <c r="D611" s="434" t="s">
        <v>94</v>
      </c>
      <c r="F611" s="1448" t="s">
        <v>1749</v>
      </c>
      <c r="G611" s="1449">
        <v>1415200</v>
      </c>
      <c r="H611" s="1448" t="s">
        <v>534</v>
      </c>
      <c r="I611" s="1448" t="s">
        <v>534</v>
      </c>
      <c r="J611" s="1450"/>
      <c r="K611" s="1450"/>
      <c r="L611" s="1450"/>
    </row>
    <row r="612" spans="1:12" s="1448" customFormat="1" hidden="1" x14ac:dyDescent="0.4">
      <c r="A612" s="434">
        <v>2</v>
      </c>
      <c r="B612" s="1448" t="s">
        <v>1563</v>
      </c>
      <c r="C612" s="1448" t="s">
        <v>1436</v>
      </c>
      <c r="D612" s="434" t="s">
        <v>96</v>
      </c>
      <c r="F612" s="1448" t="s">
        <v>1749</v>
      </c>
      <c r="G612" s="1449">
        <v>141600</v>
      </c>
      <c r="H612" s="1448" t="s">
        <v>534</v>
      </c>
      <c r="I612" s="1448" t="s">
        <v>534</v>
      </c>
      <c r="J612" s="1450"/>
      <c r="K612" s="1450"/>
      <c r="L612" s="1450"/>
    </row>
    <row r="613" spans="1:12" s="1448" customFormat="1" hidden="1" x14ac:dyDescent="0.4">
      <c r="A613" s="434">
        <v>2</v>
      </c>
      <c r="B613" s="1448" t="s">
        <v>1563</v>
      </c>
      <c r="C613" s="1448" t="s">
        <v>1436</v>
      </c>
      <c r="D613" s="434" t="s">
        <v>510</v>
      </c>
      <c r="F613" s="1448" t="s">
        <v>1749</v>
      </c>
      <c r="G613" s="1449">
        <v>1534300</v>
      </c>
      <c r="H613" s="1448" t="s">
        <v>534</v>
      </c>
      <c r="I613" s="1448" t="s">
        <v>534</v>
      </c>
      <c r="J613" s="1450"/>
      <c r="K613" s="1450"/>
      <c r="L613" s="1450"/>
    </row>
    <row r="614" spans="1:12" s="1448" customFormat="1" hidden="1" x14ac:dyDescent="0.4">
      <c r="A614" s="434">
        <v>2</v>
      </c>
      <c r="B614" s="1448" t="s">
        <v>1563</v>
      </c>
      <c r="C614" s="1448" t="s">
        <v>1436</v>
      </c>
      <c r="D614" s="434" t="s">
        <v>100</v>
      </c>
      <c r="F614" s="1448" t="s">
        <v>1749</v>
      </c>
      <c r="G614" s="1449">
        <v>849400</v>
      </c>
      <c r="H614" s="1448" t="s">
        <v>534</v>
      </c>
      <c r="I614" s="1448" t="s">
        <v>534</v>
      </c>
      <c r="J614" s="1450"/>
      <c r="K614" s="1450"/>
      <c r="L614" s="1450"/>
    </row>
    <row r="615" spans="1:12" s="1448" customFormat="1" hidden="1" x14ac:dyDescent="0.4">
      <c r="A615" s="434">
        <v>2</v>
      </c>
      <c r="B615" s="1448" t="s">
        <v>1563</v>
      </c>
      <c r="C615" s="1448" t="s">
        <v>1436</v>
      </c>
      <c r="D615" s="434" t="s">
        <v>101</v>
      </c>
      <c r="F615" s="1448" t="s">
        <v>1749</v>
      </c>
      <c r="G615" s="1449">
        <v>424700</v>
      </c>
      <c r="H615" s="1448" t="s">
        <v>534</v>
      </c>
      <c r="I615" s="1448" t="s">
        <v>534</v>
      </c>
      <c r="J615" s="1450"/>
      <c r="K615" s="1450"/>
      <c r="L615" s="1450"/>
    </row>
    <row r="616" spans="1:12" hidden="1" x14ac:dyDescent="0.4">
      <c r="A616" s="434">
        <v>2</v>
      </c>
      <c r="B616" s="434" t="s">
        <v>1563</v>
      </c>
      <c r="C616" s="434" t="s">
        <v>1439</v>
      </c>
      <c r="D616" s="434" t="s">
        <v>106</v>
      </c>
      <c r="E616" s="434" t="s">
        <v>1366</v>
      </c>
      <c r="F616" s="434" t="s">
        <v>1459</v>
      </c>
      <c r="G616" s="593">
        <v>7465900</v>
      </c>
      <c r="H616" s="434" t="s">
        <v>1441</v>
      </c>
      <c r="I616" s="434" t="s">
        <v>1438</v>
      </c>
    </row>
    <row r="617" spans="1:12" hidden="1" x14ac:dyDescent="0.4">
      <c r="A617" s="434">
        <v>2</v>
      </c>
      <c r="B617" s="434" t="s">
        <v>1563</v>
      </c>
      <c r="C617" s="434" t="s">
        <v>1439</v>
      </c>
      <c r="D617" s="434" t="s">
        <v>116</v>
      </c>
      <c r="E617" s="434" t="s">
        <v>1370</v>
      </c>
      <c r="F617" s="434" t="s">
        <v>1442</v>
      </c>
      <c r="G617" s="593">
        <v>302700</v>
      </c>
      <c r="H617" s="434" t="s">
        <v>1441</v>
      </c>
      <c r="I617" s="434" t="s">
        <v>1438</v>
      </c>
    </row>
    <row r="618" spans="1:12" hidden="1" x14ac:dyDescent="0.4">
      <c r="A618" s="434">
        <v>2</v>
      </c>
      <c r="B618" s="434" t="s">
        <v>1563</v>
      </c>
      <c r="C618" s="434" t="s">
        <v>1439</v>
      </c>
      <c r="D618" s="434" t="s">
        <v>118</v>
      </c>
      <c r="E618" s="434" t="s">
        <v>1371</v>
      </c>
      <c r="F618" s="434" t="s">
        <v>1443</v>
      </c>
      <c r="G618" s="593">
        <v>1070600</v>
      </c>
      <c r="H618" s="434" t="s">
        <v>1441</v>
      </c>
      <c r="I618" s="434" t="s">
        <v>1438</v>
      </c>
    </row>
    <row r="619" spans="1:12" x14ac:dyDescent="0.4">
      <c r="A619" s="434">
        <v>2</v>
      </c>
      <c r="B619" s="434" t="s">
        <v>1563</v>
      </c>
      <c r="C619" s="434" t="s">
        <v>1439</v>
      </c>
      <c r="D619" s="434" t="s">
        <v>326</v>
      </c>
      <c r="E619" s="434" t="s">
        <v>1373</v>
      </c>
      <c r="F619" s="434" t="s">
        <v>1444</v>
      </c>
      <c r="G619" s="593">
        <v>463300</v>
      </c>
      <c r="H619" s="434" t="s">
        <v>534</v>
      </c>
      <c r="I619" s="434" t="s">
        <v>534</v>
      </c>
    </row>
    <row r="620" spans="1:12" hidden="1" x14ac:dyDescent="0.4">
      <c r="A620" s="434">
        <v>2</v>
      </c>
      <c r="B620" s="434" t="s">
        <v>1563</v>
      </c>
      <c r="C620" s="434" t="s">
        <v>1439</v>
      </c>
      <c r="D620" s="434" t="s">
        <v>145</v>
      </c>
      <c r="E620" s="434" t="s">
        <v>1385</v>
      </c>
      <c r="F620" s="434" t="s">
        <v>1448</v>
      </c>
      <c r="G620" s="593">
        <v>2196400</v>
      </c>
      <c r="H620" s="434" t="s">
        <v>534</v>
      </c>
      <c r="I620" s="434" t="s">
        <v>534</v>
      </c>
    </row>
    <row r="621" spans="1:12" hidden="1" x14ac:dyDescent="0.4">
      <c r="A621" s="434">
        <v>2</v>
      </c>
      <c r="B621" s="434" t="s">
        <v>1563</v>
      </c>
      <c r="C621" s="434" t="s">
        <v>1439</v>
      </c>
      <c r="D621" s="434" t="s">
        <v>147</v>
      </c>
      <c r="E621" s="434" t="s">
        <v>1386</v>
      </c>
      <c r="F621" s="434" t="s">
        <v>1565</v>
      </c>
      <c r="G621" s="593">
        <v>60800000</v>
      </c>
      <c r="H621" s="434" t="s">
        <v>534</v>
      </c>
      <c r="I621" s="434" t="s">
        <v>534</v>
      </c>
    </row>
    <row r="622" spans="1:12" hidden="1" x14ac:dyDescent="0.4">
      <c r="A622" s="434">
        <v>2</v>
      </c>
      <c r="B622" s="434" t="s">
        <v>1563</v>
      </c>
      <c r="C622" s="434" t="s">
        <v>1439</v>
      </c>
      <c r="D622" s="434" t="s">
        <v>155</v>
      </c>
      <c r="E622" s="434" t="s">
        <v>1389</v>
      </c>
      <c r="F622" s="434" t="s">
        <v>1566</v>
      </c>
      <c r="G622" s="593">
        <v>1750000</v>
      </c>
      <c r="H622" s="434" t="s">
        <v>534</v>
      </c>
      <c r="I622" s="434" t="s">
        <v>534</v>
      </c>
    </row>
    <row r="623" spans="1:12" hidden="1" x14ac:dyDescent="0.4">
      <c r="A623" s="434">
        <v>2</v>
      </c>
      <c r="B623" s="434" t="s">
        <v>1563</v>
      </c>
      <c r="C623" s="434" t="s">
        <v>1439</v>
      </c>
      <c r="D623" s="434" t="s">
        <v>157</v>
      </c>
      <c r="E623" s="434" t="s">
        <v>1390</v>
      </c>
      <c r="F623" s="434" t="s">
        <v>1566</v>
      </c>
      <c r="G623" s="593">
        <v>1700000</v>
      </c>
      <c r="H623" s="434" t="s">
        <v>534</v>
      </c>
      <c r="I623" s="434" t="s">
        <v>534</v>
      </c>
    </row>
    <row r="624" spans="1:12" hidden="1" x14ac:dyDescent="0.4">
      <c r="A624" s="434">
        <v>2</v>
      </c>
      <c r="B624" s="434" t="s">
        <v>1563</v>
      </c>
      <c r="C624" s="434" t="s">
        <v>1439</v>
      </c>
      <c r="D624" s="434" t="s">
        <v>160</v>
      </c>
      <c r="E624" s="434" t="s">
        <v>1391</v>
      </c>
      <c r="F624" s="434" t="s">
        <v>1449</v>
      </c>
      <c r="G624" s="593">
        <v>2100400</v>
      </c>
      <c r="H624" s="434" t="s">
        <v>534</v>
      </c>
      <c r="I624" s="434" t="s">
        <v>534</v>
      </c>
    </row>
    <row r="625" spans="1:12" hidden="1" x14ac:dyDescent="0.4">
      <c r="A625" s="434">
        <v>2</v>
      </c>
      <c r="B625" s="434" t="s">
        <v>1563</v>
      </c>
      <c r="C625" s="434" t="s">
        <v>1439</v>
      </c>
      <c r="D625" s="434" t="s">
        <v>164</v>
      </c>
      <c r="E625" s="434" t="s">
        <v>1392</v>
      </c>
      <c r="F625" s="434" t="s">
        <v>1567</v>
      </c>
      <c r="G625" s="593">
        <v>1000000</v>
      </c>
      <c r="H625" s="434" t="s">
        <v>534</v>
      </c>
      <c r="I625" s="434" t="s">
        <v>534</v>
      </c>
    </row>
    <row r="626" spans="1:12" hidden="1" x14ac:dyDescent="0.4">
      <c r="A626" s="434">
        <v>3</v>
      </c>
      <c r="B626" s="434" t="s">
        <v>1568</v>
      </c>
      <c r="C626" s="434" t="s">
        <v>1436</v>
      </c>
      <c r="D626" s="434" t="s">
        <v>72</v>
      </c>
      <c r="E626" s="434" t="s">
        <v>1348</v>
      </c>
      <c r="F626" s="434" t="s">
        <v>1437</v>
      </c>
      <c r="G626" s="593">
        <v>74047700</v>
      </c>
      <c r="H626" s="434" t="s">
        <v>1438</v>
      </c>
      <c r="I626" s="434" t="s">
        <v>1438</v>
      </c>
    </row>
    <row r="627" spans="1:12" hidden="1" x14ac:dyDescent="0.4">
      <c r="A627" s="434">
        <v>3</v>
      </c>
      <c r="B627" s="434" t="s">
        <v>1568</v>
      </c>
      <c r="C627" s="434" t="s">
        <v>1436</v>
      </c>
      <c r="D627" s="434" t="s">
        <v>80</v>
      </c>
      <c r="E627" s="434" t="s">
        <v>1332</v>
      </c>
      <c r="F627" s="434" t="s">
        <v>481</v>
      </c>
      <c r="G627" s="593">
        <v>10042700</v>
      </c>
      <c r="H627" s="434" t="s">
        <v>1438</v>
      </c>
      <c r="I627" s="434" t="s">
        <v>1438</v>
      </c>
    </row>
    <row r="628" spans="1:12" hidden="1" x14ac:dyDescent="0.4">
      <c r="A628" s="434">
        <v>3</v>
      </c>
      <c r="B628" s="434" t="s">
        <v>1568</v>
      </c>
      <c r="C628" s="434" t="s">
        <v>1436</v>
      </c>
      <c r="D628" s="434" t="s">
        <v>82</v>
      </c>
      <c r="E628" s="434" t="s">
        <v>1333</v>
      </c>
      <c r="F628" s="434" t="s">
        <v>482</v>
      </c>
      <c r="G628" s="593">
        <v>10283300</v>
      </c>
      <c r="H628" s="434" t="s">
        <v>1438</v>
      </c>
      <c r="I628" s="434" t="s">
        <v>1438</v>
      </c>
    </row>
    <row r="629" spans="1:12" hidden="1" x14ac:dyDescent="0.4">
      <c r="A629" s="434">
        <v>3</v>
      </c>
      <c r="B629" s="434" t="s">
        <v>1568</v>
      </c>
      <c r="C629" s="434" t="s">
        <v>1436</v>
      </c>
      <c r="D629" s="434" t="s">
        <v>84</v>
      </c>
      <c r="E629" s="434" t="s">
        <v>1355</v>
      </c>
      <c r="F629" s="434" t="s">
        <v>483</v>
      </c>
      <c r="G629" s="593">
        <v>8809700</v>
      </c>
      <c r="H629" s="434" t="s">
        <v>1438</v>
      </c>
      <c r="I629" s="434" t="s">
        <v>1438</v>
      </c>
    </row>
    <row r="630" spans="1:12" hidden="1" x14ac:dyDescent="0.4">
      <c r="A630" s="434">
        <v>3</v>
      </c>
      <c r="B630" s="434" t="s">
        <v>1568</v>
      </c>
      <c r="C630" s="434" t="s">
        <v>1436</v>
      </c>
      <c r="D630" s="434" t="s">
        <v>86</v>
      </c>
      <c r="E630" s="434" t="s">
        <v>1356</v>
      </c>
      <c r="F630" s="434" t="s">
        <v>484</v>
      </c>
      <c r="G630" s="593">
        <v>8056500</v>
      </c>
      <c r="H630" s="434" t="s">
        <v>1438</v>
      </c>
      <c r="I630" s="434" t="s">
        <v>1438</v>
      </c>
    </row>
    <row r="631" spans="1:12" hidden="1" x14ac:dyDescent="0.4">
      <c r="A631" s="434">
        <v>3</v>
      </c>
      <c r="B631" s="434" t="s">
        <v>1568</v>
      </c>
      <c r="C631" s="434" t="s">
        <v>1436</v>
      </c>
      <c r="D631" s="434" t="s">
        <v>87</v>
      </c>
      <c r="E631" s="434" t="s">
        <v>1334</v>
      </c>
      <c r="F631" s="434" t="s">
        <v>485</v>
      </c>
      <c r="G631" s="593">
        <v>3286800</v>
      </c>
      <c r="H631" s="434" t="s">
        <v>1438</v>
      </c>
      <c r="I631" s="434" t="s">
        <v>1438</v>
      </c>
    </row>
    <row r="632" spans="1:12" hidden="1" x14ac:dyDescent="0.4">
      <c r="A632" s="434">
        <v>3</v>
      </c>
      <c r="B632" s="434" t="s">
        <v>1568</v>
      </c>
      <c r="C632" s="434" t="s">
        <v>1436</v>
      </c>
      <c r="D632" s="434" t="s">
        <v>90</v>
      </c>
      <c r="E632" s="434" t="s">
        <v>1357</v>
      </c>
      <c r="F632" s="434" t="s">
        <v>486</v>
      </c>
      <c r="G632" s="593">
        <v>9778800</v>
      </c>
      <c r="H632" s="434" t="s">
        <v>1438</v>
      </c>
      <c r="I632" s="434" t="s">
        <v>1438</v>
      </c>
    </row>
    <row r="633" spans="1:12" hidden="1" x14ac:dyDescent="0.4">
      <c r="A633" s="434">
        <v>3</v>
      </c>
      <c r="B633" s="434" t="s">
        <v>1568</v>
      </c>
      <c r="C633" s="434" t="s">
        <v>1436</v>
      </c>
      <c r="D633" s="434" t="s">
        <v>92</v>
      </c>
      <c r="E633" s="434" t="s">
        <v>1358</v>
      </c>
      <c r="F633" s="434" t="s">
        <v>487</v>
      </c>
      <c r="G633" s="593">
        <v>528600</v>
      </c>
      <c r="H633" s="434" t="s">
        <v>1438</v>
      </c>
      <c r="I633" s="434" t="s">
        <v>1438</v>
      </c>
    </row>
    <row r="634" spans="1:12" hidden="1" x14ac:dyDescent="0.4">
      <c r="A634" s="434">
        <v>3</v>
      </c>
      <c r="B634" s="434" t="s">
        <v>1568</v>
      </c>
      <c r="C634" s="434" t="s">
        <v>1436</v>
      </c>
      <c r="D634" s="434" t="s">
        <v>93</v>
      </c>
      <c r="E634" s="434" t="s">
        <v>1359</v>
      </c>
      <c r="F634" s="434" t="s">
        <v>488</v>
      </c>
      <c r="G634" s="593">
        <v>1585800</v>
      </c>
      <c r="H634" s="434" t="s">
        <v>1438</v>
      </c>
      <c r="I634" s="434" t="s">
        <v>1438</v>
      </c>
    </row>
    <row r="635" spans="1:12" hidden="1" x14ac:dyDescent="0.4">
      <c r="A635" s="434">
        <v>3</v>
      </c>
      <c r="B635" s="434" t="s">
        <v>1568</v>
      </c>
      <c r="C635" s="434" t="s">
        <v>1436</v>
      </c>
      <c r="D635" s="434" t="s">
        <v>94</v>
      </c>
      <c r="E635" s="434" t="s">
        <v>1360</v>
      </c>
      <c r="F635" s="434" t="s">
        <v>489</v>
      </c>
      <c r="G635" s="593">
        <v>5285800</v>
      </c>
      <c r="H635" s="434" t="s">
        <v>1438</v>
      </c>
      <c r="I635" s="434" t="s">
        <v>1438</v>
      </c>
    </row>
    <row r="636" spans="1:12" hidden="1" x14ac:dyDescent="0.4">
      <c r="A636" s="434">
        <v>3</v>
      </c>
      <c r="B636" s="434" t="s">
        <v>1568</v>
      </c>
      <c r="C636" s="434" t="s">
        <v>1436</v>
      </c>
      <c r="D636" s="434" t="s">
        <v>96</v>
      </c>
      <c r="E636" s="434" t="s">
        <v>1361</v>
      </c>
      <c r="F636" s="434" t="s">
        <v>490</v>
      </c>
      <c r="G636" s="593">
        <v>528600</v>
      </c>
      <c r="H636" s="434" t="s">
        <v>1438</v>
      </c>
      <c r="I636" s="434" t="s">
        <v>1438</v>
      </c>
    </row>
    <row r="637" spans="1:12" hidden="1" x14ac:dyDescent="0.4">
      <c r="A637" s="434">
        <v>3</v>
      </c>
      <c r="B637" s="434" t="s">
        <v>1568</v>
      </c>
      <c r="C637" s="434" t="s">
        <v>1436</v>
      </c>
      <c r="D637" s="434" t="s">
        <v>510</v>
      </c>
      <c r="E637" s="434" t="s">
        <v>1362</v>
      </c>
      <c r="F637" s="434" t="s">
        <v>491</v>
      </c>
      <c r="G637" s="593">
        <v>5729900</v>
      </c>
      <c r="H637" s="434" t="s">
        <v>1438</v>
      </c>
      <c r="I637" s="434" t="s">
        <v>1438</v>
      </c>
    </row>
    <row r="638" spans="1:12" hidden="1" x14ac:dyDescent="0.4">
      <c r="A638" s="434">
        <v>3</v>
      </c>
      <c r="B638" s="434" t="s">
        <v>1568</v>
      </c>
      <c r="C638" s="434" t="s">
        <v>1436</v>
      </c>
      <c r="D638" s="434" t="s">
        <v>100</v>
      </c>
      <c r="E638" s="434" t="s">
        <v>1363</v>
      </c>
      <c r="F638" s="434" t="s">
        <v>491</v>
      </c>
      <c r="G638" s="593">
        <v>3171500</v>
      </c>
      <c r="H638" s="434" t="s">
        <v>1438</v>
      </c>
      <c r="I638" s="434" t="s">
        <v>1438</v>
      </c>
    </row>
    <row r="639" spans="1:12" hidden="1" x14ac:dyDescent="0.4">
      <c r="A639" s="434">
        <v>3</v>
      </c>
      <c r="B639" s="434" t="s">
        <v>1568</v>
      </c>
      <c r="C639" s="434" t="s">
        <v>1436</v>
      </c>
      <c r="D639" s="434" t="s">
        <v>101</v>
      </c>
      <c r="E639" s="434" t="s">
        <v>1364</v>
      </c>
      <c r="F639" s="434" t="s">
        <v>1135</v>
      </c>
      <c r="G639" s="593">
        <v>1585800</v>
      </c>
      <c r="H639" s="434" t="s">
        <v>1438</v>
      </c>
      <c r="I639" s="434" t="s">
        <v>1438</v>
      </c>
    </row>
    <row r="640" spans="1:12" s="1448" customFormat="1" hidden="1" x14ac:dyDescent="0.4">
      <c r="A640" s="434">
        <v>3</v>
      </c>
      <c r="B640" s="1448" t="s">
        <v>1568</v>
      </c>
      <c r="C640" s="1448" t="s">
        <v>1436</v>
      </c>
      <c r="D640" s="434" t="s">
        <v>72</v>
      </c>
      <c r="F640" s="1448" t="s">
        <v>1749</v>
      </c>
      <c r="G640" s="1449">
        <v>28533300</v>
      </c>
      <c r="H640" s="1448" t="s">
        <v>534</v>
      </c>
      <c r="I640" s="1448" t="s">
        <v>534</v>
      </c>
      <c r="J640" s="1450"/>
      <c r="K640" s="1450"/>
      <c r="L640" s="1450"/>
    </row>
    <row r="641" spans="1:12" s="1448" customFormat="1" hidden="1" x14ac:dyDescent="0.4">
      <c r="A641" s="434">
        <v>3</v>
      </c>
      <c r="B641" s="1448" t="s">
        <v>1568</v>
      </c>
      <c r="C641" s="1448" t="s">
        <v>1436</v>
      </c>
      <c r="D641" s="434" t="s">
        <v>80</v>
      </c>
      <c r="F641" s="1448" t="s">
        <v>1749</v>
      </c>
      <c r="G641" s="1449">
        <v>-200</v>
      </c>
      <c r="H641" s="1448" t="s">
        <v>534</v>
      </c>
      <c r="I641" s="1448" t="s">
        <v>534</v>
      </c>
      <c r="J641" s="1450"/>
      <c r="K641" s="1450"/>
      <c r="L641" s="1450"/>
    </row>
    <row r="642" spans="1:12" s="1448" customFormat="1" hidden="1" x14ac:dyDescent="0.4">
      <c r="A642" s="434">
        <v>3</v>
      </c>
      <c r="B642" s="1448" t="s">
        <v>1568</v>
      </c>
      <c r="C642" s="1448" t="s">
        <v>1436</v>
      </c>
      <c r="D642" s="434" t="s">
        <v>82</v>
      </c>
      <c r="F642" s="1448" t="s">
        <v>1749</v>
      </c>
      <c r="G642" s="1449">
        <v>200</v>
      </c>
      <c r="H642" s="1448" t="s">
        <v>534</v>
      </c>
      <c r="I642" s="1448" t="s">
        <v>534</v>
      </c>
      <c r="J642" s="1450"/>
      <c r="K642" s="1450"/>
      <c r="L642" s="1450"/>
    </row>
    <row r="643" spans="1:12" s="1448" customFormat="1" hidden="1" x14ac:dyDescent="0.4">
      <c r="A643" s="434">
        <v>3</v>
      </c>
      <c r="B643" s="1448" t="s">
        <v>1568</v>
      </c>
      <c r="C643" s="1448" t="s">
        <v>1436</v>
      </c>
      <c r="D643" s="434" t="s">
        <v>84</v>
      </c>
      <c r="F643" s="1448" t="s">
        <v>1749</v>
      </c>
      <c r="G643" s="1449">
        <v>2575800</v>
      </c>
      <c r="H643" s="1448" t="s">
        <v>534</v>
      </c>
      <c r="I643" s="1448" t="s">
        <v>534</v>
      </c>
      <c r="J643" s="1450"/>
      <c r="K643" s="1450"/>
      <c r="L643" s="1450"/>
    </row>
    <row r="644" spans="1:12" s="1448" customFormat="1" hidden="1" x14ac:dyDescent="0.4">
      <c r="A644" s="434">
        <v>3</v>
      </c>
      <c r="B644" s="1448" t="s">
        <v>1568</v>
      </c>
      <c r="C644" s="1448" t="s">
        <v>1436</v>
      </c>
      <c r="D644" s="434" t="s">
        <v>86</v>
      </c>
      <c r="F644" s="1448" t="s">
        <v>1749</v>
      </c>
      <c r="G644" s="1449">
        <v>2377000</v>
      </c>
      <c r="H644" s="1448" t="s">
        <v>534</v>
      </c>
      <c r="I644" s="1448" t="s">
        <v>534</v>
      </c>
      <c r="J644" s="1450"/>
      <c r="K644" s="1450"/>
      <c r="L644" s="1450"/>
    </row>
    <row r="645" spans="1:12" s="1448" customFormat="1" hidden="1" x14ac:dyDescent="0.4">
      <c r="A645" s="434">
        <v>3</v>
      </c>
      <c r="B645" s="1448" t="s">
        <v>1568</v>
      </c>
      <c r="C645" s="1448" t="s">
        <v>1436</v>
      </c>
      <c r="D645" s="434" t="s">
        <v>87</v>
      </c>
      <c r="F645" s="1448" t="s">
        <v>1749</v>
      </c>
      <c r="G645" s="1449">
        <v>200</v>
      </c>
      <c r="H645" s="1448" t="s">
        <v>534</v>
      </c>
      <c r="I645" s="1448" t="s">
        <v>534</v>
      </c>
      <c r="J645" s="1450"/>
      <c r="K645" s="1450"/>
      <c r="L645" s="1450"/>
    </row>
    <row r="646" spans="1:12" s="1448" customFormat="1" hidden="1" x14ac:dyDescent="0.4">
      <c r="A646" s="434">
        <v>3</v>
      </c>
      <c r="B646" s="1448" t="s">
        <v>1568</v>
      </c>
      <c r="C646" s="1448" t="s">
        <v>1436</v>
      </c>
      <c r="D646" s="434" t="s">
        <v>90</v>
      </c>
      <c r="F646" s="1448" t="s">
        <v>1749</v>
      </c>
      <c r="G646" s="1449">
        <v>2859200</v>
      </c>
      <c r="H646" s="1448" t="s">
        <v>534</v>
      </c>
      <c r="I646" s="1448" t="s">
        <v>534</v>
      </c>
      <c r="J646" s="1450"/>
      <c r="K646" s="1450"/>
      <c r="L646" s="1450"/>
    </row>
    <row r="647" spans="1:12" s="1448" customFormat="1" hidden="1" x14ac:dyDescent="0.4">
      <c r="A647" s="434">
        <v>3</v>
      </c>
      <c r="B647" s="1448" t="s">
        <v>1568</v>
      </c>
      <c r="C647" s="1448" t="s">
        <v>1436</v>
      </c>
      <c r="D647" s="434" t="s">
        <v>92</v>
      </c>
      <c r="F647" s="1448" t="s">
        <v>1749</v>
      </c>
      <c r="G647" s="1449">
        <v>154400</v>
      </c>
      <c r="H647" s="1448" t="s">
        <v>534</v>
      </c>
      <c r="I647" s="1448" t="s">
        <v>534</v>
      </c>
      <c r="J647" s="1450"/>
      <c r="K647" s="1450"/>
      <c r="L647" s="1450"/>
    </row>
    <row r="648" spans="1:12" s="1448" customFormat="1" hidden="1" x14ac:dyDescent="0.4">
      <c r="A648" s="434">
        <v>3</v>
      </c>
      <c r="B648" s="1448" t="s">
        <v>1568</v>
      </c>
      <c r="C648" s="1448" t="s">
        <v>1436</v>
      </c>
      <c r="D648" s="434" t="s">
        <v>93</v>
      </c>
      <c r="F648" s="1448" t="s">
        <v>1749</v>
      </c>
      <c r="G648" s="1449">
        <v>463700</v>
      </c>
      <c r="H648" s="1448" t="s">
        <v>534</v>
      </c>
      <c r="I648" s="1448" t="s">
        <v>534</v>
      </c>
      <c r="J648" s="1450"/>
      <c r="K648" s="1450"/>
      <c r="L648" s="1450"/>
    </row>
    <row r="649" spans="1:12" s="1448" customFormat="1" hidden="1" x14ac:dyDescent="0.4">
      <c r="A649" s="434">
        <v>3</v>
      </c>
      <c r="B649" s="1448" t="s">
        <v>1568</v>
      </c>
      <c r="C649" s="1448" t="s">
        <v>1436</v>
      </c>
      <c r="D649" s="434" t="s">
        <v>94</v>
      </c>
      <c r="F649" s="1448" t="s">
        <v>1749</v>
      </c>
      <c r="G649" s="1449">
        <v>1545700</v>
      </c>
      <c r="H649" s="1448" t="s">
        <v>534</v>
      </c>
      <c r="I649" s="1448" t="s">
        <v>534</v>
      </c>
      <c r="J649" s="1450"/>
      <c r="K649" s="1450"/>
      <c r="L649" s="1450"/>
    </row>
    <row r="650" spans="1:12" s="1448" customFormat="1" hidden="1" x14ac:dyDescent="0.4">
      <c r="A650" s="434">
        <v>3</v>
      </c>
      <c r="B650" s="1448" t="s">
        <v>1568</v>
      </c>
      <c r="C650" s="1448" t="s">
        <v>1436</v>
      </c>
      <c r="D650" s="434" t="s">
        <v>96</v>
      </c>
      <c r="F650" s="1448" t="s">
        <v>1749</v>
      </c>
      <c r="G650" s="1449">
        <v>154400</v>
      </c>
      <c r="H650" s="1448" t="s">
        <v>534</v>
      </c>
      <c r="I650" s="1448" t="s">
        <v>534</v>
      </c>
      <c r="J650" s="1450"/>
      <c r="K650" s="1450"/>
      <c r="L650" s="1450"/>
    </row>
    <row r="651" spans="1:12" s="1448" customFormat="1" hidden="1" x14ac:dyDescent="0.4">
      <c r="A651" s="434">
        <v>3</v>
      </c>
      <c r="B651" s="1448" t="s">
        <v>1568</v>
      </c>
      <c r="C651" s="1448" t="s">
        <v>1436</v>
      </c>
      <c r="D651" s="434" t="s">
        <v>510</v>
      </c>
      <c r="F651" s="1448" t="s">
        <v>1749</v>
      </c>
      <c r="G651" s="1449">
        <v>1675100</v>
      </c>
      <c r="H651" s="1448" t="s">
        <v>534</v>
      </c>
      <c r="I651" s="1448" t="s">
        <v>534</v>
      </c>
      <c r="J651" s="1450"/>
      <c r="K651" s="1450"/>
      <c r="L651" s="1450"/>
    </row>
    <row r="652" spans="1:12" s="1448" customFormat="1" hidden="1" x14ac:dyDescent="0.4">
      <c r="A652" s="434">
        <v>3</v>
      </c>
      <c r="B652" s="1448" t="s">
        <v>1568</v>
      </c>
      <c r="C652" s="1448" t="s">
        <v>1436</v>
      </c>
      <c r="D652" s="434" t="s">
        <v>100</v>
      </c>
      <c r="F652" s="1448" t="s">
        <v>1749</v>
      </c>
      <c r="G652" s="1449">
        <v>927500</v>
      </c>
      <c r="H652" s="1448" t="s">
        <v>534</v>
      </c>
      <c r="I652" s="1448" t="s">
        <v>534</v>
      </c>
      <c r="J652" s="1450"/>
      <c r="K652" s="1450"/>
      <c r="L652" s="1450"/>
    </row>
    <row r="653" spans="1:12" s="1448" customFormat="1" hidden="1" x14ac:dyDescent="0.4">
      <c r="A653" s="434">
        <v>3</v>
      </c>
      <c r="B653" s="1448" t="s">
        <v>1568</v>
      </c>
      <c r="C653" s="1448" t="s">
        <v>1436</v>
      </c>
      <c r="D653" s="434" t="s">
        <v>101</v>
      </c>
      <c r="F653" s="1448" t="s">
        <v>1749</v>
      </c>
      <c r="G653" s="1449">
        <v>463700</v>
      </c>
      <c r="H653" s="1448" t="s">
        <v>534</v>
      </c>
      <c r="I653" s="1448" t="s">
        <v>534</v>
      </c>
      <c r="J653" s="1450"/>
      <c r="K653" s="1450"/>
      <c r="L653" s="1450"/>
    </row>
    <row r="654" spans="1:12" hidden="1" x14ac:dyDescent="0.4">
      <c r="A654" s="434">
        <v>3</v>
      </c>
      <c r="B654" s="434" t="s">
        <v>1568</v>
      </c>
      <c r="C654" s="434" t="s">
        <v>1439</v>
      </c>
      <c r="D654" s="434" t="s">
        <v>106</v>
      </c>
      <c r="E654" s="434" t="s">
        <v>1366</v>
      </c>
      <c r="F654" s="434" t="s">
        <v>1459</v>
      </c>
      <c r="G654" s="593">
        <v>72755200</v>
      </c>
      <c r="H654" s="434" t="s">
        <v>1441</v>
      </c>
      <c r="I654" s="434" t="s">
        <v>1438</v>
      </c>
    </row>
    <row r="655" spans="1:12" hidden="1" x14ac:dyDescent="0.4">
      <c r="A655" s="434">
        <v>3</v>
      </c>
      <c r="B655" s="434" t="s">
        <v>1568</v>
      </c>
      <c r="C655" s="434" t="s">
        <v>1439</v>
      </c>
      <c r="D655" s="434" t="s">
        <v>108</v>
      </c>
      <c r="E655" s="434" t="s">
        <v>1367</v>
      </c>
      <c r="F655" s="434" t="s">
        <v>1569</v>
      </c>
      <c r="G655" s="593">
        <v>72000000</v>
      </c>
      <c r="H655" s="434" t="s">
        <v>534</v>
      </c>
      <c r="I655" s="434" t="s">
        <v>534</v>
      </c>
    </row>
    <row r="656" spans="1:12" hidden="1" x14ac:dyDescent="0.4">
      <c r="A656" s="434">
        <v>3</v>
      </c>
      <c r="B656" s="434" t="s">
        <v>1568</v>
      </c>
      <c r="C656" s="434" t="s">
        <v>1439</v>
      </c>
      <c r="D656" s="434" t="s">
        <v>116</v>
      </c>
      <c r="E656" s="434" t="s">
        <v>1370</v>
      </c>
      <c r="F656" s="434" t="s">
        <v>1442</v>
      </c>
      <c r="G656" s="593">
        <v>2949500</v>
      </c>
      <c r="H656" s="434" t="s">
        <v>1441</v>
      </c>
      <c r="I656" s="434" t="s">
        <v>1438</v>
      </c>
    </row>
    <row r="657" spans="1:9" hidden="1" x14ac:dyDescent="0.4">
      <c r="A657" s="434">
        <v>3</v>
      </c>
      <c r="B657" s="434" t="s">
        <v>1568</v>
      </c>
      <c r="C657" s="434" t="s">
        <v>1439</v>
      </c>
      <c r="D657" s="434" t="s">
        <v>118</v>
      </c>
      <c r="E657" s="434" t="s">
        <v>1371</v>
      </c>
      <c r="F657" s="434" t="s">
        <v>1443</v>
      </c>
      <c r="G657" s="593">
        <v>10431900</v>
      </c>
      <c r="H657" s="434" t="s">
        <v>1441</v>
      </c>
      <c r="I657" s="434" t="s">
        <v>1438</v>
      </c>
    </row>
    <row r="658" spans="1:9" x14ac:dyDescent="0.4">
      <c r="A658" s="434">
        <v>3</v>
      </c>
      <c r="B658" s="434" t="s">
        <v>1568</v>
      </c>
      <c r="C658" s="434" t="s">
        <v>1439</v>
      </c>
      <c r="D658" s="434" t="s">
        <v>326</v>
      </c>
      <c r="E658" s="434" t="s">
        <v>1373</v>
      </c>
      <c r="F658" s="434" t="s">
        <v>1444</v>
      </c>
      <c r="G658" s="593">
        <v>4495800</v>
      </c>
      <c r="H658" s="434" t="s">
        <v>534</v>
      </c>
      <c r="I658" s="434" t="s">
        <v>534</v>
      </c>
    </row>
    <row r="659" spans="1:9" hidden="1" x14ac:dyDescent="0.4">
      <c r="A659" s="434">
        <v>3</v>
      </c>
      <c r="B659" s="434" t="s">
        <v>1568</v>
      </c>
      <c r="C659" s="434" t="s">
        <v>1439</v>
      </c>
      <c r="D659" s="434" t="s">
        <v>145</v>
      </c>
      <c r="E659" s="434" t="s">
        <v>1385</v>
      </c>
      <c r="F659" s="434" t="s">
        <v>1448</v>
      </c>
      <c r="G659" s="593">
        <v>21403400</v>
      </c>
      <c r="H659" s="434" t="s">
        <v>534</v>
      </c>
      <c r="I659" s="434" t="s">
        <v>534</v>
      </c>
    </row>
    <row r="660" spans="1:9" hidden="1" x14ac:dyDescent="0.4">
      <c r="A660" s="434">
        <v>3</v>
      </c>
      <c r="B660" s="434" t="s">
        <v>1568</v>
      </c>
      <c r="C660" s="434" t="s">
        <v>1439</v>
      </c>
      <c r="D660" s="434" t="s">
        <v>147</v>
      </c>
      <c r="E660" s="434" t="s">
        <v>1386</v>
      </c>
      <c r="F660" s="434" t="s">
        <v>1751</v>
      </c>
      <c r="G660" s="593">
        <f>160000000+83500000</f>
        <v>243500000</v>
      </c>
      <c r="H660" s="434" t="s">
        <v>534</v>
      </c>
      <c r="I660" s="434" t="s">
        <v>534</v>
      </c>
    </row>
    <row r="661" spans="1:9" hidden="1" x14ac:dyDescent="0.4">
      <c r="A661" s="1437">
        <v>2</v>
      </c>
      <c r="B661" s="1437" t="s">
        <v>1563</v>
      </c>
      <c r="C661" s="1437" t="s">
        <v>1439</v>
      </c>
      <c r="D661" s="1437" t="s">
        <v>160</v>
      </c>
      <c r="E661" s="1437" t="s">
        <v>1391</v>
      </c>
      <c r="F661" s="1437" t="s">
        <v>1449</v>
      </c>
      <c r="G661" s="1438">
        <v>400000</v>
      </c>
      <c r="H661" s="1437" t="s">
        <v>534</v>
      </c>
      <c r="I661" s="1437" t="s">
        <v>534</v>
      </c>
    </row>
    <row r="662" spans="1:9" hidden="1" x14ac:dyDescent="0.4">
      <c r="A662" s="434">
        <v>3</v>
      </c>
      <c r="B662" s="434" t="s">
        <v>1568</v>
      </c>
      <c r="C662" s="434" t="s">
        <v>1439</v>
      </c>
      <c r="D662" s="434" t="s">
        <v>160</v>
      </c>
      <c r="E662" s="434" t="s">
        <v>1391</v>
      </c>
      <c r="F662" s="434" t="s">
        <v>1570</v>
      </c>
      <c r="G662" s="593">
        <v>1706800</v>
      </c>
      <c r="H662" s="434" t="s">
        <v>534</v>
      </c>
      <c r="I662" s="434" t="s">
        <v>534</v>
      </c>
    </row>
    <row r="663" spans="1:9" hidden="1" x14ac:dyDescent="0.4">
      <c r="A663" s="434">
        <v>3</v>
      </c>
      <c r="B663" s="434" t="s">
        <v>1568</v>
      </c>
      <c r="C663" s="434" t="s">
        <v>1439</v>
      </c>
      <c r="D663" s="434" t="s">
        <v>176</v>
      </c>
      <c r="E663" s="434" t="s">
        <v>1395</v>
      </c>
      <c r="F663" s="434" t="s">
        <v>1571</v>
      </c>
      <c r="G663" s="593">
        <v>17420000</v>
      </c>
      <c r="H663" s="434" t="s">
        <v>534</v>
      </c>
      <c r="I663" s="434" t="s">
        <v>534</v>
      </c>
    </row>
    <row r="664" spans="1:9" hidden="1" x14ac:dyDescent="0.4">
      <c r="A664" s="434">
        <v>3</v>
      </c>
      <c r="B664" s="434" t="s">
        <v>1568</v>
      </c>
      <c r="C664" s="434" t="s">
        <v>1498</v>
      </c>
      <c r="D664" s="434" t="s">
        <v>193</v>
      </c>
      <c r="E664" s="434" t="s">
        <v>1404</v>
      </c>
      <c r="G664" s="593">
        <v>44000006.960000001</v>
      </c>
      <c r="H664" s="434" t="s">
        <v>1441</v>
      </c>
      <c r="I664" s="434" t="s">
        <v>1438</v>
      </c>
    </row>
    <row r="665" spans="1:9" hidden="1" x14ac:dyDescent="0.4">
      <c r="A665" s="434">
        <v>3</v>
      </c>
      <c r="B665" s="434" t="s">
        <v>1568</v>
      </c>
      <c r="C665" s="434" t="s">
        <v>1498</v>
      </c>
      <c r="D665" s="434" t="s">
        <v>195</v>
      </c>
      <c r="E665" s="434" t="s">
        <v>1405</v>
      </c>
      <c r="F665" s="434" t="s">
        <v>1572</v>
      </c>
      <c r="G665" s="593">
        <v>1826000</v>
      </c>
      <c r="H665" s="434" t="s">
        <v>1441</v>
      </c>
      <c r="I665" s="434" t="s">
        <v>1438</v>
      </c>
    </row>
    <row r="666" spans="1:9" hidden="1" x14ac:dyDescent="0.4">
      <c r="A666" s="434">
        <v>3</v>
      </c>
      <c r="B666" s="434" t="s">
        <v>1568</v>
      </c>
      <c r="C666" s="434" t="s">
        <v>1498</v>
      </c>
      <c r="D666" s="434" t="s">
        <v>206</v>
      </c>
      <c r="E666" s="434" t="s">
        <v>1407</v>
      </c>
      <c r="F666" s="434" t="s">
        <v>1573</v>
      </c>
      <c r="G666" s="593">
        <v>2000000</v>
      </c>
      <c r="H666" s="434" t="s">
        <v>1441</v>
      </c>
      <c r="I666" s="434" t="s">
        <v>1438</v>
      </c>
    </row>
    <row r="667" spans="1:9" hidden="1" x14ac:dyDescent="0.4">
      <c r="A667" s="434">
        <v>3</v>
      </c>
      <c r="B667" s="434" t="s">
        <v>1568</v>
      </c>
      <c r="C667" s="434" t="s">
        <v>1498</v>
      </c>
      <c r="D667" s="434" t="s">
        <v>218</v>
      </c>
      <c r="E667" s="434" t="s">
        <v>1410</v>
      </c>
      <c r="F667" s="434" t="s">
        <v>1574</v>
      </c>
      <c r="G667" s="593">
        <v>4622450</v>
      </c>
      <c r="H667" s="434" t="s">
        <v>1441</v>
      </c>
      <c r="I667" s="434" t="s">
        <v>1438</v>
      </c>
    </row>
    <row r="668" spans="1:9" hidden="1" x14ac:dyDescent="0.4">
      <c r="A668" s="434">
        <v>3</v>
      </c>
      <c r="B668" s="434" t="s">
        <v>1568</v>
      </c>
      <c r="C668" s="434" t="s">
        <v>1498</v>
      </c>
      <c r="D668" s="434" t="s">
        <v>226</v>
      </c>
      <c r="E668" s="434" t="s">
        <v>1414</v>
      </c>
      <c r="F668" s="434" t="s">
        <v>1575</v>
      </c>
      <c r="G668" s="593">
        <v>8357160</v>
      </c>
      <c r="H668" s="434" t="s">
        <v>1441</v>
      </c>
      <c r="I668" s="434" t="s">
        <v>1438</v>
      </c>
    </row>
    <row r="669" spans="1:9" hidden="1" x14ac:dyDescent="0.4">
      <c r="A669" s="434">
        <v>3</v>
      </c>
      <c r="B669" s="434" t="s">
        <v>1568</v>
      </c>
      <c r="C669" s="434" t="s">
        <v>1498</v>
      </c>
      <c r="D669" s="434" t="s">
        <v>228</v>
      </c>
      <c r="E669" s="434" t="s">
        <v>1415</v>
      </c>
      <c r="F669" s="434" t="s">
        <v>1576</v>
      </c>
      <c r="G669" s="593">
        <v>28440</v>
      </c>
      <c r="H669" s="434" t="s">
        <v>1441</v>
      </c>
      <c r="I669" s="434" t="s">
        <v>1438</v>
      </c>
    </row>
    <row r="670" spans="1:9" hidden="1" x14ac:dyDescent="0.4">
      <c r="A670" s="434">
        <v>3</v>
      </c>
      <c r="B670" s="434" t="s">
        <v>1568</v>
      </c>
      <c r="C670" s="434" t="s">
        <v>1498</v>
      </c>
      <c r="D670" s="434" t="s">
        <v>232</v>
      </c>
      <c r="E670" s="434" t="s">
        <v>1417</v>
      </c>
      <c r="F670" s="434" t="s">
        <v>1306</v>
      </c>
      <c r="G670" s="593">
        <v>367500</v>
      </c>
      <c r="H670" s="434" t="s">
        <v>1441</v>
      </c>
      <c r="I670" s="434" t="s">
        <v>1438</v>
      </c>
    </row>
    <row r="671" spans="1:9" hidden="1" x14ac:dyDescent="0.4">
      <c r="A671" s="434">
        <v>3</v>
      </c>
      <c r="B671" s="434" t="s">
        <v>1577</v>
      </c>
      <c r="C671" s="434" t="s">
        <v>1436</v>
      </c>
      <c r="D671" s="434" t="s">
        <v>72</v>
      </c>
      <c r="E671" s="434" t="s">
        <v>1348</v>
      </c>
      <c r="F671" s="434" t="s">
        <v>1437</v>
      </c>
      <c r="G671" s="593">
        <v>28722700</v>
      </c>
      <c r="H671" s="434" t="s">
        <v>1438</v>
      </c>
      <c r="I671" s="434" t="s">
        <v>1438</v>
      </c>
    </row>
    <row r="672" spans="1:9" hidden="1" x14ac:dyDescent="0.4">
      <c r="A672" s="434">
        <v>3</v>
      </c>
      <c r="B672" s="434" t="s">
        <v>1577</v>
      </c>
      <c r="C672" s="434" t="s">
        <v>1436</v>
      </c>
      <c r="D672" s="434" t="s">
        <v>73</v>
      </c>
      <c r="E672" s="434" t="s">
        <v>1349</v>
      </c>
      <c r="F672" s="434" t="s">
        <v>1564</v>
      </c>
      <c r="G672" s="593">
        <v>156160400</v>
      </c>
      <c r="H672" s="434" t="s">
        <v>1438</v>
      </c>
      <c r="I672" s="434" t="s">
        <v>1438</v>
      </c>
    </row>
    <row r="673" spans="1:12" hidden="1" x14ac:dyDescent="0.4">
      <c r="A673" s="434">
        <v>3</v>
      </c>
      <c r="B673" s="434" t="s">
        <v>1577</v>
      </c>
      <c r="C673" s="434" t="s">
        <v>1436</v>
      </c>
      <c r="D673" s="434" t="s">
        <v>76</v>
      </c>
      <c r="E673" s="434" t="s">
        <v>1352</v>
      </c>
      <c r="F673" s="434" t="s">
        <v>1056</v>
      </c>
      <c r="G673" s="593">
        <v>44000000</v>
      </c>
      <c r="H673" s="434" t="s">
        <v>1438</v>
      </c>
      <c r="I673" s="434" t="s">
        <v>1438</v>
      </c>
    </row>
    <row r="674" spans="1:12" hidden="1" x14ac:dyDescent="0.4">
      <c r="A674" s="434">
        <v>3</v>
      </c>
      <c r="B674" s="434" t="s">
        <v>1577</v>
      </c>
      <c r="C674" s="434" t="s">
        <v>1436</v>
      </c>
      <c r="D674" s="434" t="s">
        <v>80</v>
      </c>
      <c r="E674" s="434" t="s">
        <v>1332</v>
      </c>
      <c r="F674" s="434" t="s">
        <v>481</v>
      </c>
      <c r="G674" s="593">
        <v>7213400</v>
      </c>
      <c r="H674" s="434" t="s">
        <v>1438</v>
      </c>
      <c r="I674" s="434" t="s">
        <v>1438</v>
      </c>
    </row>
    <row r="675" spans="1:12" hidden="1" x14ac:dyDescent="0.4">
      <c r="A675" s="434">
        <v>3</v>
      </c>
      <c r="B675" s="434" t="s">
        <v>1577</v>
      </c>
      <c r="C675" s="434" t="s">
        <v>1436</v>
      </c>
      <c r="D675" s="434" t="s">
        <v>82</v>
      </c>
      <c r="E675" s="434" t="s">
        <v>1333</v>
      </c>
      <c r="F675" s="434" t="s">
        <v>482</v>
      </c>
      <c r="G675" s="593">
        <v>11493900</v>
      </c>
      <c r="H675" s="434" t="s">
        <v>1438</v>
      </c>
      <c r="I675" s="434" t="s">
        <v>1438</v>
      </c>
    </row>
    <row r="676" spans="1:12" hidden="1" x14ac:dyDescent="0.4">
      <c r="A676" s="434">
        <v>3</v>
      </c>
      <c r="B676" s="434" t="s">
        <v>1577</v>
      </c>
      <c r="C676" s="434" t="s">
        <v>1436</v>
      </c>
      <c r="D676" s="434" t="s">
        <v>84</v>
      </c>
      <c r="E676" s="434" t="s">
        <v>1355</v>
      </c>
      <c r="F676" s="434" t="s">
        <v>483</v>
      </c>
      <c r="G676" s="593">
        <v>22696700</v>
      </c>
      <c r="H676" s="434" t="s">
        <v>1438</v>
      </c>
      <c r="I676" s="434" t="s">
        <v>1438</v>
      </c>
    </row>
    <row r="677" spans="1:12" hidden="1" x14ac:dyDescent="0.4">
      <c r="A677" s="434">
        <v>3</v>
      </c>
      <c r="B677" s="434" t="s">
        <v>1577</v>
      </c>
      <c r="C677" s="434" t="s">
        <v>1436</v>
      </c>
      <c r="D677" s="434" t="s">
        <v>86</v>
      </c>
      <c r="E677" s="434" t="s">
        <v>1356</v>
      </c>
      <c r="F677" s="434" t="s">
        <v>484</v>
      </c>
      <c r="G677" s="593">
        <v>19192500</v>
      </c>
      <c r="H677" s="434" t="s">
        <v>1438</v>
      </c>
      <c r="I677" s="434" t="s">
        <v>1438</v>
      </c>
    </row>
    <row r="678" spans="1:12" hidden="1" x14ac:dyDescent="0.4">
      <c r="A678" s="434">
        <v>3</v>
      </c>
      <c r="B678" s="434" t="s">
        <v>1577</v>
      </c>
      <c r="C678" s="434" t="s">
        <v>1436</v>
      </c>
      <c r="D678" s="434" t="s">
        <v>87</v>
      </c>
      <c r="E678" s="434" t="s">
        <v>1334</v>
      </c>
      <c r="F678" s="434" t="s">
        <v>485</v>
      </c>
      <c r="G678" s="593">
        <v>5596300</v>
      </c>
      <c r="H678" s="434" t="s">
        <v>1438</v>
      </c>
      <c r="I678" s="434" t="s">
        <v>1438</v>
      </c>
    </row>
    <row r="679" spans="1:12" hidden="1" x14ac:dyDescent="0.4">
      <c r="A679" s="434">
        <v>3</v>
      </c>
      <c r="B679" s="434" t="s">
        <v>1577</v>
      </c>
      <c r="C679" s="434" t="s">
        <v>1436</v>
      </c>
      <c r="D679" s="434" t="s">
        <v>90</v>
      </c>
      <c r="E679" s="434" t="s">
        <v>1357</v>
      </c>
      <c r="F679" s="434" t="s">
        <v>486</v>
      </c>
      <c r="G679" s="593">
        <v>25195100</v>
      </c>
      <c r="H679" s="434" t="s">
        <v>1438</v>
      </c>
      <c r="I679" s="434" t="s">
        <v>1438</v>
      </c>
    </row>
    <row r="680" spans="1:12" hidden="1" x14ac:dyDescent="0.4">
      <c r="A680" s="434">
        <v>3</v>
      </c>
      <c r="B680" s="434" t="s">
        <v>1577</v>
      </c>
      <c r="C680" s="434" t="s">
        <v>1436</v>
      </c>
      <c r="D680" s="434" t="s">
        <v>92</v>
      </c>
      <c r="E680" s="434" t="s">
        <v>1358</v>
      </c>
      <c r="F680" s="434" t="s">
        <v>487</v>
      </c>
      <c r="G680" s="593">
        <v>1361900</v>
      </c>
      <c r="H680" s="434" t="s">
        <v>1438</v>
      </c>
      <c r="I680" s="434" t="s">
        <v>1438</v>
      </c>
    </row>
    <row r="681" spans="1:12" hidden="1" x14ac:dyDescent="0.4">
      <c r="A681" s="434">
        <v>3</v>
      </c>
      <c r="B681" s="434" t="s">
        <v>1577</v>
      </c>
      <c r="C681" s="434" t="s">
        <v>1436</v>
      </c>
      <c r="D681" s="434" t="s">
        <v>93</v>
      </c>
      <c r="E681" s="434" t="s">
        <v>1359</v>
      </c>
      <c r="F681" s="434" t="s">
        <v>488</v>
      </c>
      <c r="G681" s="593">
        <v>4085600</v>
      </c>
      <c r="H681" s="434" t="s">
        <v>1438</v>
      </c>
      <c r="I681" s="434" t="s">
        <v>1438</v>
      </c>
    </row>
    <row r="682" spans="1:12" hidden="1" x14ac:dyDescent="0.4">
      <c r="A682" s="434">
        <v>3</v>
      </c>
      <c r="B682" s="434" t="s">
        <v>1577</v>
      </c>
      <c r="C682" s="434" t="s">
        <v>1436</v>
      </c>
      <c r="D682" s="434" t="s">
        <v>94</v>
      </c>
      <c r="E682" s="434" t="s">
        <v>1360</v>
      </c>
      <c r="F682" s="434" t="s">
        <v>489</v>
      </c>
      <c r="G682" s="593">
        <v>13618900</v>
      </c>
      <c r="H682" s="434" t="s">
        <v>1438</v>
      </c>
      <c r="I682" s="434" t="s">
        <v>1438</v>
      </c>
    </row>
    <row r="683" spans="1:12" hidden="1" x14ac:dyDescent="0.4">
      <c r="A683" s="434">
        <v>3</v>
      </c>
      <c r="B683" s="434" t="s">
        <v>1577</v>
      </c>
      <c r="C683" s="434" t="s">
        <v>1436</v>
      </c>
      <c r="D683" s="434" t="s">
        <v>96</v>
      </c>
      <c r="E683" s="434" t="s">
        <v>1361</v>
      </c>
      <c r="F683" s="434" t="s">
        <v>490</v>
      </c>
      <c r="G683" s="593">
        <v>1361900</v>
      </c>
      <c r="H683" s="434" t="s">
        <v>1438</v>
      </c>
      <c r="I683" s="434" t="s">
        <v>1438</v>
      </c>
    </row>
    <row r="684" spans="1:12" hidden="1" x14ac:dyDescent="0.4">
      <c r="A684" s="434">
        <v>3</v>
      </c>
      <c r="B684" s="434" t="s">
        <v>1577</v>
      </c>
      <c r="C684" s="434" t="s">
        <v>1436</v>
      </c>
      <c r="D684" s="434" t="s">
        <v>510</v>
      </c>
      <c r="E684" s="434" t="s">
        <v>1362</v>
      </c>
      <c r="F684" s="434" t="s">
        <v>491</v>
      </c>
      <c r="G684" s="593">
        <v>14763000</v>
      </c>
      <c r="H684" s="434" t="s">
        <v>1438</v>
      </c>
      <c r="I684" s="434" t="s">
        <v>1438</v>
      </c>
    </row>
    <row r="685" spans="1:12" hidden="1" x14ac:dyDescent="0.4">
      <c r="A685" s="434">
        <v>3</v>
      </c>
      <c r="B685" s="434" t="s">
        <v>1577</v>
      </c>
      <c r="C685" s="434" t="s">
        <v>1436</v>
      </c>
      <c r="D685" s="434" t="s">
        <v>100</v>
      </c>
      <c r="E685" s="434" t="s">
        <v>1363</v>
      </c>
      <c r="F685" s="434" t="s">
        <v>491</v>
      </c>
      <c r="G685" s="593">
        <v>8171400</v>
      </c>
      <c r="H685" s="434" t="s">
        <v>1438</v>
      </c>
      <c r="I685" s="434" t="s">
        <v>1438</v>
      </c>
    </row>
    <row r="686" spans="1:12" hidden="1" x14ac:dyDescent="0.4">
      <c r="A686" s="434">
        <v>3</v>
      </c>
      <c r="B686" s="434" t="s">
        <v>1577</v>
      </c>
      <c r="C686" s="434" t="s">
        <v>1436</v>
      </c>
      <c r="D686" s="434" t="s">
        <v>101</v>
      </c>
      <c r="E686" s="434" t="s">
        <v>1364</v>
      </c>
      <c r="F686" s="434" t="s">
        <v>1135</v>
      </c>
      <c r="G686" s="593">
        <v>4085600</v>
      </c>
      <c r="H686" s="434" t="s">
        <v>1438</v>
      </c>
      <c r="I686" s="434" t="s">
        <v>1438</v>
      </c>
    </row>
    <row r="687" spans="1:12" s="1448" customFormat="1" hidden="1" x14ac:dyDescent="0.4">
      <c r="A687" s="434">
        <v>3</v>
      </c>
      <c r="B687" s="1448" t="s">
        <v>1577</v>
      </c>
      <c r="C687" s="1448" t="s">
        <v>1436</v>
      </c>
      <c r="D687" s="434" t="s">
        <v>72</v>
      </c>
      <c r="F687" s="1448" t="s">
        <v>1749</v>
      </c>
      <c r="G687" s="1449">
        <v>-200</v>
      </c>
      <c r="H687" s="1448" t="s">
        <v>534</v>
      </c>
      <c r="I687" s="1448" t="s">
        <v>534</v>
      </c>
      <c r="J687" s="1450"/>
      <c r="K687" s="1450"/>
      <c r="L687" s="1450"/>
    </row>
    <row r="688" spans="1:12" s="1448" customFormat="1" hidden="1" x14ac:dyDescent="0.4">
      <c r="A688" s="434">
        <v>3</v>
      </c>
      <c r="B688" s="1448" t="s">
        <v>1577</v>
      </c>
      <c r="C688" s="1448" t="s">
        <v>1436</v>
      </c>
      <c r="D688" s="434" t="s">
        <v>73</v>
      </c>
      <c r="F688" s="1448" t="s">
        <v>1749</v>
      </c>
      <c r="G688" s="1449">
        <v>34519600</v>
      </c>
      <c r="H688" s="1448" t="s">
        <v>534</v>
      </c>
      <c r="I688" s="1448" t="s">
        <v>534</v>
      </c>
      <c r="J688" s="1450"/>
      <c r="K688" s="1450"/>
      <c r="L688" s="1450"/>
    </row>
    <row r="689" spans="1:12" s="1448" customFormat="1" hidden="1" x14ac:dyDescent="0.4">
      <c r="A689" s="434">
        <v>3</v>
      </c>
      <c r="B689" s="1448" t="s">
        <v>1577</v>
      </c>
      <c r="C689" s="1448" t="s">
        <v>1436</v>
      </c>
      <c r="D689" s="434" t="s">
        <v>76</v>
      </c>
      <c r="F689" s="1448" t="s">
        <v>1749</v>
      </c>
      <c r="G689" s="1449">
        <v>0</v>
      </c>
      <c r="H689" s="1448" t="s">
        <v>534</v>
      </c>
      <c r="I689" s="1448" t="s">
        <v>534</v>
      </c>
      <c r="J689" s="1450"/>
      <c r="K689" s="1450"/>
      <c r="L689" s="1450"/>
    </row>
    <row r="690" spans="1:12" s="1448" customFormat="1" hidden="1" x14ac:dyDescent="0.4">
      <c r="A690" s="434">
        <v>3</v>
      </c>
      <c r="B690" s="1448" t="s">
        <v>1577</v>
      </c>
      <c r="C690" s="1448" t="s">
        <v>1436</v>
      </c>
      <c r="D690" s="434" t="s">
        <v>80</v>
      </c>
      <c r="F690" s="1448" t="s">
        <v>1749</v>
      </c>
      <c r="G690" s="1449">
        <v>-400</v>
      </c>
      <c r="H690" s="1448" t="s">
        <v>534</v>
      </c>
      <c r="I690" s="1448" t="s">
        <v>534</v>
      </c>
      <c r="J690" s="1450"/>
      <c r="K690" s="1450"/>
      <c r="L690" s="1450"/>
    </row>
    <row r="691" spans="1:12" s="1448" customFormat="1" hidden="1" x14ac:dyDescent="0.4">
      <c r="A691" s="434">
        <v>3</v>
      </c>
      <c r="B691" s="1448" t="s">
        <v>1577</v>
      </c>
      <c r="C691" s="1448" t="s">
        <v>1436</v>
      </c>
      <c r="D691" s="434" t="s">
        <v>82</v>
      </c>
      <c r="F691" s="1448" t="s">
        <v>1749</v>
      </c>
      <c r="G691" s="1449">
        <v>100</v>
      </c>
      <c r="H691" s="1448" t="s">
        <v>534</v>
      </c>
      <c r="I691" s="1448" t="s">
        <v>534</v>
      </c>
      <c r="J691" s="1450"/>
      <c r="K691" s="1450"/>
      <c r="L691" s="1450"/>
    </row>
    <row r="692" spans="1:12" s="1448" customFormat="1" hidden="1" x14ac:dyDescent="0.4">
      <c r="A692" s="434">
        <v>3</v>
      </c>
      <c r="B692" s="1448" t="s">
        <v>1577</v>
      </c>
      <c r="C692" s="1448" t="s">
        <v>1436</v>
      </c>
      <c r="D692" s="434" t="s">
        <v>84</v>
      </c>
      <c r="F692" s="1448" t="s">
        <v>1749</v>
      </c>
      <c r="G692" s="1449">
        <v>3116300</v>
      </c>
      <c r="H692" s="1448" t="s">
        <v>534</v>
      </c>
      <c r="I692" s="1448" t="s">
        <v>534</v>
      </c>
      <c r="J692" s="1450"/>
      <c r="K692" s="1450"/>
      <c r="L692" s="1450"/>
    </row>
    <row r="693" spans="1:12" s="1448" customFormat="1" hidden="1" x14ac:dyDescent="0.4">
      <c r="A693" s="434">
        <v>3</v>
      </c>
      <c r="B693" s="1448" t="s">
        <v>1577</v>
      </c>
      <c r="C693" s="1448" t="s">
        <v>1436</v>
      </c>
      <c r="D693" s="434" t="s">
        <v>86</v>
      </c>
      <c r="F693" s="1448" t="s">
        <v>1749</v>
      </c>
      <c r="G693" s="1449">
        <v>2875000</v>
      </c>
      <c r="H693" s="1448" t="s">
        <v>534</v>
      </c>
      <c r="I693" s="1448" t="s">
        <v>534</v>
      </c>
      <c r="J693" s="1450"/>
      <c r="K693" s="1450"/>
      <c r="L693" s="1450"/>
    </row>
    <row r="694" spans="1:12" s="1448" customFormat="1" hidden="1" x14ac:dyDescent="0.4">
      <c r="A694" s="434">
        <v>3</v>
      </c>
      <c r="B694" s="1448" t="s">
        <v>1577</v>
      </c>
      <c r="C694" s="1448" t="s">
        <v>1436</v>
      </c>
      <c r="D694" s="434" t="s">
        <v>87</v>
      </c>
      <c r="F694" s="1448" t="s">
        <v>1749</v>
      </c>
      <c r="G694" s="1449">
        <v>-300</v>
      </c>
      <c r="H694" s="1448" t="s">
        <v>534</v>
      </c>
      <c r="I694" s="1448" t="s">
        <v>534</v>
      </c>
      <c r="J694" s="1450"/>
      <c r="K694" s="1450"/>
      <c r="L694" s="1450"/>
    </row>
    <row r="695" spans="1:12" s="1448" customFormat="1" hidden="1" x14ac:dyDescent="0.4">
      <c r="A695" s="434">
        <v>3</v>
      </c>
      <c r="B695" s="1448" t="s">
        <v>1577</v>
      </c>
      <c r="C695" s="1448" t="s">
        <v>1436</v>
      </c>
      <c r="D695" s="434" t="s">
        <v>90</v>
      </c>
      <c r="F695" s="1448" t="s">
        <v>1749</v>
      </c>
      <c r="G695" s="1449">
        <v>3459400</v>
      </c>
      <c r="H695" s="1448" t="s">
        <v>534</v>
      </c>
      <c r="I695" s="1448" t="s">
        <v>534</v>
      </c>
      <c r="J695" s="1450"/>
      <c r="K695" s="1450"/>
      <c r="L695" s="1450"/>
    </row>
    <row r="696" spans="1:12" s="1448" customFormat="1" hidden="1" x14ac:dyDescent="0.4">
      <c r="A696" s="434">
        <v>3</v>
      </c>
      <c r="B696" s="1448" t="s">
        <v>1577</v>
      </c>
      <c r="C696" s="1448" t="s">
        <v>1436</v>
      </c>
      <c r="D696" s="434" t="s">
        <v>92</v>
      </c>
      <c r="F696" s="1448" t="s">
        <v>1749</v>
      </c>
      <c r="G696" s="1449">
        <v>187100</v>
      </c>
      <c r="H696" s="1448" t="s">
        <v>534</v>
      </c>
      <c r="I696" s="1448" t="s">
        <v>534</v>
      </c>
      <c r="J696" s="1450"/>
      <c r="K696" s="1450"/>
      <c r="L696" s="1450"/>
    </row>
    <row r="697" spans="1:12" s="1448" customFormat="1" hidden="1" x14ac:dyDescent="0.4">
      <c r="A697" s="434">
        <v>3</v>
      </c>
      <c r="B697" s="1448" t="s">
        <v>1577</v>
      </c>
      <c r="C697" s="1448" t="s">
        <v>1436</v>
      </c>
      <c r="D697" s="434" t="s">
        <v>93</v>
      </c>
      <c r="F697" s="1448" t="s">
        <v>1749</v>
      </c>
      <c r="G697" s="1449">
        <v>560900</v>
      </c>
      <c r="H697" s="1448" t="s">
        <v>534</v>
      </c>
      <c r="I697" s="1448" t="s">
        <v>534</v>
      </c>
      <c r="J697" s="1450"/>
      <c r="K697" s="1450"/>
      <c r="L697" s="1450"/>
    </row>
    <row r="698" spans="1:12" s="1448" customFormat="1" hidden="1" x14ac:dyDescent="0.4">
      <c r="A698" s="434">
        <v>3</v>
      </c>
      <c r="B698" s="1448" t="s">
        <v>1577</v>
      </c>
      <c r="C698" s="1448" t="s">
        <v>1436</v>
      </c>
      <c r="D698" s="434" t="s">
        <v>94</v>
      </c>
      <c r="F698" s="1448" t="s">
        <v>1749</v>
      </c>
      <c r="G698" s="1449">
        <v>1869600</v>
      </c>
      <c r="H698" s="1448" t="s">
        <v>534</v>
      </c>
      <c r="I698" s="1448" t="s">
        <v>534</v>
      </c>
      <c r="J698" s="1450"/>
      <c r="K698" s="1450"/>
      <c r="L698" s="1450"/>
    </row>
    <row r="699" spans="1:12" s="1448" customFormat="1" hidden="1" x14ac:dyDescent="0.4">
      <c r="A699" s="434">
        <v>3</v>
      </c>
      <c r="B699" s="1448" t="s">
        <v>1577</v>
      </c>
      <c r="C699" s="1448" t="s">
        <v>1436</v>
      </c>
      <c r="D699" s="434" t="s">
        <v>96</v>
      </c>
      <c r="F699" s="1448" t="s">
        <v>1749</v>
      </c>
      <c r="G699" s="1449">
        <v>187100</v>
      </c>
      <c r="H699" s="1448" t="s">
        <v>534</v>
      </c>
      <c r="I699" s="1448" t="s">
        <v>534</v>
      </c>
      <c r="J699" s="1450"/>
      <c r="K699" s="1450"/>
      <c r="L699" s="1450"/>
    </row>
    <row r="700" spans="1:12" s="1448" customFormat="1" hidden="1" x14ac:dyDescent="0.4">
      <c r="A700" s="434">
        <v>3</v>
      </c>
      <c r="B700" s="1448" t="s">
        <v>1577</v>
      </c>
      <c r="C700" s="1448" t="s">
        <v>1436</v>
      </c>
      <c r="D700" s="434" t="s">
        <v>510</v>
      </c>
      <c r="F700" s="1448" t="s">
        <v>1749</v>
      </c>
      <c r="G700" s="1449">
        <v>2026500</v>
      </c>
      <c r="H700" s="1448" t="s">
        <v>534</v>
      </c>
      <c r="I700" s="1448" t="s">
        <v>534</v>
      </c>
      <c r="J700" s="1450"/>
      <c r="K700" s="1450"/>
      <c r="L700" s="1450"/>
    </row>
    <row r="701" spans="1:12" s="1448" customFormat="1" hidden="1" x14ac:dyDescent="0.4">
      <c r="A701" s="434">
        <v>3</v>
      </c>
      <c r="B701" s="1448" t="s">
        <v>1577</v>
      </c>
      <c r="C701" s="1448" t="s">
        <v>1436</v>
      </c>
      <c r="D701" s="434" t="s">
        <v>100</v>
      </c>
      <c r="F701" s="1448" t="s">
        <v>1749</v>
      </c>
      <c r="G701" s="1449">
        <v>1121600</v>
      </c>
      <c r="H701" s="1448" t="s">
        <v>534</v>
      </c>
      <c r="I701" s="1448" t="s">
        <v>534</v>
      </c>
      <c r="J701" s="1450"/>
      <c r="K701" s="1450"/>
      <c r="L701" s="1450"/>
    </row>
    <row r="702" spans="1:12" s="1448" customFormat="1" hidden="1" x14ac:dyDescent="0.4">
      <c r="A702" s="434">
        <v>3</v>
      </c>
      <c r="B702" s="1448" t="s">
        <v>1577</v>
      </c>
      <c r="C702" s="1448" t="s">
        <v>1436</v>
      </c>
      <c r="D702" s="434" t="s">
        <v>101</v>
      </c>
      <c r="F702" s="1448" t="s">
        <v>1749</v>
      </c>
      <c r="G702" s="1449">
        <v>560900</v>
      </c>
      <c r="H702" s="1448" t="s">
        <v>534</v>
      </c>
      <c r="I702" s="1448" t="s">
        <v>534</v>
      </c>
      <c r="J702" s="1450"/>
      <c r="K702" s="1450"/>
      <c r="L702" s="1450"/>
    </row>
    <row r="703" spans="1:12" x14ac:dyDescent="0.4">
      <c r="A703" s="434">
        <v>3</v>
      </c>
      <c r="B703" s="434" t="s">
        <v>1577</v>
      </c>
      <c r="C703" s="434" t="s">
        <v>1439</v>
      </c>
      <c r="D703" s="434" t="s">
        <v>326</v>
      </c>
      <c r="E703" s="434" t="s">
        <v>1373</v>
      </c>
      <c r="F703" s="434" t="s">
        <v>1578</v>
      </c>
      <c r="G703" s="593">
        <v>3100000</v>
      </c>
      <c r="H703" s="434" t="s">
        <v>1438</v>
      </c>
      <c r="I703" s="434" t="s">
        <v>1438</v>
      </c>
    </row>
    <row r="704" spans="1:12" hidden="1" x14ac:dyDescent="0.4">
      <c r="A704" s="434">
        <v>3</v>
      </c>
      <c r="B704" s="434" t="s">
        <v>1577</v>
      </c>
      <c r="C704" s="434" t="s">
        <v>1439</v>
      </c>
      <c r="D704" s="434" t="s">
        <v>131</v>
      </c>
      <c r="E704" s="434" t="s">
        <v>1377</v>
      </c>
      <c r="F704" s="434" t="s">
        <v>1579</v>
      </c>
      <c r="G704" s="593">
        <v>3000000</v>
      </c>
      <c r="H704" s="434" t="s">
        <v>1438</v>
      </c>
      <c r="I704" s="434" t="s">
        <v>1438</v>
      </c>
    </row>
    <row r="705" spans="1:9" hidden="1" x14ac:dyDescent="0.4">
      <c r="A705" s="434">
        <v>3</v>
      </c>
      <c r="B705" s="434" t="s">
        <v>1577</v>
      </c>
      <c r="C705" s="434" t="s">
        <v>1439</v>
      </c>
      <c r="D705" s="434" t="s">
        <v>145</v>
      </c>
      <c r="E705" s="434" t="s">
        <v>1385</v>
      </c>
      <c r="F705" s="434" t="s">
        <v>1580</v>
      </c>
      <c r="G705" s="593">
        <v>600000</v>
      </c>
      <c r="H705" s="434" t="s">
        <v>1438</v>
      </c>
      <c r="I705" s="434" t="s">
        <v>1438</v>
      </c>
    </row>
    <row r="706" spans="1:9" hidden="1" x14ac:dyDescent="0.4">
      <c r="A706" s="434">
        <v>3</v>
      </c>
      <c r="B706" s="434" t="s">
        <v>1577</v>
      </c>
      <c r="C706" s="434" t="s">
        <v>1439</v>
      </c>
      <c r="D706" s="434" t="s">
        <v>151</v>
      </c>
      <c r="E706" s="434" t="s">
        <v>1387</v>
      </c>
      <c r="F706" s="434" t="s">
        <v>1581</v>
      </c>
      <c r="G706" s="593">
        <v>2000000</v>
      </c>
      <c r="H706" s="434" t="s">
        <v>1438</v>
      </c>
      <c r="I706" s="434" t="s">
        <v>1438</v>
      </c>
    </row>
    <row r="707" spans="1:9" hidden="1" x14ac:dyDescent="0.4">
      <c r="A707" s="434">
        <v>3</v>
      </c>
      <c r="B707" s="434" t="s">
        <v>1577</v>
      </c>
      <c r="C707" s="434" t="s">
        <v>1439</v>
      </c>
      <c r="D707" s="434" t="s">
        <v>153</v>
      </c>
      <c r="E707" s="434" t="s">
        <v>1388</v>
      </c>
      <c r="F707" s="434" t="s">
        <v>1582</v>
      </c>
      <c r="G707" s="593">
        <v>92260100</v>
      </c>
      <c r="H707" s="434" t="s">
        <v>1441</v>
      </c>
      <c r="I707" s="434" t="s">
        <v>1438</v>
      </c>
    </row>
    <row r="708" spans="1:9" hidden="1" x14ac:dyDescent="0.4">
      <c r="A708" s="434">
        <v>3</v>
      </c>
      <c r="B708" s="434" t="s">
        <v>1577</v>
      </c>
      <c r="C708" s="434" t="s">
        <v>1439</v>
      </c>
      <c r="D708" s="434" t="s">
        <v>153</v>
      </c>
      <c r="E708" s="434" t="s">
        <v>1388</v>
      </c>
      <c r="F708" s="434"/>
      <c r="G708" s="593">
        <v>14739900</v>
      </c>
      <c r="H708" s="434" t="s">
        <v>1438</v>
      </c>
      <c r="I708" s="434" t="s">
        <v>1438</v>
      </c>
    </row>
    <row r="709" spans="1:9" hidden="1" x14ac:dyDescent="0.4">
      <c r="A709" s="1437">
        <v>3</v>
      </c>
      <c r="B709" s="1437" t="s">
        <v>1568</v>
      </c>
      <c r="C709" s="1437" t="s">
        <v>1439</v>
      </c>
      <c r="D709" s="1437" t="s">
        <v>160</v>
      </c>
      <c r="E709" s="1437" t="s">
        <v>1391</v>
      </c>
      <c r="F709" s="434"/>
      <c r="G709" s="1438">
        <v>1100000</v>
      </c>
      <c r="H709" s="1437" t="s">
        <v>534</v>
      </c>
      <c r="I709" s="1437" t="s">
        <v>534</v>
      </c>
    </row>
    <row r="710" spans="1:9" hidden="1" x14ac:dyDescent="0.4">
      <c r="A710" s="434">
        <v>3</v>
      </c>
      <c r="B710" s="434" t="s">
        <v>1577</v>
      </c>
      <c r="C710" s="434" t="s">
        <v>1439</v>
      </c>
      <c r="D710" s="434" t="s">
        <v>160</v>
      </c>
      <c r="E710" s="434" t="s">
        <v>1391</v>
      </c>
      <c r="F710" s="434" t="s">
        <v>1449</v>
      </c>
      <c r="G710" s="593">
        <v>1840800</v>
      </c>
      <c r="H710" s="434" t="s">
        <v>1438</v>
      </c>
      <c r="I710" s="434" t="s">
        <v>1438</v>
      </c>
    </row>
    <row r="711" spans="1:9" hidden="1" x14ac:dyDescent="0.4">
      <c r="A711" s="434">
        <v>3</v>
      </c>
      <c r="B711" s="434" t="s">
        <v>1577</v>
      </c>
      <c r="C711" s="434" t="s">
        <v>1439</v>
      </c>
      <c r="D711" s="434" t="s">
        <v>164</v>
      </c>
      <c r="E711" s="434" t="s">
        <v>1392</v>
      </c>
      <c r="F711" s="434" t="s">
        <v>1583</v>
      </c>
      <c r="G711" s="593">
        <v>7000000</v>
      </c>
      <c r="H711" s="434" t="s">
        <v>1438</v>
      </c>
      <c r="I711" s="434" t="s">
        <v>1438</v>
      </c>
    </row>
    <row r="712" spans="1:9" hidden="1" x14ac:dyDescent="0.4">
      <c r="A712" s="434">
        <v>3</v>
      </c>
      <c r="B712" s="434" t="s">
        <v>1584</v>
      </c>
      <c r="C712" s="434" t="s">
        <v>1436</v>
      </c>
      <c r="D712" s="434" t="s">
        <v>72</v>
      </c>
      <c r="E712" s="434" t="s">
        <v>1348</v>
      </c>
      <c r="F712" s="434" t="s">
        <v>1437</v>
      </c>
      <c r="G712" s="593">
        <v>74644700</v>
      </c>
      <c r="H712" s="434" t="s">
        <v>1438</v>
      </c>
      <c r="I712" s="434" t="s">
        <v>1438</v>
      </c>
    </row>
    <row r="713" spans="1:9" hidden="1" x14ac:dyDescent="0.4">
      <c r="A713" s="434">
        <v>3</v>
      </c>
      <c r="B713" s="434" t="s">
        <v>1584</v>
      </c>
      <c r="C713" s="434" t="s">
        <v>1436</v>
      </c>
      <c r="D713" s="434" t="s">
        <v>76</v>
      </c>
      <c r="E713" s="434" t="s">
        <v>1352</v>
      </c>
      <c r="F713" s="434" t="s">
        <v>1056</v>
      </c>
      <c r="G713" s="593">
        <v>3500000</v>
      </c>
      <c r="H713" s="434" t="s">
        <v>1438</v>
      </c>
      <c r="I713" s="434" t="s">
        <v>1438</v>
      </c>
    </row>
    <row r="714" spans="1:9" hidden="1" x14ac:dyDescent="0.4">
      <c r="A714" s="434">
        <v>3</v>
      </c>
      <c r="B714" s="434" t="s">
        <v>1584</v>
      </c>
      <c r="C714" s="434" t="s">
        <v>1436</v>
      </c>
      <c r="D714" s="434" t="s">
        <v>80</v>
      </c>
      <c r="E714" s="434" t="s">
        <v>1332</v>
      </c>
      <c r="F714" s="434" t="s">
        <v>481</v>
      </c>
      <c r="G714" s="593">
        <v>16726200</v>
      </c>
      <c r="H714" s="434" t="s">
        <v>1438</v>
      </c>
      <c r="I714" s="434" t="s">
        <v>1438</v>
      </c>
    </row>
    <row r="715" spans="1:9" hidden="1" x14ac:dyDescent="0.4">
      <c r="A715" s="434">
        <v>3</v>
      </c>
      <c r="B715" s="434" t="s">
        <v>1584</v>
      </c>
      <c r="C715" s="434" t="s">
        <v>1436</v>
      </c>
      <c r="D715" s="434" t="s">
        <v>82</v>
      </c>
      <c r="E715" s="434" t="s">
        <v>1333</v>
      </c>
      <c r="F715" s="434" t="s">
        <v>482</v>
      </c>
      <c r="G715" s="593">
        <v>14241500</v>
      </c>
      <c r="H715" s="434" t="s">
        <v>1438</v>
      </c>
      <c r="I715" s="434" t="s">
        <v>1438</v>
      </c>
    </row>
    <row r="716" spans="1:9" hidden="1" x14ac:dyDescent="0.4">
      <c r="A716" s="434">
        <v>3</v>
      </c>
      <c r="B716" s="434" t="s">
        <v>1584</v>
      </c>
      <c r="C716" s="434" t="s">
        <v>1436</v>
      </c>
      <c r="D716" s="434" t="s">
        <v>84</v>
      </c>
      <c r="E716" s="434" t="s">
        <v>1355</v>
      </c>
      <c r="F716" s="434" t="s">
        <v>483</v>
      </c>
      <c r="G716" s="593">
        <v>10052100</v>
      </c>
      <c r="H716" s="434" t="s">
        <v>1438</v>
      </c>
      <c r="I716" s="434" t="s">
        <v>1438</v>
      </c>
    </row>
    <row r="717" spans="1:9" hidden="1" x14ac:dyDescent="0.4">
      <c r="A717" s="434">
        <v>3</v>
      </c>
      <c r="B717" s="434" t="s">
        <v>1584</v>
      </c>
      <c r="C717" s="434" t="s">
        <v>1436</v>
      </c>
      <c r="D717" s="434" t="s">
        <v>86</v>
      </c>
      <c r="E717" s="434" t="s">
        <v>1356</v>
      </c>
      <c r="F717" s="434" t="s">
        <v>484</v>
      </c>
      <c r="G717" s="593">
        <v>8373400</v>
      </c>
      <c r="H717" s="434" t="s">
        <v>1438</v>
      </c>
      <c r="I717" s="434" t="s">
        <v>1438</v>
      </c>
    </row>
    <row r="718" spans="1:9" hidden="1" x14ac:dyDescent="0.4">
      <c r="A718" s="434">
        <v>3</v>
      </c>
      <c r="B718" s="434" t="s">
        <v>1584</v>
      </c>
      <c r="C718" s="434" t="s">
        <v>1436</v>
      </c>
      <c r="D718" s="434" t="s">
        <v>87</v>
      </c>
      <c r="E718" s="434" t="s">
        <v>1334</v>
      </c>
      <c r="F718" s="434" t="s">
        <v>485</v>
      </c>
      <c r="G718" s="593">
        <v>3140400</v>
      </c>
      <c r="H718" s="434" t="s">
        <v>1438</v>
      </c>
      <c r="I718" s="434" t="s">
        <v>1438</v>
      </c>
    </row>
    <row r="719" spans="1:9" hidden="1" x14ac:dyDescent="0.4">
      <c r="A719" s="434">
        <v>3</v>
      </c>
      <c r="B719" s="434" t="s">
        <v>1584</v>
      </c>
      <c r="C719" s="434" t="s">
        <v>1436</v>
      </c>
      <c r="D719" s="434" t="s">
        <v>90</v>
      </c>
      <c r="E719" s="434" t="s">
        <v>1357</v>
      </c>
      <c r="F719" s="434" t="s">
        <v>486</v>
      </c>
      <c r="G719" s="593">
        <v>11157900</v>
      </c>
      <c r="H719" s="434" t="s">
        <v>1438</v>
      </c>
      <c r="I719" s="434" t="s">
        <v>1438</v>
      </c>
    </row>
    <row r="720" spans="1:9" hidden="1" x14ac:dyDescent="0.4">
      <c r="A720" s="434">
        <v>3</v>
      </c>
      <c r="B720" s="434" t="s">
        <v>1584</v>
      </c>
      <c r="C720" s="434" t="s">
        <v>1436</v>
      </c>
      <c r="D720" s="434" t="s">
        <v>92</v>
      </c>
      <c r="E720" s="434" t="s">
        <v>1358</v>
      </c>
      <c r="F720" s="434" t="s">
        <v>487</v>
      </c>
      <c r="G720" s="593">
        <v>603100</v>
      </c>
      <c r="H720" s="434" t="s">
        <v>1438</v>
      </c>
      <c r="I720" s="434" t="s">
        <v>1438</v>
      </c>
    </row>
    <row r="721" spans="1:12" hidden="1" x14ac:dyDescent="0.4">
      <c r="A721" s="434">
        <v>3</v>
      </c>
      <c r="B721" s="434" t="s">
        <v>1584</v>
      </c>
      <c r="C721" s="434" t="s">
        <v>1436</v>
      </c>
      <c r="D721" s="434" t="s">
        <v>93</v>
      </c>
      <c r="E721" s="434" t="s">
        <v>1359</v>
      </c>
      <c r="F721" s="434" t="s">
        <v>488</v>
      </c>
      <c r="G721" s="593">
        <v>1809400</v>
      </c>
      <c r="H721" s="434" t="s">
        <v>1438</v>
      </c>
      <c r="I721" s="434" t="s">
        <v>1438</v>
      </c>
    </row>
    <row r="722" spans="1:12" hidden="1" x14ac:dyDescent="0.4">
      <c r="A722" s="434">
        <v>3</v>
      </c>
      <c r="B722" s="434" t="s">
        <v>1584</v>
      </c>
      <c r="C722" s="434" t="s">
        <v>1436</v>
      </c>
      <c r="D722" s="434" t="s">
        <v>94</v>
      </c>
      <c r="E722" s="434" t="s">
        <v>1360</v>
      </c>
      <c r="F722" s="434" t="s">
        <v>489</v>
      </c>
      <c r="G722" s="593">
        <v>6031300</v>
      </c>
      <c r="H722" s="434" t="s">
        <v>1438</v>
      </c>
      <c r="I722" s="434" t="s">
        <v>1438</v>
      </c>
    </row>
    <row r="723" spans="1:12" hidden="1" x14ac:dyDescent="0.4">
      <c r="A723" s="434">
        <v>3</v>
      </c>
      <c r="B723" s="434" t="s">
        <v>1584</v>
      </c>
      <c r="C723" s="434" t="s">
        <v>1436</v>
      </c>
      <c r="D723" s="434" t="s">
        <v>96</v>
      </c>
      <c r="E723" s="434" t="s">
        <v>1361</v>
      </c>
      <c r="F723" s="434" t="s">
        <v>490</v>
      </c>
      <c r="G723" s="593">
        <v>603100</v>
      </c>
      <c r="H723" s="434" t="s">
        <v>1438</v>
      </c>
      <c r="I723" s="434" t="s">
        <v>1438</v>
      </c>
    </row>
    <row r="724" spans="1:12" hidden="1" x14ac:dyDescent="0.4">
      <c r="A724" s="434">
        <v>3</v>
      </c>
      <c r="B724" s="434" t="s">
        <v>1584</v>
      </c>
      <c r="C724" s="434" t="s">
        <v>1436</v>
      </c>
      <c r="D724" s="434" t="s">
        <v>510</v>
      </c>
      <c r="E724" s="434" t="s">
        <v>1362</v>
      </c>
      <c r="F724" s="434" t="s">
        <v>491</v>
      </c>
      <c r="G724" s="593">
        <v>6537900</v>
      </c>
      <c r="H724" s="434" t="s">
        <v>1438</v>
      </c>
      <c r="I724" s="434" t="s">
        <v>1438</v>
      </c>
    </row>
    <row r="725" spans="1:12" hidden="1" x14ac:dyDescent="0.4">
      <c r="A725" s="434">
        <v>3</v>
      </c>
      <c r="B725" s="434" t="s">
        <v>1584</v>
      </c>
      <c r="C725" s="434" t="s">
        <v>1436</v>
      </c>
      <c r="D725" s="434" t="s">
        <v>100</v>
      </c>
      <c r="E725" s="434" t="s">
        <v>1363</v>
      </c>
      <c r="F725" s="434" t="s">
        <v>491</v>
      </c>
      <c r="G725" s="593">
        <v>3618800</v>
      </c>
      <c r="H725" s="434" t="s">
        <v>1438</v>
      </c>
      <c r="I725" s="434" t="s">
        <v>1438</v>
      </c>
    </row>
    <row r="726" spans="1:12" hidden="1" x14ac:dyDescent="0.4">
      <c r="A726" s="434">
        <v>3</v>
      </c>
      <c r="B726" s="434" t="s">
        <v>1584</v>
      </c>
      <c r="C726" s="434" t="s">
        <v>1436</v>
      </c>
      <c r="D726" s="434" t="s">
        <v>101</v>
      </c>
      <c r="E726" s="434" t="s">
        <v>1364</v>
      </c>
      <c r="F726" s="434" t="s">
        <v>1135</v>
      </c>
      <c r="G726" s="593">
        <v>1809400</v>
      </c>
      <c r="H726" s="434" t="s">
        <v>1438</v>
      </c>
      <c r="I726" s="434" t="s">
        <v>1438</v>
      </c>
    </row>
    <row r="727" spans="1:12" s="1448" customFormat="1" hidden="1" x14ac:dyDescent="0.4">
      <c r="A727" s="434">
        <v>3</v>
      </c>
      <c r="B727" s="1448" t="s">
        <v>1584</v>
      </c>
      <c r="C727" s="1448" t="s">
        <v>1436</v>
      </c>
      <c r="D727" s="434" t="s">
        <v>72</v>
      </c>
      <c r="F727" s="1448" t="s">
        <v>1749</v>
      </c>
      <c r="G727" s="1449">
        <v>6264800</v>
      </c>
      <c r="H727" s="1448" t="s">
        <v>534</v>
      </c>
      <c r="I727" s="1448" t="s">
        <v>534</v>
      </c>
      <c r="J727" s="1450"/>
      <c r="K727" s="1450"/>
      <c r="L727" s="1450"/>
    </row>
    <row r="728" spans="1:12" s="1448" customFormat="1" hidden="1" x14ac:dyDescent="0.4">
      <c r="A728" s="434">
        <v>3</v>
      </c>
      <c r="B728" s="1448" t="s">
        <v>1584</v>
      </c>
      <c r="C728" s="1448" t="s">
        <v>1436</v>
      </c>
      <c r="D728" s="434" t="s">
        <v>76</v>
      </c>
      <c r="F728" s="1448" t="s">
        <v>1749</v>
      </c>
      <c r="G728" s="1449">
        <v>0</v>
      </c>
      <c r="H728" s="1448" t="s">
        <v>534</v>
      </c>
      <c r="I728" s="1448" t="s">
        <v>534</v>
      </c>
      <c r="J728" s="1450"/>
      <c r="K728" s="1450"/>
      <c r="L728" s="1450"/>
    </row>
    <row r="729" spans="1:12" s="1448" customFormat="1" hidden="1" x14ac:dyDescent="0.4">
      <c r="A729" s="434">
        <v>3</v>
      </c>
      <c r="B729" s="1448" t="s">
        <v>1584</v>
      </c>
      <c r="C729" s="1448" t="s">
        <v>1436</v>
      </c>
      <c r="D729" s="434" t="s">
        <v>80</v>
      </c>
      <c r="F729" s="1448" t="s">
        <v>1749</v>
      </c>
      <c r="G729" s="1449">
        <v>-200</v>
      </c>
      <c r="H729" s="1448" t="s">
        <v>534</v>
      </c>
      <c r="I729" s="1448" t="s">
        <v>534</v>
      </c>
      <c r="J729" s="1450"/>
      <c r="K729" s="1450"/>
      <c r="L729" s="1450"/>
    </row>
    <row r="730" spans="1:12" s="1448" customFormat="1" hidden="1" x14ac:dyDescent="0.4">
      <c r="A730" s="434">
        <v>3</v>
      </c>
      <c r="B730" s="1448" t="s">
        <v>1584</v>
      </c>
      <c r="C730" s="1448" t="s">
        <v>1436</v>
      </c>
      <c r="D730" s="434" t="s">
        <v>82</v>
      </c>
      <c r="F730" s="1448" t="s">
        <v>1749</v>
      </c>
      <c r="G730" s="1449">
        <v>0</v>
      </c>
      <c r="H730" s="1448" t="s">
        <v>534</v>
      </c>
      <c r="I730" s="1448" t="s">
        <v>534</v>
      </c>
      <c r="J730" s="1450"/>
      <c r="K730" s="1450"/>
      <c r="L730" s="1450"/>
    </row>
    <row r="731" spans="1:12" s="1448" customFormat="1" hidden="1" x14ac:dyDescent="0.4">
      <c r="A731" s="434">
        <v>3</v>
      </c>
      <c r="B731" s="1448" t="s">
        <v>1584</v>
      </c>
      <c r="C731" s="1448" t="s">
        <v>1436</v>
      </c>
      <c r="D731" s="434" t="s">
        <v>84</v>
      </c>
      <c r="F731" s="1448" t="s">
        <v>1749</v>
      </c>
      <c r="G731" s="1449">
        <v>565400</v>
      </c>
      <c r="H731" s="1448" t="s">
        <v>534</v>
      </c>
      <c r="I731" s="1448" t="s">
        <v>534</v>
      </c>
      <c r="J731" s="1450"/>
      <c r="K731" s="1450"/>
      <c r="L731" s="1450"/>
    </row>
    <row r="732" spans="1:12" s="1448" customFormat="1" hidden="1" x14ac:dyDescent="0.4">
      <c r="A732" s="434">
        <v>3</v>
      </c>
      <c r="B732" s="1448" t="s">
        <v>1584</v>
      </c>
      <c r="C732" s="1448" t="s">
        <v>1436</v>
      </c>
      <c r="D732" s="434" t="s">
        <v>86</v>
      </c>
      <c r="F732" s="1448" t="s">
        <v>1749</v>
      </c>
      <c r="G732" s="1449">
        <v>522100</v>
      </c>
      <c r="H732" s="1448" t="s">
        <v>534</v>
      </c>
      <c r="I732" s="1448" t="s">
        <v>534</v>
      </c>
      <c r="J732" s="1450"/>
      <c r="K732" s="1450"/>
      <c r="L732" s="1450"/>
    </row>
    <row r="733" spans="1:12" s="1448" customFormat="1" hidden="1" x14ac:dyDescent="0.4">
      <c r="A733" s="434">
        <v>3</v>
      </c>
      <c r="B733" s="1448" t="s">
        <v>1584</v>
      </c>
      <c r="C733" s="1448" t="s">
        <v>1436</v>
      </c>
      <c r="D733" s="434" t="s">
        <v>87</v>
      </c>
      <c r="F733" s="1448" t="s">
        <v>1749</v>
      </c>
      <c r="G733" s="1449">
        <v>100</v>
      </c>
      <c r="H733" s="1448" t="s">
        <v>534</v>
      </c>
      <c r="I733" s="1448" t="s">
        <v>534</v>
      </c>
      <c r="J733" s="1450"/>
      <c r="K733" s="1450"/>
      <c r="L733" s="1450"/>
    </row>
    <row r="734" spans="1:12" s="1448" customFormat="1" hidden="1" x14ac:dyDescent="0.4">
      <c r="A734" s="434">
        <v>3</v>
      </c>
      <c r="B734" s="1448" t="s">
        <v>1584</v>
      </c>
      <c r="C734" s="1448" t="s">
        <v>1436</v>
      </c>
      <c r="D734" s="434" t="s">
        <v>90</v>
      </c>
      <c r="F734" s="1448" t="s">
        <v>1749</v>
      </c>
      <c r="G734" s="1449">
        <v>627600</v>
      </c>
      <c r="H734" s="1448" t="s">
        <v>534</v>
      </c>
      <c r="I734" s="1448" t="s">
        <v>534</v>
      </c>
      <c r="J734" s="1450"/>
      <c r="K734" s="1450"/>
      <c r="L734" s="1450"/>
    </row>
    <row r="735" spans="1:12" s="1448" customFormat="1" hidden="1" x14ac:dyDescent="0.4">
      <c r="A735" s="434">
        <v>3</v>
      </c>
      <c r="B735" s="1448" t="s">
        <v>1584</v>
      </c>
      <c r="C735" s="1448" t="s">
        <v>1436</v>
      </c>
      <c r="D735" s="434" t="s">
        <v>92</v>
      </c>
      <c r="F735" s="1448" t="s">
        <v>1749</v>
      </c>
      <c r="G735" s="1449">
        <v>33900</v>
      </c>
      <c r="H735" s="1448" t="s">
        <v>534</v>
      </c>
      <c r="I735" s="1448" t="s">
        <v>534</v>
      </c>
      <c r="J735" s="1450"/>
      <c r="K735" s="1450"/>
      <c r="L735" s="1450"/>
    </row>
    <row r="736" spans="1:12" s="1448" customFormat="1" hidden="1" x14ac:dyDescent="0.4">
      <c r="A736" s="434">
        <v>3</v>
      </c>
      <c r="B736" s="1448" t="s">
        <v>1584</v>
      </c>
      <c r="C736" s="1448" t="s">
        <v>1436</v>
      </c>
      <c r="D736" s="434" t="s">
        <v>93</v>
      </c>
      <c r="F736" s="1448" t="s">
        <v>1749</v>
      </c>
      <c r="G736" s="1449">
        <v>101600</v>
      </c>
      <c r="H736" s="1448" t="s">
        <v>534</v>
      </c>
      <c r="I736" s="1448" t="s">
        <v>534</v>
      </c>
      <c r="J736" s="1450"/>
      <c r="K736" s="1450"/>
      <c r="L736" s="1450"/>
    </row>
    <row r="737" spans="1:12" s="1448" customFormat="1" hidden="1" x14ac:dyDescent="0.4">
      <c r="A737" s="434">
        <v>3</v>
      </c>
      <c r="B737" s="1448" t="s">
        <v>1584</v>
      </c>
      <c r="C737" s="1448" t="s">
        <v>1436</v>
      </c>
      <c r="D737" s="434" t="s">
        <v>94</v>
      </c>
      <c r="F737" s="1448" t="s">
        <v>1749</v>
      </c>
      <c r="G737" s="1449">
        <v>339200</v>
      </c>
      <c r="H737" s="1448" t="s">
        <v>534</v>
      </c>
      <c r="I737" s="1448" t="s">
        <v>534</v>
      </c>
      <c r="J737" s="1450"/>
      <c r="K737" s="1450"/>
      <c r="L737" s="1450"/>
    </row>
    <row r="738" spans="1:12" s="1448" customFormat="1" hidden="1" x14ac:dyDescent="0.4">
      <c r="A738" s="434">
        <v>3</v>
      </c>
      <c r="B738" s="1448" t="s">
        <v>1584</v>
      </c>
      <c r="C738" s="1448" t="s">
        <v>1436</v>
      </c>
      <c r="D738" s="434" t="s">
        <v>96</v>
      </c>
      <c r="F738" s="1448" t="s">
        <v>1749</v>
      </c>
      <c r="G738" s="1449">
        <v>33900</v>
      </c>
      <c r="H738" s="1448" t="s">
        <v>534</v>
      </c>
      <c r="I738" s="1448" t="s">
        <v>534</v>
      </c>
      <c r="J738" s="1450"/>
      <c r="K738" s="1450"/>
      <c r="L738" s="1450"/>
    </row>
    <row r="739" spans="1:12" s="1448" customFormat="1" hidden="1" x14ac:dyDescent="0.4">
      <c r="A739" s="434">
        <v>3</v>
      </c>
      <c r="B739" s="1448" t="s">
        <v>1584</v>
      </c>
      <c r="C739" s="1448" t="s">
        <v>1436</v>
      </c>
      <c r="D739" s="434" t="s">
        <v>510</v>
      </c>
      <c r="F739" s="1448" t="s">
        <v>1749</v>
      </c>
      <c r="G739" s="1449">
        <v>368100</v>
      </c>
      <c r="H739" s="1448" t="s">
        <v>534</v>
      </c>
      <c r="I739" s="1448" t="s">
        <v>534</v>
      </c>
      <c r="J739" s="1450"/>
      <c r="K739" s="1450"/>
      <c r="L739" s="1450"/>
    </row>
    <row r="740" spans="1:12" s="1448" customFormat="1" hidden="1" x14ac:dyDescent="0.4">
      <c r="A740" s="434">
        <v>3</v>
      </c>
      <c r="B740" s="1448" t="s">
        <v>1584</v>
      </c>
      <c r="C740" s="1448" t="s">
        <v>1436</v>
      </c>
      <c r="D740" s="434" t="s">
        <v>100</v>
      </c>
      <c r="F740" s="1448" t="s">
        <v>1749</v>
      </c>
      <c r="G740" s="1449">
        <v>203700</v>
      </c>
      <c r="H740" s="1448" t="s">
        <v>534</v>
      </c>
      <c r="I740" s="1448" t="s">
        <v>534</v>
      </c>
      <c r="J740" s="1450"/>
      <c r="K740" s="1450"/>
      <c r="L740" s="1450"/>
    </row>
    <row r="741" spans="1:12" s="1448" customFormat="1" hidden="1" x14ac:dyDescent="0.4">
      <c r="A741" s="434">
        <v>3</v>
      </c>
      <c r="B741" s="1448" t="s">
        <v>1584</v>
      </c>
      <c r="C741" s="1448" t="s">
        <v>1436</v>
      </c>
      <c r="D741" s="434" t="s">
        <v>101</v>
      </c>
      <c r="F741" s="1448" t="s">
        <v>1749</v>
      </c>
      <c r="G741" s="1449">
        <v>101600</v>
      </c>
      <c r="H741" s="1448" t="s">
        <v>534</v>
      </c>
      <c r="I741" s="1448" t="s">
        <v>534</v>
      </c>
      <c r="J741" s="1450"/>
      <c r="K741" s="1450"/>
      <c r="L741" s="1450"/>
    </row>
    <row r="742" spans="1:12" x14ac:dyDescent="0.4">
      <c r="A742" s="434">
        <v>3</v>
      </c>
      <c r="B742" s="434" t="s">
        <v>1584</v>
      </c>
      <c r="C742" s="434" t="s">
        <v>1439</v>
      </c>
      <c r="D742" s="434" t="s">
        <v>326</v>
      </c>
      <c r="E742" s="434" t="s">
        <v>1373</v>
      </c>
      <c r="F742" s="434" t="s">
        <v>1585</v>
      </c>
      <c r="G742" s="593">
        <v>1750000</v>
      </c>
      <c r="H742" s="434" t="s">
        <v>534</v>
      </c>
      <c r="I742" s="434" t="s">
        <v>534</v>
      </c>
    </row>
    <row r="743" spans="1:12" hidden="1" x14ac:dyDescent="0.4">
      <c r="A743" s="434">
        <v>3</v>
      </c>
      <c r="B743" s="434" t="s">
        <v>1584</v>
      </c>
      <c r="C743" s="434" t="s">
        <v>1439</v>
      </c>
      <c r="D743" s="434" t="s">
        <v>153</v>
      </c>
      <c r="E743" s="434" t="s">
        <v>1388</v>
      </c>
      <c r="F743" s="434" t="s">
        <v>1586</v>
      </c>
      <c r="G743" s="593">
        <v>160000</v>
      </c>
      <c r="H743" s="434" t="s">
        <v>534</v>
      </c>
      <c r="I743" s="434" t="s">
        <v>534</v>
      </c>
    </row>
    <row r="744" spans="1:12" hidden="1" x14ac:dyDescent="0.4">
      <c r="A744" s="434">
        <v>3</v>
      </c>
      <c r="B744" s="434" t="s">
        <v>1584</v>
      </c>
      <c r="C744" s="434" t="s">
        <v>1439</v>
      </c>
      <c r="D744" s="434" t="s">
        <v>160</v>
      </c>
      <c r="E744" s="434" t="s">
        <v>1391</v>
      </c>
      <c r="F744" s="434" t="s">
        <v>1449</v>
      </c>
      <c r="G744" s="593">
        <v>810700</v>
      </c>
      <c r="H744" s="434" t="s">
        <v>534</v>
      </c>
      <c r="I744" s="434" t="s">
        <v>534</v>
      </c>
    </row>
    <row r="745" spans="1:12" hidden="1" x14ac:dyDescent="0.4">
      <c r="A745" s="434">
        <v>3</v>
      </c>
      <c r="B745" s="434" t="s">
        <v>1584</v>
      </c>
      <c r="C745" s="434" t="s">
        <v>1439</v>
      </c>
      <c r="D745" s="434" t="s">
        <v>164</v>
      </c>
      <c r="E745" s="434" t="s">
        <v>1392</v>
      </c>
      <c r="F745" s="434" t="s">
        <v>1587</v>
      </c>
      <c r="G745" s="593">
        <v>450000</v>
      </c>
      <c r="H745" s="434" t="s">
        <v>534</v>
      </c>
      <c r="I745" s="434" t="s">
        <v>534</v>
      </c>
    </row>
    <row r="746" spans="1:12" hidden="1" x14ac:dyDescent="0.4">
      <c r="A746" s="434">
        <v>3</v>
      </c>
      <c r="B746" s="434" t="s">
        <v>1588</v>
      </c>
      <c r="C746" s="434" t="s">
        <v>1436</v>
      </c>
      <c r="D746" s="434" t="s">
        <v>72</v>
      </c>
      <c r="E746" s="434" t="s">
        <v>1348</v>
      </c>
      <c r="F746" s="434" t="s">
        <v>1437</v>
      </c>
      <c r="G746" s="593">
        <v>277742300</v>
      </c>
      <c r="H746" s="434" t="s">
        <v>1441</v>
      </c>
      <c r="I746" s="434" t="s">
        <v>1438</v>
      </c>
    </row>
    <row r="747" spans="1:12" hidden="1" x14ac:dyDescent="0.4">
      <c r="A747" s="434">
        <v>3</v>
      </c>
      <c r="B747" s="434" t="s">
        <v>1588</v>
      </c>
      <c r="C747" s="434" t="s">
        <v>1436</v>
      </c>
      <c r="D747" s="434" t="s">
        <v>73</v>
      </c>
      <c r="E747" s="434" t="s">
        <v>1349</v>
      </c>
      <c r="F747" s="434" t="s">
        <v>1564</v>
      </c>
      <c r="G747" s="593">
        <v>29788200</v>
      </c>
      <c r="H747" s="434" t="s">
        <v>1441</v>
      </c>
      <c r="I747" s="434" t="s">
        <v>1438</v>
      </c>
    </row>
    <row r="748" spans="1:12" hidden="1" x14ac:dyDescent="0.4">
      <c r="A748" s="434">
        <v>3</v>
      </c>
      <c r="B748" s="434" t="s">
        <v>1588</v>
      </c>
      <c r="C748" s="434" t="s">
        <v>1436</v>
      </c>
      <c r="D748" s="434" t="s">
        <v>76</v>
      </c>
      <c r="E748" s="434" t="s">
        <v>1352</v>
      </c>
      <c r="F748" s="434" t="s">
        <v>1056</v>
      </c>
      <c r="G748" s="593">
        <v>13500000</v>
      </c>
      <c r="H748" s="434" t="s">
        <v>1441</v>
      </c>
      <c r="I748" s="434" t="s">
        <v>1438</v>
      </c>
    </row>
    <row r="749" spans="1:12" hidden="1" x14ac:dyDescent="0.4">
      <c r="A749" s="434">
        <v>3</v>
      </c>
      <c r="B749" s="434" t="s">
        <v>1588</v>
      </c>
      <c r="C749" s="434" t="s">
        <v>1436</v>
      </c>
      <c r="D749" s="434" t="s">
        <v>80</v>
      </c>
      <c r="E749" s="434" t="s">
        <v>1332</v>
      </c>
      <c r="F749" s="434" t="s">
        <v>481</v>
      </c>
      <c r="G749" s="593">
        <v>36696800</v>
      </c>
      <c r="H749" s="434" t="s">
        <v>1441</v>
      </c>
      <c r="I749" s="434" t="s">
        <v>1438</v>
      </c>
    </row>
    <row r="750" spans="1:12" hidden="1" x14ac:dyDescent="0.4">
      <c r="A750" s="434">
        <v>3</v>
      </c>
      <c r="B750" s="434" t="s">
        <v>1588</v>
      </c>
      <c r="C750" s="434" t="s">
        <v>1436</v>
      </c>
      <c r="D750" s="434" t="s">
        <v>82</v>
      </c>
      <c r="E750" s="434" t="s">
        <v>1333</v>
      </c>
      <c r="F750" s="434" t="s">
        <v>482</v>
      </c>
      <c r="G750" s="593">
        <v>12144300</v>
      </c>
      <c r="H750" s="434" t="s">
        <v>1441</v>
      </c>
      <c r="I750" s="434" t="s">
        <v>1438</v>
      </c>
    </row>
    <row r="751" spans="1:12" hidden="1" x14ac:dyDescent="0.4">
      <c r="A751" s="434">
        <v>3</v>
      </c>
      <c r="B751" s="434" t="s">
        <v>1588</v>
      </c>
      <c r="C751" s="434" t="s">
        <v>1436</v>
      </c>
      <c r="D751" s="434" t="s">
        <v>84</v>
      </c>
      <c r="E751" s="434" t="s">
        <v>1355</v>
      </c>
      <c r="F751" s="434" t="s">
        <v>483</v>
      </c>
      <c r="G751" s="593">
        <v>34014600</v>
      </c>
      <c r="H751" s="434" t="s">
        <v>1441</v>
      </c>
      <c r="I751" s="434" t="s">
        <v>1438</v>
      </c>
    </row>
    <row r="752" spans="1:12" hidden="1" x14ac:dyDescent="0.4">
      <c r="A752" s="434">
        <v>3</v>
      </c>
      <c r="B752" s="434" t="s">
        <v>1588</v>
      </c>
      <c r="C752" s="434" t="s">
        <v>1436</v>
      </c>
      <c r="D752" s="434" t="s">
        <v>86</v>
      </c>
      <c r="E752" s="434" t="s">
        <v>1356</v>
      </c>
      <c r="F752" s="434" t="s">
        <v>484</v>
      </c>
      <c r="G752" s="593">
        <v>29021800</v>
      </c>
      <c r="H752" s="434" t="s">
        <v>1441</v>
      </c>
      <c r="I752" s="434" t="s">
        <v>1438</v>
      </c>
    </row>
    <row r="753" spans="1:12" hidden="1" x14ac:dyDescent="0.4">
      <c r="A753" s="434">
        <v>3</v>
      </c>
      <c r="B753" s="434" t="s">
        <v>1588</v>
      </c>
      <c r="C753" s="434" t="s">
        <v>1436</v>
      </c>
      <c r="D753" s="434" t="s">
        <v>87</v>
      </c>
      <c r="E753" s="434" t="s">
        <v>1334</v>
      </c>
      <c r="F753" s="434" t="s">
        <v>485</v>
      </c>
      <c r="G753" s="593">
        <v>9287500</v>
      </c>
      <c r="H753" s="434" t="s">
        <v>1441</v>
      </c>
      <c r="I753" s="434" t="s">
        <v>1438</v>
      </c>
    </row>
    <row r="754" spans="1:12" hidden="1" x14ac:dyDescent="0.4">
      <c r="A754" s="434">
        <v>3</v>
      </c>
      <c r="B754" s="434" t="s">
        <v>1588</v>
      </c>
      <c r="C754" s="434" t="s">
        <v>1436</v>
      </c>
      <c r="D754" s="434" t="s">
        <v>90</v>
      </c>
      <c r="E754" s="434" t="s">
        <v>1357</v>
      </c>
      <c r="F754" s="434" t="s">
        <v>486</v>
      </c>
      <c r="G754" s="593">
        <v>37756700</v>
      </c>
      <c r="H754" s="434" t="s">
        <v>1441</v>
      </c>
      <c r="I754" s="434" t="s">
        <v>1438</v>
      </c>
    </row>
    <row r="755" spans="1:12" hidden="1" x14ac:dyDescent="0.4">
      <c r="A755" s="434">
        <v>3</v>
      </c>
      <c r="B755" s="434" t="s">
        <v>1588</v>
      </c>
      <c r="C755" s="434" t="s">
        <v>1436</v>
      </c>
      <c r="D755" s="434" t="s">
        <v>92</v>
      </c>
      <c r="E755" s="434" t="s">
        <v>1358</v>
      </c>
      <c r="F755" s="434" t="s">
        <v>487</v>
      </c>
      <c r="G755" s="593">
        <v>2040900</v>
      </c>
      <c r="H755" s="434" t="s">
        <v>1441</v>
      </c>
      <c r="I755" s="434" t="s">
        <v>1438</v>
      </c>
    </row>
    <row r="756" spans="1:12" hidden="1" x14ac:dyDescent="0.4">
      <c r="A756" s="434">
        <v>3</v>
      </c>
      <c r="B756" s="434" t="s">
        <v>1588</v>
      </c>
      <c r="C756" s="434" t="s">
        <v>1436</v>
      </c>
      <c r="D756" s="434" t="s">
        <v>93</v>
      </c>
      <c r="E756" s="434" t="s">
        <v>1359</v>
      </c>
      <c r="F756" s="434" t="s">
        <v>488</v>
      </c>
      <c r="G756" s="593">
        <v>6122700</v>
      </c>
      <c r="H756" s="434" t="s">
        <v>1441</v>
      </c>
      <c r="I756" s="434" t="s">
        <v>1438</v>
      </c>
    </row>
    <row r="757" spans="1:12" hidden="1" x14ac:dyDescent="0.4">
      <c r="A757" s="434">
        <v>3</v>
      </c>
      <c r="B757" s="434" t="s">
        <v>1588</v>
      </c>
      <c r="C757" s="434" t="s">
        <v>1436</v>
      </c>
      <c r="D757" s="434" t="s">
        <v>94</v>
      </c>
      <c r="E757" s="434" t="s">
        <v>1360</v>
      </c>
      <c r="F757" s="434" t="s">
        <v>489</v>
      </c>
      <c r="G757" s="593">
        <v>20409100</v>
      </c>
      <c r="H757" s="434" t="s">
        <v>1441</v>
      </c>
      <c r="I757" s="434" t="s">
        <v>1438</v>
      </c>
    </row>
    <row r="758" spans="1:12" hidden="1" x14ac:dyDescent="0.4">
      <c r="A758" s="434">
        <v>3</v>
      </c>
      <c r="B758" s="434" t="s">
        <v>1588</v>
      </c>
      <c r="C758" s="434" t="s">
        <v>1436</v>
      </c>
      <c r="D758" s="434" t="s">
        <v>96</v>
      </c>
      <c r="E758" s="434" t="s">
        <v>1361</v>
      </c>
      <c r="F758" s="434" t="s">
        <v>490</v>
      </c>
      <c r="G758" s="593">
        <v>2040900</v>
      </c>
      <c r="H758" s="434" t="s">
        <v>1441</v>
      </c>
      <c r="I758" s="434" t="s">
        <v>1438</v>
      </c>
    </row>
    <row r="759" spans="1:12" hidden="1" x14ac:dyDescent="0.4">
      <c r="A759" s="434">
        <v>3</v>
      </c>
      <c r="B759" s="434" t="s">
        <v>1588</v>
      </c>
      <c r="C759" s="434" t="s">
        <v>1436</v>
      </c>
      <c r="D759" s="434" t="s">
        <v>510</v>
      </c>
      <c r="E759" s="434" t="s">
        <v>1362</v>
      </c>
      <c r="F759" s="434" t="s">
        <v>491</v>
      </c>
      <c r="G759" s="593">
        <v>22123400</v>
      </c>
      <c r="H759" s="434" t="s">
        <v>1441</v>
      </c>
      <c r="I759" s="434" t="s">
        <v>1438</v>
      </c>
    </row>
    <row r="760" spans="1:12" hidden="1" x14ac:dyDescent="0.4">
      <c r="A760" s="434">
        <v>3</v>
      </c>
      <c r="B760" s="434" t="s">
        <v>1588</v>
      </c>
      <c r="C760" s="434" t="s">
        <v>1436</v>
      </c>
      <c r="D760" s="434" t="s">
        <v>100</v>
      </c>
      <c r="E760" s="434" t="s">
        <v>1363</v>
      </c>
      <c r="F760" s="434" t="s">
        <v>491</v>
      </c>
      <c r="G760" s="593">
        <v>12245400</v>
      </c>
      <c r="H760" s="434" t="s">
        <v>1441</v>
      </c>
      <c r="I760" s="434" t="s">
        <v>1438</v>
      </c>
    </row>
    <row r="761" spans="1:12" hidden="1" x14ac:dyDescent="0.4">
      <c r="A761" s="434">
        <v>3</v>
      </c>
      <c r="B761" s="434" t="s">
        <v>1588</v>
      </c>
      <c r="C761" s="434" t="s">
        <v>1436</v>
      </c>
      <c r="D761" s="434" t="s">
        <v>101</v>
      </c>
      <c r="E761" s="434" t="s">
        <v>1364</v>
      </c>
      <c r="F761" s="434" t="s">
        <v>1135</v>
      </c>
      <c r="G761" s="593">
        <v>6122700</v>
      </c>
      <c r="H761" s="434" t="s">
        <v>1441</v>
      </c>
      <c r="I761" s="434" t="s">
        <v>1438</v>
      </c>
    </row>
    <row r="762" spans="1:12" s="1448" customFormat="1" hidden="1" x14ac:dyDescent="0.4">
      <c r="A762" s="434">
        <v>3</v>
      </c>
      <c r="B762" s="1448" t="s">
        <v>1588</v>
      </c>
      <c r="C762" s="1448" t="s">
        <v>1436</v>
      </c>
      <c r="D762" s="434" t="s">
        <v>72</v>
      </c>
      <c r="F762" s="1448" t="s">
        <v>1749</v>
      </c>
      <c r="G762" s="1449">
        <v>11262700</v>
      </c>
      <c r="H762" s="1448" t="s">
        <v>534</v>
      </c>
      <c r="I762" s="1448" t="s">
        <v>534</v>
      </c>
      <c r="J762" s="1450"/>
      <c r="K762" s="1450"/>
      <c r="L762" s="1450"/>
    </row>
    <row r="763" spans="1:12" s="1448" customFormat="1" hidden="1" x14ac:dyDescent="0.4">
      <c r="A763" s="434">
        <v>3</v>
      </c>
      <c r="B763" s="1448" t="s">
        <v>1588</v>
      </c>
      <c r="C763" s="1448" t="s">
        <v>1436</v>
      </c>
      <c r="D763" s="434" t="s">
        <v>73</v>
      </c>
      <c r="F763" s="1448" t="s">
        <v>1749</v>
      </c>
      <c r="G763" s="1449">
        <v>-200</v>
      </c>
      <c r="H763" s="1448" t="s">
        <v>534</v>
      </c>
      <c r="I763" s="1448" t="s">
        <v>534</v>
      </c>
      <c r="J763" s="1450"/>
      <c r="K763" s="1450"/>
      <c r="L763" s="1450"/>
    </row>
    <row r="764" spans="1:12" s="1448" customFormat="1" hidden="1" x14ac:dyDescent="0.4">
      <c r="A764" s="434">
        <v>3</v>
      </c>
      <c r="B764" s="1448" t="s">
        <v>1588</v>
      </c>
      <c r="C764" s="1448" t="s">
        <v>1436</v>
      </c>
      <c r="D764" s="434" t="s">
        <v>76</v>
      </c>
      <c r="F764" s="1448" t="s">
        <v>1749</v>
      </c>
      <c r="G764" s="1449">
        <v>0</v>
      </c>
      <c r="H764" s="1448" t="s">
        <v>534</v>
      </c>
      <c r="I764" s="1448" t="s">
        <v>534</v>
      </c>
      <c r="J764" s="1450"/>
      <c r="K764" s="1450"/>
      <c r="L764" s="1450"/>
    </row>
    <row r="765" spans="1:12" s="1448" customFormat="1" hidden="1" x14ac:dyDescent="0.4">
      <c r="A765" s="434">
        <v>3</v>
      </c>
      <c r="B765" s="1448" t="s">
        <v>1588</v>
      </c>
      <c r="C765" s="1448" t="s">
        <v>1436</v>
      </c>
      <c r="D765" s="434" t="s">
        <v>80</v>
      </c>
      <c r="F765" s="1448" t="s">
        <v>1749</v>
      </c>
      <c r="G765" s="1449">
        <v>200</v>
      </c>
      <c r="H765" s="1448" t="s">
        <v>534</v>
      </c>
      <c r="I765" s="1448" t="s">
        <v>534</v>
      </c>
      <c r="J765" s="1450"/>
      <c r="K765" s="1450"/>
      <c r="L765" s="1450"/>
    </row>
    <row r="766" spans="1:12" s="1448" customFormat="1" hidden="1" x14ac:dyDescent="0.4">
      <c r="A766" s="434">
        <v>3</v>
      </c>
      <c r="B766" s="1448" t="s">
        <v>1588</v>
      </c>
      <c r="C766" s="1448" t="s">
        <v>1436</v>
      </c>
      <c r="D766" s="434" t="s">
        <v>82</v>
      </c>
      <c r="F766" s="1448" t="s">
        <v>1749</v>
      </c>
      <c r="G766" s="1449">
        <v>-300</v>
      </c>
      <c r="H766" s="1448" t="s">
        <v>534</v>
      </c>
      <c r="I766" s="1448" t="s">
        <v>534</v>
      </c>
      <c r="J766" s="1450"/>
      <c r="K766" s="1450"/>
      <c r="L766" s="1450"/>
    </row>
    <row r="767" spans="1:12" s="1448" customFormat="1" hidden="1" x14ac:dyDescent="0.4">
      <c r="A767" s="434">
        <v>3</v>
      </c>
      <c r="B767" s="1448" t="s">
        <v>1588</v>
      </c>
      <c r="C767" s="1448" t="s">
        <v>1436</v>
      </c>
      <c r="D767" s="434" t="s">
        <v>84</v>
      </c>
      <c r="F767" s="1448" t="s">
        <v>1749</v>
      </c>
      <c r="G767" s="1449">
        <v>1016400</v>
      </c>
      <c r="H767" s="1448" t="s">
        <v>534</v>
      </c>
      <c r="I767" s="1448" t="s">
        <v>534</v>
      </c>
      <c r="J767" s="1450"/>
      <c r="K767" s="1450"/>
      <c r="L767" s="1450"/>
    </row>
    <row r="768" spans="1:12" s="1448" customFormat="1" hidden="1" x14ac:dyDescent="0.4">
      <c r="A768" s="434">
        <v>3</v>
      </c>
      <c r="B768" s="1448" t="s">
        <v>1588</v>
      </c>
      <c r="C768" s="1448" t="s">
        <v>1436</v>
      </c>
      <c r="D768" s="434" t="s">
        <v>86</v>
      </c>
      <c r="F768" s="1448" t="s">
        <v>1749</v>
      </c>
      <c r="G768" s="1449">
        <v>938200</v>
      </c>
      <c r="H768" s="1448" t="s">
        <v>534</v>
      </c>
      <c r="I768" s="1448" t="s">
        <v>534</v>
      </c>
      <c r="J768" s="1450"/>
      <c r="K768" s="1450"/>
      <c r="L768" s="1450"/>
    </row>
    <row r="769" spans="1:12" s="1448" customFormat="1" hidden="1" x14ac:dyDescent="0.4">
      <c r="A769" s="434">
        <v>3</v>
      </c>
      <c r="B769" s="1448" t="s">
        <v>1588</v>
      </c>
      <c r="C769" s="1448" t="s">
        <v>1436</v>
      </c>
      <c r="D769" s="434" t="s">
        <v>87</v>
      </c>
      <c r="F769" s="1448" t="s">
        <v>1749</v>
      </c>
      <c r="G769" s="1449">
        <v>0</v>
      </c>
      <c r="H769" s="1448" t="s">
        <v>534</v>
      </c>
      <c r="I769" s="1448" t="s">
        <v>534</v>
      </c>
      <c r="J769" s="1450"/>
      <c r="K769" s="1450"/>
      <c r="L769" s="1450"/>
    </row>
    <row r="770" spans="1:12" s="1448" customFormat="1" hidden="1" x14ac:dyDescent="0.4">
      <c r="A770" s="434">
        <v>3</v>
      </c>
      <c r="B770" s="1448" t="s">
        <v>1588</v>
      </c>
      <c r="C770" s="1448" t="s">
        <v>1436</v>
      </c>
      <c r="D770" s="434" t="s">
        <v>90</v>
      </c>
      <c r="F770" s="1448" t="s">
        <v>1749</v>
      </c>
      <c r="G770" s="1449">
        <v>1128800</v>
      </c>
      <c r="H770" s="1448" t="s">
        <v>534</v>
      </c>
      <c r="I770" s="1448" t="s">
        <v>534</v>
      </c>
      <c r="J770" s="1450"/>
      <c r="K770" s="1450"/>
      <c r="L770" s="1450"/>
    </row>
    <row r="771" spans="1:12" s="1448" customFormat="1" hidden="1" x14ac:dyDescent="0.4">
      <c r="A771" s="434">
        <v>3</v>
      </c>
      <c r="B771" s="1448" t="s">
        <v>1588</v>
      </c>
      <c r="C771" s="1448" t="s">
        <v>1436</v>
      </c>
      <c r="D771" s="434" t="s">
        <v>92</v>
      </c>
      <c r="F771" s="1448" t="s">
        <v>1749</v>
      </c>
      <c r="G771" s="1449">
        <v>61100</v>
      </c>
      <c r="H771" s="1448" t="s">
        <v>534</v>
      </c>
      <c r="I771" s="1448" t="s">
        <v>534</v>
      </c>
      <c r="J771" s="1450"/>
      <c r="K771" s="1450"/>
      <c r="L771" s="1450"/>
    </row>
    <row r="772" spans="1:12" s="1448" customFormat="1" hidden="1" x14ac:dyDescent="0.4">
      <c r="A772" s="434">
        <v>3</v>
      </c>
      <c r="B772" s="1448" t="s">
        <v>1588</v>
      </c>
      <c r="C772" s="1448" t="s">
        <v>1436</v>
      </c>
      <c r="D772" s="434" t="s">
        <v>93</v>
      </c>
      <c r="F772" s="1448" t="s">
        <v>1749</v>
      </c>
      <c r="G772" s="1449">
        <v>183300</v>
      </c>
      <c r="H772" s="1448" t="s">
        <v>534</v>
      </c>
      <c r="I772" s="1448" t="s">
        <v>534</v>
      </c>
      <c r="J772" s="1450"/>
      <c r="K772" s="1450"/>
      <c r="L772" s="1450"/>
    </row>
    <row r="773" spans="1:12" s="1448" customFormat="1" hidden="1" x14ac:dyDescent="0.4">
      <c r="A773" s="434">
        <v>3</v>
      </c>
      <c r="B773" s="1448" t="s">
        <v>1588</v>
      </c>
      <c r="C773" s="1448" t="s">
        <v>1436</v>
      </c>
      <c r="D773" s="434" t="s">
        <v>94</v>
      </c>
      <c r="F773" s="1448" t="s">
        <v>1749</v>
      </c>
      <c r="G773" s="1449">
        <v>609900</v>
      </c>
      <c r="H773" s="1448" t="s">
        <v>534</v>
      </c>
      <c r="I773" s="1448" t="s">
        <v>534</v>
      </c>
      <c r="J773" s="1450"/>
      <c r="K773" s="1450"/>
      <c r="L773" s="1450"/>
    </row>
    <row r="774" spans="1:12" s="1448" customFormat="1" hidden="1" x14ac:dyDescent="0.4">
      <c r="A774" s="434">
        <v>3</v>
      </c>
      <c r="B774" s="1448" t="s">
        <v>1588</v>
      </c>
      <c r="C774" s="1448" t="s">
        <v>1436</v>
      </c>
      <c r="D774" s="434" t="s">
        <v>96</v>
      </c>
      <c r="F774" s="1448" t="s">
        <v>1749</v>
      </c>
      <c r="G774" s="1449">
        <v>61100</v>
      </c>
      <c r="H774" s="1448" t="s">
        <v>534</v>
      </c>
      <c r="I774" s="1448" t="s">
        <v>534</v>
      </c>
      <c r="J774" s="1450"/>
      <c r="K774" s="1450"/>
      <c r="L774" s="1450"/>
    </row>
    <row r="775" spans="1:12" s="1448" customFormat="1" hidden="1" x14ac:dyDescent="0.4">
      <c r="A775" s="434">
        <v>3</v>
      </c>
      <c r="B775" s="1448" t="s">
        <v>1588</v>
      </c>
      <c r="C775" s="1448" t="s">
        <v>1436</v>
      </c>
      <c r="D775" s="434" t="s">
        <v>510</v>
      </c>
      <c r="F775" s="1448" t="s">
        <v>1749</v>
      </c>
      <c r="G775" s="1449">
        <v>661100</v>
      </c>
      <c r="H775" s="1448" t="s">
        <v>534</v>
      </c>
      <c r="I775" s="1448" t="s">
        <v>534</v>
      </c>
      <c r="J775" s="1450"/>
      <c r="K775" s="1450"/>
      <c r="L775" s="1450"/>
    </row>
    <row r="776" spans="1:12" s="1448" customFormat="1" hidden="1" x14ac:dyDescent="0.4">
      <c r="A776" s="434">
        <v>3</v>
      </c>
      <c r="B776" s="1448" t="s">
        <v>1588</v>
      </c>
      <c r="C776" s="1448" t="s">
        <v>1436</v>
      </c>
      <c r="D776" s="434" t="s">
        <v>100</v>
      </c>
      <c r="F776" s="1448" t="s">
        <v>1749</v>
      </c>
      <c r="G776" s="1449">
        <v>366100</v>
      </c>
      <c r="H776" s="1448" t="s">
        <v>534</v>
      </c>
      <c r="I776" s="1448" t="s">
        <v>534</v>
      </c>
      <c r="J776" s="1450"/>
      <c r="K776" s="1450"/>
      <c r="L776" s="1450"/>
    </row>
    <row r="777" spans="1:12" s="1448" customFormat="1" hidden="1" x14ac:dyDescent="0.4">
      <c r="A777" s="434">
        <v>3</v>
      </c>
      <c r="B777" s="1448" t="s">
        <v>1588</v>
      </c>
      <c r="C777" s="1448" t="s">
        <v>1436</v>
      </c>
      <c r="D777" s="434" t="s">
        <v>101</v>
      </c>
      <c r="F777" s="1448" t="s">
        <v>1749</v>
      </c>
      <c r="G777" s="1449">
        <v>183300</v>
      </c>
      <c r="H777" s="1448" t="s">
        <v>534</v>
      </c>
      <c r="I777" s="1448" t="s">
        <v>534</v>
      </c>
      <c r="J777" s="1450"/>
      <c r="K777" s="1450"/>
      <c r="L777" s="1450"/>
    </row>
    <row r="778" spans="1:12" x14ac:dyDescent="0.4">
      <c r="A778" s="434">
        <v>3</v>
      </c>
      <c r="B778" s="434" t="s">
        <v>1588</v>
      </c>
      <c r="C778" s="434" t="s">
        <v>1439</v>
      </c>
      <c r="D778" s="434" t="s">
        <v>326</v>
      </c>
      <c r="E778" s="434" t="s">
        <v>1373</v>
      </c>
      <c r="F778" s="434" t="s">
        <v>1589</v>
      </c>
      <c r="G778" s="593">
        <v>9000000</v>
      </c>
      <c r="H778" s="434" t="s">
        <v>534</v>
      </c>
      <c r="I778" s="434" t="s">
        <v>534</v>
      </c>
    </row>
    <row r="779" spans="1:12" hidden="1" x14ac:dyDescent="0.4">
      <c r="A779" s="434">
        <v>3</v>
      </c>
      <c r="B779" s="434" t="s">
        <v>1588</v>
      </c>
      <c r="C779" s="434" t="s">
        <v>1439</v>
      </c>
      <c r="D779" s="434" t="s">
        <v>131</v>
      </c>
      <c r="E779" s="434" t="s">
        <v>1377</v>
      </c>
      <c r="F779" s="434" t="s">
        <v>1579</v>
      </c>
      <c r="G779" s="593">
        <v>1000000</v>
      </c>
      <c r="H779" s="434" t="s">
        <v>534</v>
      </c>
      <c r="I779" s="434" t="s">
        <v>534</v>
      </c>
    </row>
    <row r="780" spans="1:12" hidden="1" x14ac:dyDescent="0.4">
      <c r="A780" s="434">
        <v>3</v>
      </c>
      <c r="B780" s="434" t="s">
        <v>1588</v>
      </c>
      <c r="C780" s="434" t="s">
        <v>1439</v>
      </c>
      <c r="D780" s="434" t="s">
        <v>151</v>
      </c>
      <c r="E780" s="434" t="s">
        <v>1387</v>
      </c>
      <c r="F780" s="434" t="s">
        <v>1590</v>
      </c>
      <c r="G780" s="593">
        <v>1200000</v>
      </c>
      <c r="H780" s="434" t="s">
        <v>534</v>
      </c>
      <c r="I780" s="434" t="s">
        <v>534</v>
      </c>
    </row>
    <row r="781" spans="1:12" hidden="1" x14ac:dyDescent="0.4">
      <c r="A781" s="434">
        <v>3</v>
      </c>
      <c r="B781" s="434" t="s">
        <v>1588</v>
      </c>
      <c r="C781" s="434" t="s">
        <v>1439</v>
      </c>
      <c r="D781" s="434" t="s">
        <v>153</v>
      </c>
      <c r="E781" s="434" t="s">
        <v>1388</v>
      </c>
      <c r="F781" s="434" t="s">
        <v>1582</v>
      </c>
      <c r="G781" s="593">
        <v>96000000</v>
      </c>
      <c r="H781" s="434" t="s">
        <v>534</v>
      </c>
      <c r="I781" s="434" t="s">
        <v>534</v>
      </c>
    </row>
    <row r="782" spans="1:12" hidden="1" x14ac:dyDescent="0.4">
      <c r="A782" s="434">
        <v>3</v>
      </c>
      <c r="B782" s="434" t="s">
        <v>1588</v>
      </c>
      <c r="C782" s="434" t="s">
        <v>1439</v>
      </c>
      <c r="D782" s="434" t="s">
        <v>160</v>
      </c>
      <c r="E782" s="434" t="s">
        <v>1391</v>
      </c>
      <c r="F782" s="434" t="s">
        <v>1591</v>
      </c>
      <c r="G782" s="593">
        <v>21252400</v>
      </c>
      <c r="H782" s="434" t="s">
        <v>534</v>
      </c>
      <c r="I782" s="434" t="s">
        <v>534</v>
      </c>
    </row>
    <row r="783" spans="1:12" hidden="1" x14ac:dyDescent="0.4">
      <c r="A783" s="434">
        <v>3</v>
      </c>
      <c r="B783" s="434" t="s">
        <v>1588</v>
      </c>
      <c r="C783" s="434" t="s">
        <v>1439</v>
      </c>
      <c r="D783" s="434" t="s">
        <v>164</v>
      </c>
      <c r="E783" s="434" t="s">
        <v>1392</v>
      </c>
      <c r="F783" s="434" t="s">
        <v>1592</v>
      </c>
      <c r="G783" s="593">
        <v>5000000</v>
      </c>
      <c r="H783" s="434" t="s">
        <v>534</v>
      </c>
      <c r="I783" s="434" t="s">
        <v>534</v>
      </c>
    </row>
    <row r="784" spans="1:12" hidden="1" x14ac:dyDescent="0.4">
      <c r="A784" s="434">
        <v>3</v>
      </c>
      <c r="B784" s="434" t="s">
        <v>1588</v>
      </c>
      <c r="C784" s="434" t="s">
        <v>1439</v>
      </c>
      <c r="D784" s="434" t="s">
        <v>176</v>
      </c>
      <c r="E784" s="434" t="s">
        <v>1395</v>
      </c>
      <c r="F784" s="434" t="s">
        <v>1593</v>
      </c>
      <c r="G784" s="593">
        <v>1900000</v>
      </c>
      <c r="H784" s="434" t="s">
        <v>534</v>
      </c>
      <c r="I784" s="434" t="s">
        <v>534</v>
      </c>
    </row>
    <row r="785" spans="1:9" hidden="1" x14ac:dyDescent="0.4">
      <c r="A785" s="434">
        <v>3</v>
      </c>
      <c r="B785" s="434" t="s">
        <v>1588</v>
      </c>
      <c r="C785" s="434" t="s">
        <v>1485</v>
      </c>
      <c r="D785" s="434" t="s">
        <v>345</v>
      </c>
      <c r="E785" s="434" t="s">
        <v>1427</v>
      </c>
      <c r="F785" s="434" t="s">
        <v>1594</v>
      </c>
      <c r="G785" s="593">
        <v>1000000</v>
      </c>
      <c r="H785" s="434" t="s">
        <v>1441</v>
      </c>
      <c r="I785" s="434" t="s">
        <v>1438</v>
      </c>
    </row>
    <row r="786" spans="1:9" hidden="1" x14ac:dyDescent="0.4">
      <c r="A786" s="434">
        <v>3</v>
      </c>
      <c r="B786" s="434" t="s">
        <v>1595</v>
      </c>
      <c r="C786" s="434" t="s">
        <v>1436</v>
      </c>
      <c r="D786" s="434" t="s">
        <v>72</v>
      </c>
      <c r="E786" s="434" t="s">
        <v>1348</v>
      </c>
      <c r="F786" s="434" t="s">
        <v>1437</v>
      </c>
      <c r="G786" s="593">
        <v>25156400</v>
      </c>
      <c r="H786" s="434" t="s">
        <v>1441</v>
      </c>
      <c r="I786" s="434" t="s">
        <v>1438</v>
      </c>
    </row>
    <row r="787" spans="1:9" hidden="1" x14ac:dyDescent="0.4">
      <c r="A787" s="434">
        <v>3</v>
      </c>
      <c r="B787" s="434" t="s">
        <v>1595</v>
      </c>
      <c r="C787" s="434" t="s">
        <v>1436</v>
      </c>
      <c r="D787" s="434" t="s">
        <v>73</v>
      </c>
      <c r="E787" s="434" t="s">
        <v>1349</v>
      </c>
      <c r="F787" s="434" t="s">
        <v>1564</v>
      </c>
      <c r="G787" s="593">
        <v>49403600</v>
      </c>
      <c r="H787" s="434" t="s">
        <v>1441</v>
      </c>
      <c r="I787" s="434" t="s">
        <v>1438</v>
      </c>
    </row>
    <row r="788" spans="1:9" hidden="1" x14ac:dyDescent="0.4">
      <c r="A788" s="434">
        <v>3</v>
      </c>
      <c r="B788" s="434" t="s">
        <v>1595</v>
      </c>
      <c r="C788" s="434" t="s">
        <v>1436</v>
      </c>
      <c r="D788" s="434" t="s">
        <v>76</v>
      </c>
      <c r="E788" s="434" t="s">
        <v>1352</v>
      </c>
      <c r="F788" s="434" t="s">
        <v>1056</v>
      </c>
      <c r="G788" s="593">
        <v>14500000</v>
      </c>
      <c r="H788" s="434" t="s">
        <v>1441</v>
      </c>
      <c r="I788" s="434" t="s">
        <v>1438</v>
      </c>
    </row>
    <row r="789" spans="1:9" hidden="1" x14ac:dyDescent="0.4">
      <c r="A789" s="434">
        <v>3</v>
      </c>
      <c r="B789" s="434" t="s">
        <v>1595</v>
      </c>
      <c r="C789" s="434" t="s">
        <v>1436</v>
      </c>
      <c r="D789" s="434" t="s">
        <v>80</v>
      </c>
      <c r="E789" s="434" t="s">
        <v>1332</v>
      </c>
      <c r="F789" s="434" t="s">
        <v>481</v>
      </c>
      <c r="G789" s="593">
        <v>2219300</v>
      </c>
      <c r="H789" s="434" t="s">
        <v>1441</v>
      </c>
      <c r="I789" s="434" t="s">
        <v>1438</v>
      </c>
    </row>
    <row r="790" spans="1:9" hidden="1" x14ac:dyDescent="0.4">
      <c r="A790" s="434">
        <v>3</v>
      </c>
      <c r="B790" s="434" t="s">
        <v>1595</v>
      </c>
      <c r="C790" s="434" t="s">
        <v>1436</v>
      </c>
      <c r="D790" s="434" t="s">
        <v>82</v>
      </c>
      <c r="E790" s="434" t="s">
        <v>1333</v>
      </c>
      <c r="F790" s="434" t="s">
        <v>482</v>
      </c>
      <c r="G790" s="593">
        <v>3385500</v>
      </c>
      <c r="H790" s="434" t="s">
        <v>1441</v>
      </c>
      <c r="I790" s="434" t="s">
        <v>1438</v>
      </c>
    </row>
    <row r="791" spans="1:9" hidden="1" x14ac:dyDescent="0.4">
      <c r="A791" s="434">
        <v>3</v>
      </c>
      <c r="B791" s="434" t="s">
        <v>1595</v>
      </c>
      <c r="C791" s="434" t="s">
        <v>1436</v>
      </c>
      <c r="D791" s="434" t="s">
        <v>84</v>
      </c>
      <c r="E791" s="434" t="s">
        <v>1355</v>
      </c>
      <c r="F791" s="434" t="s">
        <v>483</v>
      </c>
      <c r="G791" s="593">
        <v>8653300</v>
      </c>
      <c r="H791" s="434" t="s">
        <v>1441</v>
      </c>
      <c r="I791" s="434" t="s">
        <v>1438</v>
      </c>
    </row>
    <row r="792" spans="1:9" hidden="1" x14ac:dyDescent="0.4">
      <c r="A792" s="434">
        <v>3</v>
      </c>
      <c r="B792" s="434" t="s">
        <v>1595</v>
      </c>
      <c r="C792" s="434" t="s">
        <v>1436</v>
      </c>
      <c r="D792" s="434" t="s">
        <v>86</v>
      </c>
      <c r="E792" s="434" t="s">
        <v>1356</v>
      </c>
      <c r="F792" s="434" t="s">
        <v>484</v>
      </c>
      <c r="G792" s="593">
        <v>7161900</v>
      </c>
      <c r="H792" s="434" t="s">
        <v>1441</v>
      </c>
      <c r="I792" s="434" t="s">
        <v>1438</v>
      </c>
    </row>
    <row r="793" spans="1:9" hidden="1" x14ac:dyDescent="0.4">
      <c r="A793" s="434">
        <v>3</v>
      </c>
      <c r="B793" s="434" t="s">
        <v>1595</v>
      </c>
      <c r="C793" s="434" t="s">
        <v>1436</v>
      </c>
      <c r="D793" s="434" t="s">
        <v>87</v>
      </c>
      <c r="E793" s="434" t="s">
        <v>1334</v>
      </c>
      <c r="F793" s="434" t="s">
        <v>485</v>
      </c>
      <c r="G793" s="593">
        <v>2018400</v>
      </c>
      <c r="H793" s="434" t="s">
        <v>1441</v>
      </c>
      <c r="I793" s="434" t="s">
        <v>1438</v>
      </c>
    </row>
    <row r="794" spans="1:9" hidden="1" x14ac:dyDescent="0.4">
      <c r="A794" s="434">
        <v>3</v>
      </c>
      <c r="B794" s="434" t="s">
        <v>1595</v>
      </c>
      <c r="C794" s="434" t="s">
        <v>1436</v>
      </c>
      <c r="D794" s="434" t="s">
        <v>90</v>
      </c>
      <c r="E794" s="434" t="s">
        <v>1357</v>
      </c>
      <c r="F794" s="434" t="s">
        <v>486</v>
      </c>
      <c r="G794" s="593">
        <v>9605700</v>
      </c>
      <c r="H794" s="434" t="s">
        <v>1441</v>
      </c>
      <c r="I794" s="434" t="s">
        <v>1438</v>
      </c>
    </row>
    <row r="795" spans="1:9" hidden="1" x14ac:dyDescent="0.4">
      <c r="A795" s="434">
        <v>3</v>
      </c>
      <c r="B795" s="434" t="s">
        <v>1595</v>
      </c>
      <c r="C795" s="434" t="s">
        <v>1436</v>
      </c>
      <c r="D795" s="434" t="s">
        <v>92</v>
      </c>
      <c r="E795" s="434" t="s">
        <v>1358</v>
      </c>
      <c r="F795" s="434" t="s">
        <v>487</v>
      </c>
      <c r="G795" s="593">
        <v>519200</v>
      </c>
      <c r="H795" s="434" t="s">
        <v>1441</v>
      </c>
      <c r="I795" s="434" t="s">
        <v>1438</v>
      </c>
    </row>
    <row r="796" spans="1:9" hidden="1" x14ac:dyDescent="0.4">
      <c r="A796" s="434">
        <v>3</v>
      </c>
      <c r="B796" s="434" t="s">
        <v>1595</v>
      </c>
      <c r="C796" s="434" t="s">
        <v>1436</v>
      </c>
      <c r="D796" s="434" t="s">
        <v>93</v>
      </c>
      <c r="E796" s="434" t="s">
        <v>1359</v>
      </c>
      <c r="F796" s="434" t="s">
        <v>488</v>
      </c>
      <c r="G796" s="593">
        <v>1557600</v>
      </c>
      <c r="H796" s="434" t="s">
        <v>1441</v>
      </c>
      <c r="I796" s="434" t="s">
        <v>1438</v>
      </c>
    </row>
    <row r="797" spans="1:9" hidden="1" x14ac:dyDescent="0.4">
      <c r="A797" s="434">
        <v>3</v>
      </c>
      <c r="B797" s="434" t="s">
        <v>1595</v>
      </c>
      <c r="C797" s="434" t="s">
        <v>1436</v>
      </c>
      <c r="D797" s="434" t="s">
        <v>94</v>
      </c>
      <c r="E797" s="434" t="s">
        <v>1360</v>
      </c>
      <c r="F797" s="434" t="s">
        <v>489</v>
      </c>
      <c r="G797" s="593">
        <v>5192300</v>
      </c>
      <c r="H797" s="434" t="s">
        <v>1441</v>
      </c>
      <c r="I797" s="434" t="s">
        <v>1438</v>
      </c>
    </row>
    <row r="798" spans="1:9" hidden="1" x14ac:dyDescent="0.4">
      <c r="A798" s="434">
        <v>3</v>
      </c>
      <c r="B798" s="434" t="s">
        <v>1595</v>
      </c>
      <c r="C798" s="434" t="s">
        <v>1436</v>
      </c>
      <c r="D798" s="434" t="s">
        <v>96</v>
      </c>
      <c r="E798" s="434" t="s">
        <v>1361</v>
      </c>
      <c r="F798" s="434" t="s">
        <v>490</v>
      </c>
      <c r="G798" s="593">
        <v>519200</v>
      </c>
      <c r="H798" s="434" t="s">
        <v>1441</v>
      </c>
      <c r="I798" s="434" t="s">
        <v>1438</v>
      </c>
    </row>
    <row r="799" spans="1:9" hidden="1" x14ac:dyDescent="0.4">
      <c r="A799" s="434">
        <v>3</v>
      </c>
      <c r="B799" s="434" t="s">
        <v>1595</v>
      </c>
      <c r="C799" s="434" t="s">
        <v>1436</v>
      </c>
      <c r="D799" s="434" t="s">
        <v>510</v>
      </c>
      <c r="E799" s="434" t="s">
        <v>1362</v>
      </c>
      <c r="F799" s="434" t="s">
        <v>491</v>
      </c>
      <c r="G799" s="593">
        <v>5628400</v>
      </c>
      <c r="H799" s="434" t="s">
        <v>1441</v>
      </c>
      <c r="I799" s="434" t="s">
        <v>1438</v>
      </c>
    </row>
    <row r="800" spans="1:9" hidden="1" x14ac:dyDescent="0.4">
      <c r="A800" s="434">
        <v>3</v>
      </c>
      <c r="B800" s="434" t="s">
        <v>1595</v>
      </c>
      <c r="C800" s="434" t="s">
        <v>1436</v>
      </c>
      <c r="D800" s="434" t="s">
        <v>100</v>
      </c>
      <c r="E800" s="434" t="s">
        <v>1363</v>
      </c>
      <c r="F800" s="434" t="s">
        <v>491</v>
      </c>
      <c r="G800" s="593">
        <v>3115400</v>
      </c>
      <c r="H800" s="434" t="s">
        <v>1441</v>
      </c>
      <c r="I800" s="434" t="s">
        <v>1438</v>
      </c>
    </row>
    <row r="801" spans="1:12" hidden="1" x14ac:dyDescent="0.4">
      <c r="A801" s="434">
        <v>3</v>
      </c>
      <c r="B801" s="434" t="s">
        <v>1595</v>
      </c>
      <c r="C801" s="434" t="s">
        <v>1436</v>
      </c>
      <c r="D801" s="434" t="s">
        <v>101</v>
      </c>
      <c r="E801" s="434" t="s">
        <v>1364</v>
      </c>
      <c r="F801" s="434" t="s">
        <v>1135</v>
      </c>
      <c r="G801" s="593">
        <v>1557600</v>
      </c>
      <c r="H801" s="434" t="s">
        <v>1441</v>
      </c>
      <c r="I801" s="434" t="s">
        <v>1438</v>
      </c>
    </row>
    <row r="802" spans="1:12" s="1448" customFormat="1" hidden="1" x14ac:dyDescent="0.4">
      <c r="A802" s="434">
        <v>3</v>
      </c>
      <c r="B802" s="1448" t="s">
        <v>1595</v>
      </c>
      <c r="C802" s="1448" t="s">
        <v>1436</v>
      </c>
      <c r="D802" s="434" t="s">
        <v>72</v>
      </c>
      <c r="F802" s="1448" t="s">
        <v>1749</v>
      </c>
      <c r="G802" s="1449">
        <v>100</v>
      </c>
      <c r="H802" s="1448" t="s">
        <v>534</v>
      </c>
      <c r="I802" s="1448" t="s">
        <v>534</v>
      </c>
      <c r="J802" s="1450"/>
      <c r="K802" s="1450"/>
      <c r="L802" s="1450"/>
    </row>
    <row r="803" spans="1:12" s="1448" customFormat="1" hidden="1" x14ac:dyDescent="0.4">
      <c r="A803" s="434">
        <v>3</v>
      </c>
      <c r="B803" s="1448" t="s">
        <v>1595</v>
      </c>
      <c r="C803" s="1448" t="s">
        <v>1436</v>
      </c>
      <c r="D803" s="434" t="s">
        <v>73</v>
      </c>
      <c r="F803" s="1448" t="s">
        <v>1749</v>
      </c>
      <c r="G803" s="1449">
        <v>10825400</v>
      </c>
      <c r="H803" s="1448" t="s">
        <v>534</v>
      </c>
      <c r="I803" s="1448" t="s">
        <v>534</v>
      </c>
      <c r="J803" s="1450"/>
      <c r="K803" s="1450"/>
      <c r="L803" s="1450"/>
    </row>
    <row r="804" spans="1:12" s="1448" customFormat="1" hidden="1" x14ac:dyDescent="0.4">
      <c r="A804" s="434">
        <v>3</v>
      </c>
      <c r="B804" s="1448" t="s">
        <v>1595</v>
      </c>
      <c r="C804" s="1448" t="s">
        <v>1436</v>
      </c>
      <c r="D804" s="434" t="s">
        <v>76</v>
      </c>
      <c r="F804" s="1448" t="s">
        <v>1749</v>
      </c>
      <c r="G804" s="1449">
        <v>0</v>
      </c>
      <c r="H804" s="1448" t="s">
        <v>534</v>
      </c>
      <c r="I804" s="1448" t="s">
        <v>534</v>
      </c>
      <c r="J804" s="1450"/>
      <c r="K804" s="1450"/>
      <c r="L804" s="1450"/>
    </row>
    <row r="805" spans="1:12" s="1448" customFormat="1" hidden="1" x14ac:dyDescent="0.4">
      <c r="A805" s="434">
        <v>3</v>
      </c>
      <c r="B805" s="1448" t="s">
        <v>1595</v>
      </c>
      <c r="C805" s="1448" t="s">
        <v>1436</v>
      </c>
      <c r="D805" s="434" t="s">
        <v>80</v>
      </c>
      <c r="F805" s="1448" t="s">
        <v>1749</v>
      </c>
      <c r="G805" s="1449">
        <v>200</v>
      </c>
      <c r="H805" s="1448" t="s">
        <v>534</v>
      </c>
      <c r="I805" s="1448" t="s">
        <v>534</v>
      </c>
      <c r="J805" s="1450"/>
      <c r="K805" s="1450"/>
      <c r="L805" s="1450"/>
    </row>
    <row r="806" spans="1:12" s="1448" customFormat="1" hidden="1" x14ac:dyDescent="0.4">
      <c r="A806" s="434">
        <v>3</v>
      </c>
      <c r="B806" s="1448" t="s">
        <v>1595</v>
      </c>
      <c r="C806" s="1448" t="s">
        <v>1436</v>
      </c>
      <c r="D806" s="434" t="s">
        <v>82</v>
      </c>
      <c r="F806" s="1448" t="s">
        <v>1749</v>
      </c>
      <c r="G806" s="1449">
        <v>0</v>
      </c>
      <c r="H806" s="1448" t="s">
        <v>534</v>
      </c>
      <c r="I806" s="1448" t="s">
        <v>534</v>
      </c>
      <c r="J806" s="1450"/>
      <c r="K806" s="1450"/>
      <c r="L806" s="1450"/>
    </row>
    <row r="807" spans="1:12" s="1448" customFormat="1" hidden="1" x14ac:dyDescent="0.4">
      <c r="A807" s="434">
        <v>3</v>
      </c>
      <c r="B807" s="1448" t="s">
        <v>1595</v>
      </c>
      <c r="C807" s="1448" t="s">
        <v>1436</v>
      </c>
      <c r="D807" s="434" t="s">
        <v>84</v>
      </c>
      <c r="F807" s="1448" t="s">
        <v>1749</v>
      </c>
      <c r="G807" s="1449">
        <v>977200</v>
      </c>
      <c r="H807" s="1448" t="s">
        <v>534</v>
      </c>
      <c r="I807" s="1448" t="s">
        <v>534</v>
      </c>
      <c r="J807" s="1450"/>
      <c r="K807" s="1450"/>
      <c r="L807" s="1450"/>
    </row>
    <row r="808" spans="1:12" s="1448" customFormat="1" hidden="1" x14ac:dyDescent="0.4">
      <c r="A808" s="434">
        <v>3</v>
      </c>
      <c r="B808" s="1448" t="s">
        <v>1595</v>
      </c>
      <c r="C808" s="1448" t="s">
        <v>1436</v>
      </c>
      <c r="D808" s="434" t="s">
        <v>86</v>
      </c>
      <c r="F808" s="1448" t="s">
        <v>1749</v>
      </c>
      <c r="G808" s="1449">
        <v>901600</v>
      </c>
      <c r="H808" s="1448" t="s">
        <v>534</v>
      </c>
      <c r="I808" s="1448" t="s">
        <v>534</v>
      </c>
      <c r="J808" s="1450"/>
      <c r="K808" s="1450"/>
      <c r="L808" s="1450"/>
    </row>
    <row r="809" spans="1:12" s="1448" customFormat="1" hidden="1" x14ac:dyDescent="0.4">
      <c r="A809" s="434">
        <v>3</v>
      </c>
      <c r="B809" s="1448" t="s">
        <v>1595</v>
      </c>
      <c r="C809" s="1448" t="s">
        <v>1436</v>
      </c>
      <c r="D809" s="434" t="s">
        <v>87</v>
      </c>
      <c r="F809" s="1448" t="s">
        <v>1749</v>
      </c>
      <c r="G809" s="1449">
        <v>100</v>
      </c>
      <c r="H809" s="1448" t="s">
        <v>534</v>
      </c>
      <c r="I809" s="1448" t="s">
        <v>534</v>
      </c>
      <c r="J809" s="1450"/>
      <c r="K809" s="1450"/>
      <c r="L809" s="1450"/>
    </row>
    <row r="810" spans="1:12" s="1448" customFormat="1" hidden="1" x14ac:dyDescent="0.4">
      <c r="A810" s="434">
        <v>3</v>
      </c>
      <c r="B810" s="1448" t="s">
        <v>1595</v>
      </c>
      <c r="C810" s="1448" t="s">
        <v>1436</v>
      </c>
      <c r="D810" s="434" t="s">
        <v>90</v>
      </c>
      <c r="F810" s="1448" t="s">
        <v>1749</v>
      </c>
      <c r="G810" s="1449">
        <v>1084800</v>
      </c>
      <c r="H810" s="1448" t="s">
        <v>534</v>
      </c>
      <c r="I810" s="1448" t="s">
        <v>534</v>
      </c>
      <c r="J810" s="1450"/>
      <c r="K810" s="1450"/>
      <c r="L810" s="1450"/>
    </row>
    <row r="811" spans="1:12" s="1448" customFormat="1" hidden="1" x14ac:dyDescent="0.4">
      <c r="A811" s="434">
        <v>3</v>
      </c>
      <c r="B811" s="1448" t="s">
        <v>1595</v>
      </c>
      <c r="C811" s="1448" t="s">
        <v>1436</v>
      </c>
      <c r="D811" s="434" t="s">
        <v>92</v>
      </c>
      <c r="F811" s="1448" t="s">
        <v>1749</v>
      </c>
      <c r="G811" s="1449">
        <v>58300</v>
      </c>
      <c r="H811" s="1448" t="s">
        <v>534</v>
      </c>
      <c r="I811" s="1448" t="s">
        <v>534</v>
      </c>
      <c r="J811" s="1450"/>
      <c r="K811" s="1450"/>
      <c r="L811" s="1450"/>
    </row>
    <row r="812" spans="1:12" s="1448" customFormat="1" hidden="1" x14ac:dyDescent="0.4">
      <c r="A812" s="434">
        <v>3</v>
      </c>
      <c r="B812" s="1448" t="s">
        <v>1595</v>
      </c>
      <c r="C812" s="1448" t="s">
        <v>1436</v>
      </c>
      <c r="D812" s="434" t="s">
        <v>93</v>
      </c>
      <c r="F812" s="1448" t="s">
        <v>1749</v>
      </c>
      <c r="G812" s="1449">
        <v>175900</v>
      </c>
      <c r="H812" s="1448" t="s">
        <v>534</v>
      </c>
      <c r="I812" s="1448" t="s">
        <v>534</v>
      </c>
      <c r="J812" s="1450"/>
      <c r="K812" s="1450"/>
      <c r="L812" s="1450"/>
    </row>
    <row r="813" spans="1:12" s="1448" customFormat="1" hidden="1" x14ac:dyDescent="0.4">
      <c r="A813" s="434">
        <v>3</v>
      </c>
      <c r="B813" s="1448" t="s">
        <v>1595</v>
      </c>
      <c r="C813" s="1448" t="s">
        <v>1436</v>
      </c>
      <c r="D813" s="434" t="s">
        <v>94</v>
      </c>
      <c r="F813" s="1448" t="s">
        <v>1749</v>
      </c>
      <c r="G813" s="1449">
        <v>586700</v>
      </c>
      <c r="H813" s="1448" t="s">
        <v>534</v>
      </c>
      <c r="I813" s="1448" t="s">
        <v>534</v>
      </c>
      <c r="J813" s="1450"/>
      <c r="K813" s="1450"/>
      <c r="L813" s="1450"/>
    </row>
    <row r="814" spans="1:12" s="1448" customFormat="1" hidden="1" x14ac:dyDescent="0.4">
      <c r="A814" s="434">
        <v>3</v>
      </c>
      <c r="B814" s="1448" t="s">
        <v>1595</v>
      </c>
      <c r="C814" s="1448" t="s">
        <v>1436</v>
      </c>
      <c r="D814" s="434" t="s">
        <v>96</v>
      </c>
      <c r="F814" s="1448" t="s">
        <v>1749</v>
      </c>
      <c r="G814" s="1449">
        <v>58300</v>
      </c>
      <c r="H814" s="1448" t="s">
        <v>534</v>
      </c>
      <c r="I814" s="1448" t="s">
        <v>534</v>
      </c>
      <c r="J814" s="1450"/>
      <c r="K814" s="1450"/>
      <c r="L814" s="1450"/>
    </row>
    <row r="815" spans="1:12" s="1448" customFormat="1" hidden="1" x14ac:dyDescent="0.4">
      <c r="A815" s="434">
        <v>3</v>
      </c>
      <c r="B815" s="1448" t="s">
        <v>1595</v>
      </c>
      <c r="C815" s="1448" t="s">
        <v>1436</v>
      </c>
      <c r="D815" s="434" t="s">
        <v>510</v>
      </c>
      <c r="F815" s="1448" t="s">
        <v>1749</v>
      </c>
      <c r="G815" s="1449">
        <v>635600</v>
      </c>
      <c r="H815" s="1448" t="s">
        <v>534</v>
      </c>
      <c r="I815" s="1448" t="s">
        <v>534</v>
      </c>
      <c r="J815" s="1450"/>
      <c r="K815" s="1450"/>
      <c r="L815" s="1450"/>
    </row>
    <row r="816" spans="1:12" s="1448" customFormat="1" hidden="1" x14ac:dyDescent="0.4">
      <c r="A816" s="434">
        <v>3</v>
      </c>
      <c r="B816" s="1448" t="s">
        <v>1595</v>
      </c>
      <c r="C816" s="1448" t="s">
        <v>1436</v>
      </c>
      <c r="D816" s="434" t="s">
        <v>100</v>
      </c>
      <c r="F816" s="1448" t="s">
        <v>1749</v>
      </c>
      <c r="G816" s="1449">
        <v>351600</v>
      </c>
      <c r="H816" s="1448" t="s">
        <v>534</v>
      </c>
      <c r="I816" s="1448" t="s">
        <v>534</v>
      </c>
      <c r="J816" s="1450"/>
      <c r="K816" s="1450"/>
      <c r="L816" s="1450"/>
    </row>
    <row r="817" spans="1:12" s="1448" customFormat="1" hidden="1" x14ac:dyDescent="0.4">
      <c r="A817" s="434">
        <v>3</v>
      </c>
      <c r="B817" s="1448" t="s">
        <v>1595</v>
      </c>
      <c r="C817" s="1448" t="s">
        <v>1436</v>
      </c>
      <c r="D817" s="434" t="s">
        <v>101</v>
      </c>
      <c r="F817" s="1448" t="s">
        <v>1749</v>
      </c>
      <c r="G817" s="1449">
        <v>175900</v>
      </c>
      <c r="H817" s="1448" t="s">
        <v>534</v>
      </c>
      <c r="I817" s="1448" t="s">
        <v>534</v>
      </c>
      <c r="J817" s="1450"/>
      <c r="K817" s="1450"/>
      <c r="L817" s="1450"/>
    </row>
    <row r="818" spans="1:12" x14ac:dyDescent="0.4">
      <c r="A818" s="434">
        <v>3</v>
      </c>
      <c r="B818" s="434" t="s">
        <v>1595</v>
      </c>
      <c r="C818" s="434" t="s">
        <v>1439</v>
      </c>
      <c r="D818" s="434" t="s">
        <v>326</v>
      </c>
      <c r="E818" s="434" t="s">
        <v>1373</v>
      </c>
      <c r="F818" s="434" t="s">
        <v>1578</v>
      </c>
      <c r="G818" s="593">
        <v>1300000</v>
      </c>
      <c r="H818" s="434" t="s">
        <v>534</v>
      </c>
      <c r="I818" s="434" t="s">
        <v>534</v>
      </c>
    </row>
    <row r="819" spans="1:12" hidden="1" x14ac:dyDescent="0.4">
      <c r="A819" s="434">
        <v>3</v>
      </c>
      <c r="B819" s="434" t="s">
        <v>1595</v>
      </c>
      <c r="C819" s="434" t="s">
        <v>1439</v>
      </c>
      <c r="D819" s="434" t="s">
        <v>131</v>
      </c>
      <c r="E819" s="434" t="s">
        <v>1377</v>
      </c>
      <c r="F819" s="434" t="s">
        <v>1579</v>
      </c>
      <c r="G819" s="593">
        <v>1800000</v>
      </c>
      <c r="H819" s="434" t="s">
        <v>534</v>
      </c>
      <c r="I819" s="434" t="s">
        <v>534</v>
      </c>
    </row>
    <row r="820" spans="1:12" hidden="1" x14ac:dyDescent="0.4">
      <c r="A820" s="434">
        <v>3</v>
      </c>
      <c r="B820" s="434" t="s">
        <v>1595</v>
      </c>
      <c r="C820" s="434" t="s">
        <v>1439</v>
      </c>
      <c r="D820" s="434" t="s">
        <v>145</v>
      </c>
      <c r="E820" s="434" t="s">
        <v>1385</v>
      </c>
      <c r="F820" s="434" t="s">
        <v>1580</v>
      </c>
      <c r="G820" s="593">
        <v>300000</v>
      </c>
      <c r="H820" s="434" t="s">
        <v>534</v>
      </c>
      <c r="I820" s="434" t="s">
        <v>534</v>
      </c>
    </row>
    <row r="821" spans="1:12" hidden="1" x14ac:dyDescent="0.4">
      <c r="A821" s="434">
        <v>3</v>
      </c>
      <c r="B821" s="434" t="s">
        <v>1595</v>
      </c>
      <c r="C821" s="434" t="s">
        <v>1439</v>
      </c>
      <c r="D821" s="434" t="s">
        <v>151</v>
      </c>
      <c r="E821" s="434" t="s">
        <v>1387</v>
      </c>
      <c r="F821" s="434" t="s">
        <v>1581</v>
      </c>
      <c r="G821" s="593">
        <v>800000</v>
      </c>
      <c r="H821" s="434" t="s">
        <v>534</v>
      </c>
      <c r="I821" s="434" t="s">
        <v>534</v>
      </c>
    </row>
    <row r="822" spans="1:12" hidden="1" x14ac:dyDescent="0.4">
      <c r="A822" s="434">
        <v>3</v>
      </c>
      <c r="B822" s="434" t="s">
        <v>1595</v>
      </c>
      <c r="C822" s="434" t="s">
        <v>1439</v>
      </c>
      <c r="D822" s="434" t="s">
        <v>153</v>
      </c>
      <c r="E822" s="434" t="s">
        <v>1388</v>
      </c>
      <c r="F822" s="434" t="s">
        <v>1582</v>
      </c>
      <c r="G822" s="593">
        <v>25000000</v>
      </c>
      <c r="H822" s="434" t="s">
        <v>534</v>
      </c>
      <c r="I822" s="434" t="s">
        <v>534</v>
      </c>
    </row>
    <row r="823" spans="1:12" hidden="1" x14ac:dyDescent="0.4">
      <c r="A823" s="434">
        <v>3</v>
      </c>
      <c r="B823" s="434" t="s">
        <v>1595</v>
      </c>
      <c r="C823" s="434" t="s">
        <v>1439</v>
      </c>
      <c r="D823" s="434" t="s">
        <v>160</v>
      </c>
      <c r="E823" s="434" t="s">
        <v>1391</v>
      </c>
      <c r="F823" s="434" t="s">
        <v>1449</v>
      </c>
      <c r="G823" s="593">
        <v>702600</v>
      </c>
      <c r="H823" s="434" t="s">
        <v>534</v>
      </c>
      <c r="I823" s="434" t="s">
        <v>534</v>
      </c>
    </row>
    <row r="824" spans="1:12" hidden="1" x14ac:dyDescent="0.4">
      <c r="A824" s="434">
        <v>3</v>
      </c>
      <c r="B824" s="434" t="s">
        <v>1595</v>
      </c>
      <c r="C824" s="434" t="s">
        <v>1439</v>
      </c>
      <c r="D824" s="434" t="s">
        <v>164</v>
      </c>
      <c r="E824" s="434" t="s">
        <v>1392</v>
      </c>
      <c r="F824" s="434" t="s">
        <v>1596</v>
      </c>
      <c r="G824" s="593">
        <v>3000000</v>
      </c>
      <c r="H824" s="434" t="s">
        <v>534</v>
      </c>
      <c r="I824" s="434" t="s">
        <v>534</v>
      </c>
    </row>
    <row r="825" spans="1:12" hidden="1" x14ac:dyDescent="0.4">
      <c r="A825" s="434">
        <v>3</v>
      </c>
      <c r="B825" s="434" t="s">
        <v>1597</v>
      </c>
      <c r="C825" s="434" t="s">
        <v>1436</v>
      </c>
      <c r="D825" s="434" t="s">
        <v>72</v>
      </c>
      <c r="E825" s="434" t="s">
        <v>1348</v>
      </c>
      <c r="F825" s="434" t="s">
        <v>1437</v>
      </c>
      <c r="G825" s="593">
        <v>116370100</v>
      </c>
      <c r="H825" s="434" t="s">
        <v>1441</v>
      </c>
      <c r="I825" s="434" t="s">
        <v>1438</v>
      </c>
    </row>
    <row r="826" spans="1:12" hidden="1" x14ac:dyDescent="0.4">
      <c r="A826" s="434">
        <v>3</v>
      </c>
      <c r="B826" s="434" t="s">
        <v>1597</v>
      </c>
      <c r="C826" s="434" t="s">
        <v>1436</v>
      </c>
      <c r="D826" s="434" t="s">
        <v>80</v>
      </c>
      <c r="E826" s="434" t="s">
        <v>1332</v>
      </c>
      <c r="F826" s="434" t="s">
        <v>481</v>
      </c>
      <c r="G826" s="593">
        <v>31488400</v>
      </c>
      <c r="H826" s="434" t="s">
        <v>1441</v>
      </c>
      <c r="I826" s="434" t="s">
        <v>1438</v>
      </c>
    </row>
    <row r="827" spans="1:12" hidden="1" x14ac:dyDescent="0.4">
      <c r="A827" s="434">
        <v>3</v>
      </c>
      <c r="B827" s="434" t="s">
        <v>1597</v>
      </c>
      <c r="C827" s="434" t="s">
        <v>1436</v>
      </c>
      <c r="D827" s="434" t="s">
        <v>82</v>
      </c>
      <c r="E827" s="434" t="s">
        <v>1333</v>
      </c>
      <c r="F827" s="434" t="s">
        <v>482</v>
      </c>
      <c r="G827" s="593">
        <v>19815000</v>
      </c>
      <c r="H827" s="434" t="s">
        <v>1441</v>
      </c>
      <c r="I827" s="434" t="s">
        <v>1438</v>
      </c>
    </row>
    <row r="828" spans="1:12" hidden="1" x14ac:dyDescent="0.4">
      <c r="A828" s="434">
        <v>3</v>
      </c>
      <c r="B828" s="434" t="s">
        <v>1597</v>
      </c>
      <c r="C828" s="434" t="s">
        <v>1436</v>
      </c>
      <c r="D828" s="434" t="s">
        <v>84</v>
      </c>
      <c r="E828" s="434" t="s">
        <v>1355</v>
      </c>
      <c r="F828" s="434" t="s">
        <v>483</v>
      </c>
      <c r="G828" s="593">
        <v>15345800</v>
      </c>
      <c r="H828" s="434" t="s">
        <v>1441</v>
      </c>
      <c r="I828" s="434" t="s">
        <v>1438</v>
      </c>
    </row>
    <row r="829" spans="1:12" hidden="1" x14ac:dyDescent="0.4">
      <c r="A829" s="434">
        <v>3</v>
      </c>
      <c r="B829" s="434" t="s">
        <v>1597</v>
      </c>
      <c r="C829" s="434" t="s">
        <v>1436</v>
      </c>
      <c r="D829" s="434" t="s">
        <v>86</v>
      </c>
      <c r="E829" s="434" t="s">
        <v>1356</v>
      </c>
      <c r="F829" s="434" t="s">
        <v>484</v>
      </c>
      <c r="G829" s="593">
        <v>13667100</v>
      </c>
      <c r="H829" s="434" t="s">
        <v>1441</v>
      </c>
      <c r="I829" s="434" t="s">
        <v>1438</v>
      </c>
    </row>
    <row r="830" spans="1:12" hidden="1" x14ac:dyDescent="0.4">
      <c r="A830" s="434">
        <v>3</v>
      </c>
      <c r="B830" s="434" t="s">
        <v>1597</v>
      </c>
      <c r="C830" s="434" t="s">
        <v>1436</v>
      </c>
      <c r="D830" s="434" t="s">
        <v>87</v>
      </c>
      <c r="E830" s="434" t="s">
        <v>1334</v>
      </c>
      <c r="F830" s="434" t="s">
        <v>485</v>
      </c>
      <c r="G830" s="593">
        <v>2809400</v>
      </c>
      <c r="H830" s="434" t="s">
        <v>1441</v>
      </c>
      <c r="I830" s="434" t="s">
        <v>1438</v>
      </c>
    </row>
    <row r="831" spans="1:12" hidden="1" x14ac:dyDescent="0.4">
      <c r="A831" s="434">
        <v>3</v>
      </c>
      <c r="B831" s="434" t="s">
        <v>1597</v>
      </c>
      <c r="C831" s="434" t="s">
        <v>1436</v>
      </c>
      <c r="D831" s="434" t="s">
        <v>90</v>
      </c>
      <c r="E831" s="434" t="s">
        <v>1357</v>
      </c>
      <c r="F831" s="434" t="s">
        <v>486</v>
      </c>
      <c r="G831" s="593">
        <v>17033900</v>
      </c>
      <c r="H831" s="434" t="s">
        <v>1441</v>
      </c>
      <c r="I831" s="434" t="s">
        <v>1438</v>
      </c>
    </row>
    <row r="832" spans="1:12" hidden="1" x14ac:dyDescent="0.4">
      <c r="A832" s="434">
        <v>3</v>
      </c>
      <c r="B832" s="434" t="s">
        <v>1597</v>
      </c>
      <c r="C832" s="434" t="s">
        <v>1436</v>
      </c>
      <c r="D832" s="434" t="s">
        <v>92</v>
      </c>
      <c r="E832" s="434" t="s">
        <v>1358</v>
      </c>
      <c r="F832" s="434" t="s">
        <v>487</v>
      </c>
      <c r="G832" s="593">
        <v>920700</v>
      </c>
      <c r="H832" s="434" t="s">
        <v>1441</v>
      </c>
      <c r="I832" s="434" t="s">
        <v>1438</v>
      </c>
    </row>
    <row r="833" spans="1:12" hidden="1" x14ac:dyDescent="0.4">
      <c r="A833" s="434">
        <v>3</v>
      </c>
      <c r="B833" s="434" t="s">
        <v>1597</v>
      </c>
      <c r="C833" s="434" t="s">
        <v>1436</v>
      </c>
      <c r="D833" s="434" t="s">
        <v>93</v>
      </c>
      <c r="E833" s="434" t="s">
        <v>1359</v>
      </c>
      <c r="F833" s="434" t="s">
        <v>488</v>
      </c>
      <c r="G833" s="593">
        <v>2762200</v>
      </c>
      <c r="H833" s="434" t="s">
        <v>1441</v>
      </c>
      <c r="I833" s="434" t="s">
        <v>1438</v>
      </c>
    </row>
    <row r="834" spans="1:12" hidden="1" x14ac:dyDescent="0.4">
      <c r="A834" s="434">
        <v>3</v>
      </c>
      <c r="B834" s="434" t="s">
        <v>1597</v>
      </c>
      <c r="C834" s="434" t="s">
        <v>1436</v>
      </c>
      <c r="D834" s="434" t="s">
        <v>94</v>
      </c>
      <c r="E834" s="434" t="s">
        <v>1360</v>
      </c>
      <c r="F834" s="434" t="s">
        <v>489</v>
      </c>
      <c r="G834" s="593">
        <v>9207500</v>
      </c>
      <c r="H834" s="434" t="s">
        <v>1441</v>
      </c>
      <c r="I834" s="434" t="s">
        <v>1438</v>
      </c>
    </row>
    <row r="835" spans="1:12" hidden="1" x14ac:dyDescent="0.4">
      <c r="A835" s="434">
        <v>3</v>
      </c>
      <c r="B835" s="434" t="s">
        <v>1597</v>
      </c>
      <c r="C835" s="434" t="s">
        <v>1436</v>
      </c>
      <c r="D835" s="434" t="s">
        <v>96</v>
      </c>
      <c r="E835" s="434" t="s">
        <v>1361</v>
      </c>
      <c r="F835" s="434" t="s">
        <v>490</v>
      </c>
      <c r="G835" s="593">
        <v>920700</v>
      </c>
      <c r="H835" s="434" t="s">
        <v>1441</v>
      </c>
      <c r="I835" s="434" t="s">
        <v>1438</v>
      </c>
    </row>
    <row r="836" spans="1:12" hidden="1" x14ac:dyDescent="0.4">
      <c r="A836" s="434">
        <v>3</v>
      </c>
      <c r="B836" s="434" t="s">
        <v>1597</v>
      </c>
      <c r="C836" s="434" t="s">
        <v>1436</v>
      </c>
      <c r="D836" s="434" t="s">
        <v>510</v>
      </c>
      <c r="E836" s="434" t="s">
        <v>1362</v>
      </c>
      <c r="F836" s="434" t="s">
        <v>491</v>
      </c>
      <c r="G836" s="593">
        <v>9980900</v>
      </c>
      <c r="H836" s="434" t="s">
        <v>1441</v>
      </c>
      <c r="I836" s="434" t="s">
        <v>1438</v>
      </c>
    </row>
    <row r="837" spans="1:12" hidden="1" x14ac:dyDescent="0.4">
      <c r="A837" s="434">
        <v>3</v>
      </c>
      <c r="B837" s="434" t="s">
        <v>1597</v>
      </c>
      <c r="C837" s="434" t="s">
        <v>1436</v>
      </c>
      <c r="D837" s="434" t="s">
        <v>100</v>
      </c>
      <c r="E837" s="434" t="s">
        <v>1363</v>
      </c>
      <c r="F837" s="434" t="s">
        <v>491</v>
      </c>
      <c r="G837" s="593">
        <v>5524500</v>
      </c>
      <c r="H837" s="434" t="s">
        <v>1441</v>
      </c>
      <c r="I837" s="434" t="s">
        <v>1438</v>
      </c>
    </row>
    <row r="838" spans="1:12" hidden="1" x14ac:dyDescent="0.4">
      <c r="A838" s="434">
        <v>3</v>
      </c>
      <c r="B838" s="434" t="s">
        <v>1597</v>
      </c>
      <c r="C838" s="434" t="s">
        <v>1436</v>
      </c>
      <c r="D838" s="434" t="s">
        <v>101</v>
      </c>
      <c r="E838" s="434" t="s">
        <v>1364</v>
      </c>
      <c r="F838" s="434" t="s">
        <v>1135</v>
      </c>
      <c r="G838" s="593">
        <v>2762200</v>
      </c>
      <c r="H838" s="434" t="s">
        <v>1441</v>
      </c>
      <c r="I838" s="434" t="s">
        <v>1438</v>
      </c>
    </row>
    <row r="839" spans="1:12" s="1448" customFormat="1" hidden="1" x14ac:dyDescent="0.4">
      <c r="A839" s="434">
        <v>3</v>
      </c>
      <c r="B839" s="1448" t="s">
        <v>1597</v>
      </c>
      <c r="C839" s="1448" t="s">
        <v>1436</v>
      </c>
      <c r="D839" s="434" t="s">
        <v>72</v>
      </c>
      <c r="F839" s="1448" t="s">
        <v>1749</v>
      </c>
      <c r="G839" s="1449">
        <v>8753400</v>
      </c>
      <c r="H839" s="1448" t="s">
        <v>534</v>
      </c>
      <c r="I839" s="1448" t="s">
        <v>534</v>
      </c>
      <c r="J839" s="1450"/>
      <c r="K839" s="1450"/>
      <c r="L839" s="1450"/>
    </row>
    <row r="840" spans="1:12" s="1448" customFormat="1" hidden="1" x14ac:dyDescent="0.4">
      <c r="A840" s="434">
        <v>3</v>
      </c>
      <c r="B840" s="1448" t="s">
        <v>1597</v>
      </c>
      <c r="C840" s="1448" t="s">
        <v>1436</v>
      </c>
      <c r="D840" s="434" t="s">
        <v>80</v>
      </c>
      <c r="F840" s="1448" t="s">
        <v>1749</v>
      </c>
      <c r="G840" s="1449">
        <v>100</v>
      </c>
      <c r="H840" s="1448" t="s">
        <v>534</v>
      </c>
      <c r="I840" s="1448" t="s">
        <v>534</v>
      </c>
      <c r="J840" s="1450"/>
      <c r="K840" s="1450"/>
      <c r="L840" s="1450"/>
    </row>
    <row r="841" spans="1:12" s="1448" customFormat="1" hidden="1" x14ac:dyDescent="0.4">
      <c r="A841" s="434">
        <v>3</v>
      </c>
      <c r="B841" s="1448" t="s">
        <v>1597</v>
      </c>
      <c r="C841" s="1448" t="s">
        <v>1436</v>
      </c>
      <c r="D841" s="434" t="s">
        <v>82</v>
      </c>
      <c r="F841" s="1448" t="s">
        <v>1749</v>
      </c>
      <c r="G841" s="1449">
        <v>0</v>
      </c>
      <c r="H841" s="1448" t="s">
        <v>534</v>
      </c>
      <c r="I841" s="1448" t="s">
        <v>534</v>
      </c>
      <c r="J841" s="1450"/>
      <c r="K841" s="1450"/>
      <c r="L841" s="1450"/>
    </row>
    <row r="842" spans="1:12" s="1448" customFormat="1" hidden="1" x14ac:dyDescent="0.4">
      <c r="A842" s="434">
        <v>3</v>
      </c>
      <c r="B842" s="1448" t="s">
        <v>1597</v>
      </c>
      <c r="C842" s="1448" t="s">
        <v>1436</v>
      </c>
      <c r="D842" s="434" t="s">
        <v>84</v>
      </c>
      <c r="F842" s="1448" t="s">
        <v>1749</v>
      </c>
      <c r="G842" s="1449">
        <v>790200</v>
      </c>
      <c r="H842" s="1448" t="s">
        <v>534</v>
      </c>
      <c r="I842" s="1448" t="s">
        <v>534</v>
      </c>
      <c r="J842" s="1450"/>
      <c r="K842" s="1450"/>
      <c r="L842" s="1450"/>
    </row>
    <row r="843" spans="1:12" s="1448" customFormat="1" hidden="1" x14ac:dyDescent="0.4">
      <c r="A843" s="434">
        <v>3</v>
      </c>
      <c r="B843" s="1448" t="s">
        <v>1597</v>
      </c>
      <c r="C843" s="1448" t="s">
        <v>1436</v>
      </c>
      <c r="D843" s="434" t="s">
        <v>86</v>
      </c>
      <c r="F843" s="1448" t="s">
        <v>1749</v>
      </c>
      <c r="G843" s="1449">
        <v>728900</v>
      </c>
      <c r="H843" s="1448" t="s">
        <v>534</v>
      </c>
      <c r="I843" s="1448" t="s">
        <v>534</v>
      </c>
      <c r="J843" s="1450"/>
      <c r="K843" s="1450"/>
      <c r="L843" s="1450"/>
    </row>
    <row r="844" spans="1:12" s="1448" customFormat="1" hidden="1" x14ac:dyDescent="0.4">
      <c r="A844" s="434">
        <v>3</v>
      </c>
      <c r="B844" s="1448" t="s">
        <v>1597</v>
      </c>
      <c r="C844" s="1448" t="s">
        <v>1436</v>
      </c>
      <c r="D844" s="434" t="s">
        <v>87</v>
      </c>
      <c r="F844" s="1448" t="s">
        <v>1749</v>
      </c>
      <c r="G844" s="1449">
        <v>100</v>
      </c>
      <c r="H844" s="1448" t="s">
        <v>534</v>
      </c>
      <c r="I844" s="1448" t="s">
        <v>534</v>
      </c>
      <c r="J844" s="1450"/>
      <c r="K844" s="1450"/>
      <c r="L844" s="1450"/>
    </row>
    <row r="845" spans="1:12" s="1448" customFormat="1" hidden="1" x14ac:dyDescent="0.4">
      <c r="A845" s="434">
        <v>3</v>
      </c>
      <c r="B845" s="1448" t="s">
        <v>1597</v>
      </c>
      <c r="C845" s="1448" t="s">
        <v>1436</v>
      </c>
      <c r="D845" s="434" t="s">
        <v>90</v>
      </c>
      <c r="F845" s="1448" t="s">
        <v>1749</v>
      </c>
      <c r="G845" s="1449">
        <v>877100</v>
      </c>
      <c r="H845" s="1448" t="s">
        <v>534</v>
      </c>
      <c r="I845" s="1448" t="s">
        <v>534</v>
      </c>
      <c r="J845" s="1450"/>
      <c r="K845" s="1450"/>
      <c r="L845" s="1450"/>
    </row>
    <row r="846" spans="1:12" s="1448" customFormat="1" hidden="1" x14ac:dyDescent="0.4">
      <c r="A846" s="434">
        <v>3</v>
      </c>
      <c r="B846" s="1448" t="s">
        <v>1597</v>
      </c>
      <c r="C846" s="1448" t="s">
        <v>1436</v>
      </c>
      <c r="D846" s="434" t="s">
        <v>92</v>
      </c>
      <c r="F846" s="1448" t="s">
        <v>1749</v>
      </c>
      <c r="G846" s="1449">
        <v>47300</v>
      </c>
      <c r="H846" s="1448" t="s">
        <v>534</v>
      </c>
      <c r="I846" s="1448" t="s">
        <v>534</v>
      </c>
      <c r="J846" s="1450"/>
      <c r="K846" s="1450"/>
      <c r="L846" s="1450"/>
    </row>
    <row r="847" spans="1:12" s="1448" customFormat="1" hidden="1" x14ac:dyDescent="0.4">
      <c r="A847" s="434">
        <v>3</v>
      </c>
      <c r="B847" s="1448" t="s">
        <v>1597</v>
      </c>
      <c r="C847" s="1448" t="s">
        <v>1436</v>
      </c>
      <c r="D847" s="434" t="s">
        <v>93</v>
      </c>
      <c r="F847" s="1448" t="s">
        <v>1749</v>
      </c>
      <c r="G847" s="1449">
        <v>142300</v>
      </c>
      <c r="H847" s="1448" t="s">
        <v>534</v>
      </c>
      <c r="I847" s="1448" t="s">
        <v>534</v>
      </c>
      <c r="J847" s="1450"/>
      <c r="K847" s="1450"/>
      <c r="L847" s="1450"/>
    </row>
    <row r="848" spans="1:12" s="1448" customFormat="1" hidden="1" x14ac:dyDescent="0.4">
      <c r="A848" s="434">
        <v>3</v>
      </c>
      <c r="B848" s="1448" t="s">
        <v>1597</v>
      </c>
      <c r="C848" s="1448" t="s">
        <v>1436</v>
      </c>
      <c r="D848" s="434" t="s">
        <v>94</v>
      </c>
      <c r="F848" s="1448" t="s">
        <v>1749</v>
      </c>
      <c r="G848" s="1449">
        <v>474000</v>
      </c>
      <c r="H848" s="1448" t="s">
        <v>534</v>
      </c>
      <c r="I848" s="1448" t="s">
        <v>534</v>
      </c>
      <c r="J848" s="1450"/>
      <c r="K848" s="1450"/>
      <c r="L848" s="1450"/>
    </row>
    <row r="849" spans="1:12" s="1448" customFormat="1" hidden="1" x14ac:dyDescent="0.4">
      <c r="A849" s="434">
        <v>3</v>
      </c>
      <c r="B849" s="1448" t="s">
        <v>1597</v>
      </c>
      <c r="C849" s="1448" t="s">
        <v>1436</v>
      </c>
      <c r="D849" s="434" t="s">
        <v>96</v>
      </c>
      <c r="F849" s="1448" t="s">
        <v>1749</v>
      </c>
      <c r="G849" s="1449">
        <v>47300</v>
      </c>
      <c r="H849" s="1448" t="s">
        <v>534</v>
      </c>
      <c r="I849" s="1448" t="s">
        <v>534</v>
      </c>
      <c r="J849" s="1450"/>
      <c r="K849" s="1450"/>
      <c r="L849" s="1450"/>
    </row>
    <row r="850" spans="1:12" s="1448" customFormat="1" hidden="1" x14ac:dyDescent="0.4">
      <c r="A850" s="434">
        <v>3</v>
      </c>
      <c r="B850" s="1448" t="s">
        <v>1597</v>
      </c>
      <c r="C850" s="1448" t="s">
        <v>1436</v>
      </c>
      <c r="D850" s="434" t="s">
        <v>510</v>
      </c>
      <c r="F850" s="1448" t="s">
        <v>1749</v>
      </c>
      <c r="G850" s="1449">
        <v>514100</v>
      </c>
      <c r="H850" s="1448" t="s">
        <v>534</v>
      </c>
      <c r="I850" s="1448" t="s">
        <v>534</v>
      </c>
      <c r="J850" s="1450"/>
      <c r="K850" s="1450"/>
      <c r="L850" s="1450"/>
    </row>
    <row r="851" spans="1:12" s="1448" customFormat="1" hidden="1" x14ac:dyDescent="0.4">
      <c r="A851" s="434">
        <v>3</v>
      </c>
      <c r="B851" s="1448" t="s">
        <v>1597</v>
      </c>
      <c r="C851" s="1448" t="s">
        <v>1436</v>
      </c>
      <c r="D851" s="434" t="s">
        <v>100</v>
      </c>
      <c r="F851" s="1448" t="s">
        <v>1749</v>
      </c>
      <c r="G851" s="1449">
        <v>284500</v>
      </c>
      <c r="H851" s="1448" t="s">
        <v>534</v>
      </c>
      <c r="I851" s="1448" t="s">
        <v>534</v>
      </c>
      <c r="J851" s="1450"/>
      <c r="K851" s="1450"/>
      <c r="L851" s="1450"/>
    </row>
    <row r="852" spans="1:12" s="1448" customFormat="1" hidden="1" x14ac:dyDescent="0.4">
      <c r="A852" s="434">
        <v>3</v>
      </c>
      <c r="B852" s="1448" t="s">
        <v>1597</v>
      </c>
      <c r="C852" s="1448" t="s">
        <v>1436</v>
      </c>
      <c r="D852" s="434" t="s">
        <v>101</v>
      </c>
      <c r="F852" s="1448" t="s">
        <v>1749</v>
      </c>
      <c r="G852" s="1449">
        <v>142300</v>
      </c>
      <c r="H852" s="1448" t="s">
        <v>534</v>
      </c>
      <c r="I852" s="1448" t="s">
        <v>534</v>
      </c>
      <c r="J852" s="1450"/>
      <c r="K852" s="1450"/>
      <c r="L852" s="1450"/>
    </row>
    <row r="853" spans="1:12" hidden="1" x14ac:dyDescent="0.4">
      <c r="A853" s="434">
        <v>3</v>
      </c>
      <c r="B853" s="434" t="s">
        <v>1597</v>
      </c>
      <c r="C853" s="434" t="s">
        <v>1439</v>
      </c>
      <c r="D853" s="434" t="s">
        <v>160</v>
      </c>
      <c r="E853" s="434" t="s">
        <v>1391</v>
      </c>
      <c r="F853" s="434" t="s">
        <v>1449</v>
      </c>
      <c r="G853" s="593">
        <v>1251300</v>
      </c>
      <c r="H853" s="434" t="s">
        <v>534</v>
      </c>
      <c r="I853" s="434" t="s">
        <v>534</v>
      </c>
    </row>
    <row r="854" spans="1:12" hidden="1" x14ac:dyDescent="0.4">
      <c r="A854" s="434">
        <v>3</v>
      </c>
      <c r="B854" s="434" t="s">
        <v>1598</v>
      </c>
      <c r="C854" s="434" t="s">
        <v>1436</v>
      </c>
      <c r="D854" s="434" t="s">
        <v>72</v>
      </c>
      <c r="E854" s="434" t="s">
        <v>1348</v>
      </c>
      <c r="F854" s="434" t="s">
        <v>1599</v>
      </c>
      <c r="G854" s="593">
        <v>151939200</v>
      </c>
      <c r="H854" s="434" t="s">
        <v>1441</v>
      </c>
      <c r="I854" s="434" t="s">
        <v>1438</v>
      </c>
    </row>
    <row r="855" spans="1:12" hidden="1" x14ac:dyDescent="0.4">
      <c r="A855" s="434">
        <v>3</v>
      </c>
      <c r="B855" s="434" t="s">
        <v>1598</v>
      </c>
      <c r="C855" s="434" t="s">
        <v>1436</v>
      </c>
      <c r="D855" s="434" t="s">
        <v>73</v>
      </c>
      <c r="E855" s="434" t="s">
        <v>1349</v>
      </c>
      <c r="F855" s="434" t="s">
        <v>1600</v>
      </c>
      <c r="G855" s="593">
        <v>50016000</v>
      </c>
      <c r="H855" s="434" t="s">
        <v>1441</v>
      </c>
      <c r="I855" s="434" t="s">
        <v>1438</v>
      </c>
    </row>
    <row r="856" spans="1:12" hidden="1" x14ac:dyDescent="0.4">
      <c r="A856" s="434">
        <v>3</v>
      </c>
      <c r="B856" s="434" t="s">
        <v>1598</v>
      </c>
      <c r="C856" s="434" t="s">
        <v>1436</v>
      </c>
      <c r="D856" s="434" t="s">
        <v>76</v>
      </c>
      <c r="E856" s="434" t="s">
        <v>1352</v>
      </c>
      <c r="F856" s="434" t="s">
        <v>1601</v>
      </c>
      <c r="G856" s="593">
        <v>9525500</v>
      </c>
      <c r="H856" s="434" t="s">
        <v>1441</v>
      </c>
      <c r="I856" s="434" t="s">
        <v>1438</v>
      </c>
    </row>
    <row r="857" spans="1:12" hidden="1" x14ac:dyDescent="0.4">
      <c r="A857" s="434">
        <v>3</v>
      </c>
      <c r="B857" s="434" t="s">
        <v>1598</v>
      </c>
      <c r="C857" s="434" t="s">
        <v>1436</v>
      </c>
      <c r="D857" s="434" t="s">
        <v>80</v>
      </c>
      <c r="E857" s="434" t="s">
        <v>1332</v>
      </c>
      <c r="F857" s="434" t="s">
        <v>1602</v>
      </c>
      <c r="G857" s="593">
        <v>41594100</v>
      </c>
      <c r="H857" s="434" t="s">
        <v>1441</v>
      </c>
      <c r="I857" s="434" t="s">
        <v>1438</v>
      </c>
    </row>
    <row r="858" spans="1:12" hidden="1" x14ac:dyDescent="0.4">
      <c r="A858" s="434">
        <v>3</v>
      </c>
      <c r="B858" s="434" t="s">
        <v>1598</v>
      </c>
      <c r="C858" s="434" t="s">
        <v>1436</v>
      </c>
      <c r="D858" s="434" t="s">
        <v>82</v>
      </c>
      <c r="E858" s="434" t="s">
        <v>1333</v>
      </c>
      <c r="F858" s="434" t="s">
        <v>482</v>
      </c>
      <c r="G858" s="593">
        <v>27931700</v>
      </c>
      <c r="H858" s="434" t="s">
        <v>1441</v>
      </c>
      <c r="I858" s="434" t="s">
        <v>1438</v>
      </c>
    </row>
    <row r="859" spans="1:12" hidden="1" x14ac:dyDescent="0.4">
      <c r="A859" s="434">
        <v>3</v>
      </c>
      <c r="B859" s="434" t="s">
        <v>1598</v>
      </c>
      <c r="C859" s="434" t="s">
        <v>1436</v>
      </c>
      <c r="D859" s="434" t="s">
        <v>84</v>
      </c>
      <c r="E859" s="434" t="s">
        <v>1355</v>
      </c>
      <c r="F859" s="434" t="s">
        <v>1603</v>
      </c>
      <c r="G859" s="593">
        <v>25794900</v>
      </c>
      <c r="H859" s="434" t="s">
        <v>1441</v>
      </c>
      <c r="I859" s="434" t="s">
        <v>1438</v>
      </c>
    </row>
    <row r="860" spans="1:12" hidden="1" x14ac:dyDescent="0.4">
      <c r="A860" s="434">
        <v>3</v>
      </c>
      <c r="B860" s="434" t="s">
        <v>1598</v>
      </c>
      <c r="C860" s="434" t="s">
        <v>1436</v>
      </c>
      <c r="D860" s="434" t="s">
        <v>86</v>
      </c>
      <c r="E860" s="434" t="s">
        <v>1356</v>
      </c>
      <c r="F860" s="434" t="s">
        <v>1604</v>
      </c>
      <c r="G860" s="593">
        <v>22853700</v>
      </c>
      <c r="H860" s="434" t="s">
        <v>1441</v>
      </c>
      <c r="I860" s="434" t="s">
        <v>1438</v>
      </c>
    </row>
    <row r="861" spans="1:12" hidden="1" x14ac:dyDescent="0.4">
      <c r="A861" s="434">
        <v>3</v>
      </c>
      <c r="B861" s="434" t="s">
        <v>1598</v>
      </c>
      <c r="C861" s="434" t="s">
        <v>1436</v>
      </c>
      <c r="D861" s="434" t="s">
        <v>87</v>
      </c>
      <c r="E861" s="434" t="s">
        <v>1334</v>
      </c>
      <c r="F861" s="434" t="s">
        <v>485</v>
      </c>
      <c r="G861" s="593">
        <v>5687000</v>
      </c>
      <c r="H861" s="434" t="s">
        <v>1441</v>
      </c>
      <c r="I861" s="434" t="s">
        <v>1438</v>
      </c>
    </row>
    <row r="862" spans="1:12" hidden="1" x14ac:dyDescent="0.4">
      <c r="A862" s="434">
        <v>3</v>
      </c>
      <c r="B862" s="434" t="s">
        <v>1598</v>
      </c>
      <c r="C862" s="434" t="s">
        <v>1436</v>
      </c>
      <c r="D862" s="434" t="s">
        <v>90</v>
      </c>
      <c r="E862" s="434" t="s">
        <v>1357</v>
      </c>
      <c r="F862" s="434" t="s">
        <v>1605</v>
      </c>
      <c r="G862" s="593">
        <v>28633100</v>
      </c>
      <c r="H862" s="434" t="s">
        <v>1441</v>
      </c>
      <c r="I862" s="434" t="s">
        <v>1438</v>
      </c>
    </row>
    <row r="863" spans="1:12" hidden="1" x14ac:dyDescent="0.4">
      <c r="A863" s="434">
        <v>3</v>
      </c>
      <c r="B863" s="434" t="s">
        <v>1598</v>
      </c>
      <c r="C863" s="434" t="s">
        <v>1436</v>
      </c>
      <c r="D863" s="434" t="s">
        <v>92</v>
      </c>
      <c r="E863" s="434" t="s">
        <v>1358</v>
      </c>
      <c r="F863" s="434" t="s">
        <v>1606</v>
      </c>
      <c r="G863" s="593">
        <v>1547400</v>
      </c>
      <c r="H863" s="434" t="s">
        <v>1441</v>
      </c>
      <c r="I863" s="434" t="s">
        <v>1438</v>
      </c>
    </row>
    <row r="864" spans="1:12" hidden="1" x14ac:dyDescent="0.4">
      <c r="A864" s="434">
        <v>3</v>
      </c>
      <c r="B864" s="434" t="s">
        <v>1598</v>
      </c>
      <c r="C864" s="434" t="s">
        <v>1436</v>
      </c>
      <c r="D864" s="434" t="s">
        <v>93</v>
      </c>
      <c r="E864" s="434" t="s">
        <v>1359</v>
      </c>
      <c r="F864" s="434" t="s">
        <v>1607</v>
      </c>
      <c r="G864" s="593">
        <v>4643300</v>
      </c>
      <c r="H864" s="434" t="s">
        <v>1441</v>
      </c>
      <c r="I864" s="434" t="s">
        <v>1438</v>
      </c>
    </row>
    <row r="865" spans="1:12" hidden="1" x14ac:dyDescent="0.4">
      <c r="A865" s="434">
        <v>3</v>
      </c>
      <c r="B865" s="434" t="s">
        <v>1598</v>
      </c>
      <c r="C865" s="434" t="s">
        <v>1436</v>
      </c>
      <c r="D865" s="434" t="s">
        <v>94</v>
      </c>
      <c r="E865" s="434" t="s">
        <v>1360</v>
      </c>
      <c r="F865" s="434" t="s">
        <v>1608</v>
      </c>
      <c r="G865" s="593">
        <v>15477400</v>
      </c>
      <c r="H865" s="434" t="s">
        <v>1441</v>
      </c>
      <c r="I865" s="434" t="s">
        <v>1438</v>
      </c>
    </row>
    <row r="866" spans="1:12" hidden="1" x14ac:dyDescent="0.4">
      <c r="A866" s="434">
        <v>3</v>
      </c>
      <c r="B866" s="434" t="s">
        <v>1598</v>
      </c>
      <c r="C866" s="434" t="s">
        <v>1436</v>
      </c>
      <c r="D866" s="434" t="s">
        <v>96</v>
      </c>
      <c r="E866" s="434" t="s">
        <v>1361</v>
      </c>
      <c r="F866" s="434" t="s">
        <v>1609</v>
      </c>
      <c r="G866" s="593">
        <v>1547400</v>
      </c>
      <c r="H866" s="434" t="s">
        <v>1441</v>
      </c>
      <c r="I866" s="434" t="s">
        <v>1438</v>
      </c>
    </row>
    <row r="867" spans="1:12" hidden="1" x14ac:dyDescent="0.4">
      <c r="A867" s="434">
        <v>3</v>
      </c>
      <c r="B867" s="434" t="s">
        <v>1598</v>
      </c>
      <c r="C867" s="434" t="s">
        <v>1436</v>
      </c>
      <c r="D867" s="434" t="s">
        <v>510</v>
      </c>
      <c r="E867" s="434" t="s">
        <v>1362</v>
      </c>
      <c r="F867" s="434" t="s">
        <v>1610</v>
      </c>
      <c r="G867" s="593">
        <v>16777300</v>
      </c>
      <c r="H867" s="434" t="s">
        <v>1441</v>
      </c>
      <c r="I867" s="434" t="s">
        <v>1438</v>
      </c>
    </row>
    <row r="868" spans="1:12" hidden="1" x14ac:dyDescent="0.4">
      <c r="A868" s="434">
        <v>3</v>
      </c>
      <c r="B868" s="434" t="s">
        <v>1598</v>
      </c>
      <c r="C868" s="434" t="s">
        <v>1436</v>
      </c>
      <c r="D868" s="434" t="s">
        <v>100</v>
      </c>
      <c r="E868" s="434" t="s">
        <v>1363</v>
      </c>
      <c r="F868" s="434" t="s">
        <v>1611</v>
      </c>
      <c r="G868" s="593">
        <v>9286600</v>
      </c>
      <c r="H868" s="434" t="s">
        <v>1441</v>
      </c>
      <c r="I868" s="434" t="s">
        <v>1438</v>
      </c>
    </row>
    <row r="869" spans="1:12" hidden="1" x14ac:dyDescent="0.4">
      <c r="A869" s="434">
        <v>3</v>
      </c>
      <c r="B869" s="434" t="s">
        <v>1598</v>
      </c>
      <c r="C869" s="434" t="s">
        <v>1436</v>
      </c>
      <c r="D869" s="434" t="s">
        <v>101</v>
      </c>
      <c r="E869" s="434" t="s">
        <v>1364</v>
      </c>
      <c r="F869" s="434" t="s">
        <v>1612</v>
      </c>
      <c r="G869" s="593">
        <v>4643300</v>
      </c>
      <c r="H869" s="434" t="s">
        <v>1441</v>
      </c>
      <c r="I869" s="434" t="s">
        <v>1438</v>
      </c>
    </row>
    <row r="870" spans="1:12" s="1448" customFormat="1" hidden="1" x14ac:dyDescent="0.4">
      <c r="A870" s="434">
        <v>3</v>
      </c>
      <c r="B870" s="1448" t="s">
        <v>1598</v>
      </c>
      <c r="C870" s="1448" t="s">
        <v>1436</v>
      </c>
      <c r="D870" s="434" t="s">
        <v>72</v>
      </c>
      <c r="F870" s="1448" t="s">
        <v>1749</v>
      </c>
      <c r="G870" s="1449">
        <v>3907300</v>
      </c>
      <c r="H870" s="1448" t="s">
        <v>534</v>
      </c>
      <c r="I870" s="1448" t="s">
        <v>534</v>
      </c>
      <c r="J870" s="1450"/>
      <c r="K870" s="1450"/>
      <c r="L870" s="1450"/>
    </row>
    <row r="871" spans="1:12" s="1448" customFormat="1" hidden="1" x14ac:dyDescent="0.4">
      <c r="A871" s="434">
        <v>3</v>
      </c>
      <c r="B871" s="1448" t="s">
        <v>1598</v>
      </c>
      <c r="C871" s="1448" t="s">
        <v>1436</v>
      </c>
      <c r="D871" s="434" t="s">
        <v>73</v>
      </c>
      <c r="F871" s="1448" t="s">
        <v>1749</v>
      </c>
      <c r="G871" s="1449">
        <v>19311000</v>
      </c>
      <c r="H871" s="1448" t="s">
        <v>534</v>
      </c>
      <c r="I871" s="1448" t="s">
        <v>534</v>
      </c>
      <c r="J871" s="1450"/>
      <c r="K871" s="1450"/>
      <c r="L871" s="1450"/>
    </row>
    <row r="872" spans="1:12" s="1448" customFormat="1" hidden="1" x14ac:dyDescent="0.4">
      <c r="A872" s="434">
        <v>3</v>
      </c>
      <c r="B872" s="1448" t="s">
        <v>1598</v>
      </c>
      <c r="C872" s="1448" t="s">
        <v>1436</v>
      </c>
      <c r="D872" s="434" t="s">
        <v>76</v>
      </c>
      <c r="F872" s="1448" t="s">
        <v>1749</v>
      </c>
      <c r="G872" s="1449">
        <v>-500</v>
      </c>
      <c r="H872" s="1448" t="s">
        <v>534</v>
      </c>
      <c r="I872" s="1448" t="s">
        <v>534</v>
      </c>
      <c r="J872" s="1450"/>
      <c r="K872" s="1450"/>
      <c r="L872" s="1450"/>
    </row>
    <row r="873" spans="1:12" s="1448" customFormat="1" hidden="1" x14ac:dyDescent="0.4">
      <c r="A873" s="434">
        <v>3</v>
      </c>
      <c r="B873" s="1448" t="s">
        <v>1598</v>
      </c>
      <c r="C873" s="1448" t="s">
        <v>1436</v>
      </c>
      <c r="D873" s="434" t="s">
        <v>80</v>
      </c>
      <c r="F873" s="1448" t="s">
        <v>1749</v>
      </c>
      <c r="G873" s="1449">
        <v>-100</v>
      </c>
      <c r="H873" s="1448" t="s">
        <v>534</v>
      </c>
      <c r="I873" s="1448" t="s">
        <v>534</v>
      </c>
      <c r="J873" s="1450"/>
      <c r="K873" s="1450"/>
      <c r="L873" s="1450"/>
    </row>
    <row r="874" spans="1:12" s="1448" customFormat="1" hidden="1" x14ac:dyDescent="0.4">
      <c r="A874" s="434">
        <v>3</v>
      </c>
      <c r="B874" s="1448" t="s">
        <v>1598</v>
      </c>
      <c r="C874" s="1448" t="s">
        <v>1436</v>
      </c>
      <c r="D874" s="434" t="s">
        <v>82</v>
      </c>
      <c r="F874" s="1448" t="s">
        <v>1749</v>
      </c>
      <c r="G874" s="1449">
        <v>-200</v>
      </c>
      <c r="H874" s="1448" t="s">
        <v>534</v>
      </c>
      <c r="I874" s="1448" t="s">
        <v>534</v>
      </c>
      <c r="J874" s="1450"/>
      <c r="K874" s="1450"/>
      <c r="L874" s="1450"/>
    </row>
    <row r="875" spans="1:12" s="1448" customFormat="1" hidden="1" x14ac:dyDescent="0.4">
      <c r="A875" s="434">
        <v>3</v>
      </c>
      <c r="B875" s="1448" t="s">
        <v>1598</v>
      </c>
      <c r="C875" s="1448" t="s">
        <v>1436</v>
      </c>
      <c r="D875" s="434" t="s">
        <v>84</v>
      </c>
      <c r="F875" s="1448" t="s">
        <v>1749</v>
      </c>
      <c r="G875" s="1449">
        <v>2096600</v>
      </c>
      <c r="H875" s="1448" t="s">
        <v>534</v>
      </c>
      <c r="I875" s="1448" t="s">
        <v>534</v>
      </c>
      <c r="J875" s="1450"/>
      <c r="K875" s="1450"/>
      <c r="L875" s="1450"/>
    </row>
    <row r="876" spans="1:12" s="1448" customFormat="1" hidden="1" x14ac:dyDescent="0.4">
      <c r="A876" s="434">
        <v>3</v>
      </c>
      <c r="B876" s="1448" t="s">
        <v>1598</v>
      </c>
      <c r="C876" s="1448" t="s">
        <v>1436</v>
      </c>
      <c r="D876" s="434" t="s">
        <v>86</v>
      </c>
      <c r="F876" s="1448" t="s">
        <v>1749</v>
      </c>
      <c r="G876" s="1449">
        <v>1934300</v>
      </c>
      <c r="H876" s="1448" t="s">
        <v>534</v>
      </c>
      <c r="I876" s="1448" t="s">
        <v>534</v>
      </c>
      <c r="J876" s="1450"/>
      <c r="K876" s="1450"/>
      <c r="L876" s="1450"/>
    </row>
    <row r="877" spans="1:12" s="1448" customFormat="1" hidden="1" x14ac:dyDescent="0.4">
      <c r="A877" s="434">
        <v>3</v>
      </c>
      <c r="B877" s="1448" t="s">
        <v>1598</v>
      </c>
      <c r="C877" s="1448" t="s">
        <v>1436</v>
      </c>
      <c r="D877" s="434" t="s">
        <v>87</v>
      </c>
      <c r="F877" s="1448" t="s">
        <v>1749</v>
      </c>
      <c r="G877" s="1449">
        <v>0</v>
      </c>
      <c r="H877" s="1448" t="s">
        <v>534</v>
      </c>
      <c r="I877" s="1448" t="s">
        <v>534</v>
      </c>
      <c r="J877" s="1450"/>
      <c r="K877" s="1450"/>
      <c r="L877" s="1450"/>
    </row>
    <row r="878" spans="1:12" s="1448" customFormat="1" hidden="1" x14ac:dyDescent="0.4">
      <c r="A878" s="434">
        <v>3</v>
      </c>
      <c r="B878" s="1448" t="s">
        <v>1598</v>
      </c>
      <c r="C878" s="1448" t="s">
        <v>1436</v>
      </c>
      <c r="D878" s="434" t="s">
        <v>90</v>
      </c>
      <c r="F878" s="1448" t="s">
        <v>1749</v>
      </c>
      <c r="G878" s="1449">
        <v>2326400</v>
      </c>
      <c r="H878" s="1448" t="s">
        <v>534</v>
      </c>
      <c r="I878" s="1448" t="s">
        <v>534</v>
      </c>
      <c r="J878" s="1450"/>
      <c r="K878" s="1450"/>
      <c r="L878" s="1450"/>
    </row>
    <row r="879" spans="1:12" s="1448" customFormat="1" hidden="1" x14ac:dyDescent="0.4">
      <c r="A879" s="434">
        <v>3</v>
      </c>
      <c r="B879" s="1448" t="s">
        <v>1598</v>
      </c>
      <c r="C879" s="1448" t="s">
        <v>1436</v>
      </c>
      <c r="D879" s="434" t="s">
        <v>92</v>
      </c>
      <c r="F879" s="1448" t="s">
        <v>1749</v>
      </c>
      <c r="G879" s="1449">
        <v>126100</v>
      </c>
      <c r="H879" s="1448" t="s">
        <v>534</v>
      </c>
      <c r="I879" s="1448" t="s">
        <v>534</v>
      </c>
      <c r="J879" s="1450"/>
      <c r="K879" s="1450"/>
      <c r="L879" s="1450"/>
    </row>
    <row r="880" spans="1:12" s="1448" customFormat="1" hidden="1" x14ac:dyDescent="0.4">
      <c r="A880" s="434">
        <v>3</v>
      </c>
      <c r="B880" s="1448" t="s">
        <v>1598</v>
      </c>
      <c r="C880" s="1448" t="s">
        <v>1436</v>
      </c>
      <c r="D880" s="434" t="s">
        <v>93</v>
      </c>
      <c r="F880" s="1448" t="s">
        <v>1749</v>
      </c>
      <c r="G880" s="1449">
        <v>377200</v>
      </c>
      <c r="H880" s="1448" t="s">
        <v>534</v>
      </c>
      <c r="I880" s="1448" t="s">
        <v>534</v>
      </c>
      <c r="J880" s="1450"/>
      <c r="K880" s="1450"/>
      <c r="L880" s="1450"/>
    </row>
    <row r="881" spans="1:12" s="1448" customFormat="1" hidden="1" x14ac:dyDescent="0.4">
      <c r="A881" s="434">
        <v>3</v>
      </c>
      <c r="B881" s="1448" t="s">
        <v>1598</v>
      </c>
      <c r="C881" s="1448" t="s">
        <v>1436</v>
      </c>
      <c r="D881" s="434" t="s">
        <v>94</v>
      </c>
      <c r="F881" s="1448" t="s">
        <v>1749</v>
      </c>
      <c r="G881" s="1449">
        <v>1257600</v>
      </c>
      <c r="H881" s="1448" t="s">
        <v>534</v>
      </c>
      <c r="I881" s="1448" t="s">
        <v>534</v>
      </c>
      <c r="J881" s="1450"/>
      <c r="K881" s="1450"/>
      <c r="L881" s="1450"/>
    </row>
    <row r="882" spans="1:12" s="1448" customFormat="1" hidden="1" x14ac:dyDescent="0.4">
      <c r="A882" s="434">
        <v>3</v>
      </c>
      <c r="B882" s="1448" t="s">
        <v>1598</v>
      </c>
      <c r="C882" s="1448" t="s">
        <v>1436</v>
      </c>
      <c r="D882" s="434" t="s">
        <v>96</v>
      </c>
      <c r="F882" s="1448" t="s">
        <v>1749</v>
      </c>
      <c r="G882" s="1449">
        <v>126100</v>
      </c>
      <c r="H882" s="1448" t="s">
        <v>534</v>
      </c>
      <c r="I882" s="1448" t="s">
        <v>534</v>
      </c>
      <c r="J882" s="1450"/>
      <c r="K882" s="1450"/>
      <c r="L882" s="1450"/>
    </row>
    <row r="883" spans="1:12" s="1448" customFormat="1" hidden="1" x14ac:dyDescent="0.4">
      <c r="A883" s="434">
        <v>3</v>
      </c>
      <c r="B883" s="1448" t="s">
        <v>1598</v>
      </c>
      <c r="C883" s="1448" t="s">
        <v>1436</v>
      </c>
      <c r="D883" s="434" t="s">
        <v>510</v>
      </c>
      <c r="F883" s="1448" t="s">
        <v>1749</v>
      </c>
      <c r="G883" s="1449">
        <v>1363200</v>
      </c>
      <c r="H883" s="1448" t="s">
        <v>534</v>
      </c>
      <c r="I883" s="1448" t="s">
        <v>534</v>
      </c>
      <c r="J883" s="1450"/>
      <c r="K883" s="1450"/>
      <c r="L883" s="1450"/>
    </row>
    <row r="884" spans="1:12" s="1448" customFormat="1" hidden="1" x14ac:dyDescent="0.4">
      <c r="A884" s="434">
        <v>3</v>
      </c>
      <c r="B884" s="1448" t="s">
        <v>1598</v>
      </c>
      <c r="C884" s="1448" t="s">
        <v>1436</v>
      </c>
      <c r="D884" s="434" t="s">
        <v>100</v>
      </c>
      <c r="F884" s="1448" t="s">
        <v>1749</v>
      </c>
      <c r="G884" s="1449">
        <v>754400</v>
      </c>
      <c r="H884" s="1448" t="s">
        <v>534</v>
      </c>
      <c r="I884" s="1448" t="s">
        <v>534</v>
      </c>
      <c r="J884" s="1450"/>
      <c r="K884" s="1450"/>
      <c r="L884" s="1450"/>
    </row>
    <row r="885" spans="1:12" s="1448" customFormat="1" hidden="1" x14ac:dyDescent="0.4">
      <c r="A885" s="434">
        <v>3</v>
      </c>
      <c r="B885" s="1448" t="s">
        <v>1598</v>
      </c>
      <c r="C885" s="1448" t="s">
        <v>1436</v>
      </c>
      <c r="D885" s="434" t="s">
        <v>101</v>
      </c>
      <c r="F885" s="1448" t="s">
        <v>1749</v>
      </c>
      <c r="G885" s="1449">
        <v>377200</v>
      </c>
      <c r="H885" s="1448" t="s">
        <v>534</v>
      </c>
      <c r="I885" s="1448" t="s">
        <v>534</v>
      </c>
      <c r="J885" s="1450"/>
      <c r="K885" s="1450"/>
      <c r="L885" s="1450"/>
    </row>
    <row r="886" spans="1:12" hidden="1" x14ac:dyDescent="0.4">
      <c r="A886" s="434">
        <v>3</v>
      </c>
      <c r="B886" s="434" t="s">
        <v>1598</v>
      </c>
      <c r="C886" s="434" t="s">
        <v>1439</v>
      </c>
      <c r="D886" s="434" t="s">
        <v>108</v>
      </c>
      <c r="E886" s="434" t="s">
        <v>1367</v>
      </c>
      <c r="F886" s="434" t="s">
        <v>1613</v>
      </c>
      <c r="G886" s="593">
        <v>35880000</v>
      </c>
      <c r="H886" s="434" t="s">
        <v>534</v>
      </c>
      <c r="I886" s="434" t="s">
        <v>534</v>
      </c>
    </row>
    <row r="887" spans="1:12" x14ac:dyDescent="0.4">
      <c r="A887" s="434">
        <v>3</v>
      </c>
      <c r="B887" s="434" t="s">
        <v>1598</v>
      </c>
      <c r="C887" s="434" t="s">
        <v>1439</v>
      </c>
      <c r="D887" s="434" t="s">
        <v>326</v>
      </c>
      <c r="E887" s="434" t="s">
        <v>1373</v>
      </c>
      <c r="F887" s="434" t="s">
        <v>1614</v>
      </c>
      <c r="G887" s="593">
        <v>1450000</v>
      </c>
      <c r="H887" s="434" t="s">
        <v>534</v>
      </c>
      <c r="I887" s="434" t="s">
        <v>534</v>
      </c>
    </row>
    <row r="888" spans="1:12" hidden="1" x14ac:dyDescent="0.4">
      <c r="A888" s="434">
        <v>3</v>
      </c>
      <c r="B888" s="434" t="s">
        <v>1598</v>
      </c>
      <c r="C888" s="434" t="s">
        <v>1439</v>
      </c>
      <c r="D888" s="434" t="s">
        <v>145</v>
      </c>
      <c r="E888" s="434" t="s">
        <v>1385</v>
      </c>
      <c r="F888" s="434" t="s">
        <v>1615</v>
      </c>
      <c r="G888" s="593">
        <v>100000</v>
      </c>
      <c r="H888" s="434" t="s">
        <v>534</v>
      </c>
      <c r="I888" s="434" t="s">
        <v>534</v>
      </c>
    </row>
    <row r="889" spans="1:12" hidden="1" x14ac:dyDescent="0.4">
      <c r="A889" s="434">
        <v>3</v>
      </c>
      <c r="B889" s="434" t="s">
        <v>1598</v>
      </c>
      <c r="C889" s="434" t="s">
        <v>1439</v>
      </c>
      <c r="D889" s="434" t="s">
        <v>147</v>
      </c>
      <c r="E889" s="434" t="s">
        <v>1386</v>
      </c>
      <c r="F889" s="434" t="s">
        <v>1616</v>
      </c>
      <c r="G889" s="593">
        <v>16500000</v>
      </c>
      <c r="H889" s="434" t="s">
        <v>534</v>
      </c>
      <c r="I889" s="434" t="s">
        <v>534</v>
      </c>
    </row>
    <row r="890" spans="1:12" hidden="1" x14ac:dyDescent="0.4">
      <c r="A890" s="434">
        <v>3</v>
      </c>
      <c r="B890" s="434" t="s">
        <v>1598</v>
      </c>
      <c r="C890" s="434" t="s">
        <v>1439</v>
      </c>
      <c r="D890" s="434" t="s">
        <v>151</v>
      </c>
      <c r="E890" s="434" t="s">
        <v>1387</v>
      </c>
      <c r="F890" s="434" t="s">
        <v>1617</v>
      </c>
      <c r="G890" s="593">
        <v>200000</v>
      </c>
      <c r="H890" s="434" t="s">
        <v>534</v>
      </c>
      <c r="I890" s="434" t="s">
        <v>534</v>
      </c>
    </row>
    <row r="891" spans="1:12" hidden="1" x14ac:dyDescent="0.4">
      <c r="A891" s="434">
        <v>3</v>
      </c>
      <c r="B891" s="434" t="s">
        <v>1598</v>
      </c>
      <c r="C891" s="434" t="s">
        <v>1439</v>
      </c>
      <c r="D891" s="434" t="s">
        <v>153</v>
      </c>
      <c r="E891" s="434" t="s">
        <v>1388</v>
      </c>
      <c r="F891" s="434" t="s">
        <v>1618</v>
      </c>
      <c r="G891" s="593">
        <v>56880000</v>
      </c>
      <c r="H891" s="434" t="s">
        <v>534</v>
      </c>
      <c r="I891" s="434" t="s">
        <v>534</v>
      </c>
    </row>
    <row r="892" spans="1:12" hidden="1" x14ac:dyDescent="0.4">
      <c r="A892" s="434">
        <v>3</v>
      </c>
      <c r="B892" s="434" t="s">
        <v>1598</v>
      </c>
      <c r="C892" s="434" t="s">
        <v>1439</v>
      </c>
      <c r="D892" s="434" t="s">
        <v>155</v>
      </c>
      <c r="E892" s="434" t="s">
        <v>1389</v>
      </c>
      <c r="F892" s="434" t="s">
        <v>1619</v>
      </c>
      <c r="G892" s="593">
        <v>800000</v>
      </c>
      <c r="H892" s="434" t="s">
        <v>534</v>
      </c>
      <c r="I892" s="434" t="s">
        <v>534</v>
      </c>
    </row>
    <row r="893" spans="1:12" hidden="1" x14ac:dyDescent="0.4">
      <c r="A893" s="434">
        <v>3</v>
      </c>
      <c r="B893" s="434" t="s">
        <v>1598</v>
      </c>
      <c r="C893" s="434" t="s">
        <v>1439</v>
      </c>
      <c r="D893" s="434" t="s">
        <v>157</v>
      </c>
      <c r="E893" s="434" t="s">
        <v>1390</v>
      </c>
      <c r="F893" s="434" t="s">
        <v>1620</v>
      </c>
      <c r="G893" s="593">
        <v>880000</v>
      </c>
      <c r="H893" s="434" t="s">
        <v>534</v>
      </c>
      <c r="I893" s="434" t="s">
        <v>534</v>
      </c>
    </row>
    <row r="894" spans="1:12" hidden="1" x14ac:dyDescent="0.4">
      <c r="A894" s="434">
        <v>3</v>
      </c>
      <c r="B894" s="434" t="s">
        <v>1598</v>
      </c>
      <c r="C894" s="434" t="s">
        <v>1439</v>
      </c>
      <c r="D894" s="434" t="s">
        <v>160</v>
      </c>
      <c r="E894" s="434" t="s">
        <v>1391</v>
      </c>
      <c r="F894" s="434" t="s">
        <v>1621</v>
      </c>
      <c r="G894" s="593">
        <v>3664300</v>
      </c>
      <c r="H894" s="434" t="s">
        <v>534</v>
      </c>
      <c r="I894" s="434" t="s">
        <v>534</v>
      </c>
    </row>
    <row r="895" spans="1:12" hidden="1" x14ac:dyDescent="0.4">
      <c r="A895" s="434">
        <v>3</v>
      </c>
      <c r="B895" s="434" t="s">
        <v>1598</v>
      </c>
      <c r="C895" s="434" t="s">
        <v>1498</v>
      </c>
      <c r="D895" s="434" t="s">
        <v>193</v>
      </c>
      <c r="E895" s="434" t="s">
        <v>1404</v>
      </c>
      <c r="F895" s="1471" t="s">
        <v>1622</v>
      </c>
      <c r="G895" s="593">
        <v>2000320</v>
      </c>
      <c r="H895" s="434" t="s">
        <v>1441</v>
      </c>
      <c r="I895" s="434" t="s">
        <v>1438</v>
      </c>
    </row>
    <row r="896" spans="1:12" hidden="1" x14ac:dyDescent="0.4">
      <c r="A896" s="434">
        <v>3</v>
      </c>
      <c r="B896" s="434" t="s">
        <v>1598</v>
      </c>
      <c r="C896" s="434" t="s">
        <v>1498</v>
      </c>
      <c r="D896" s="434" t="s">
        <v>195</v>
      </c>
      <c r="E896" s="434" t="s">
        <v>1405</v>
      </c>
      <c r="F896" s="434"/>
      <c r="G896" s="593">
        <v>262000</v>
      </c>
      <c r="H896" s="434" t="s">
        <v>1441</v>
      </c>
      <c r="I896" s="434" t="s">
        <v>1438</v>
      </c>
    </row>
    <row r="897" spans="1:9" hidden="1" x14ac:dyDescent="0.4">
      <c r="A897" s="434">
        <v>3</v>
      </c>
      <c r="B897" s="434" t="s">
        <v>1598</v>
      </c>
      <c r="C897" s="434" t="s">
        <v>1498</v>
      </c>
      <c r="D897" s="434" t="s">
        <v>221</v>
      </c>
      <c r="E897" s="434" t="s">
        <v>1411</v>
      </c>
      <c r="F897" s="434"/>
      <c r="G897" s="593">
        <v>231050</v>
      </c>
      <c r="H897" s="434" t="s">
        <v>1441</v>
      </c>
      <c r="I897" s="434" t="s">
        <v>1438</v>
      </c>
    </row>
    <row r="898" spans="1:9" hidden="1" x14ac:dyDescent="0.4">
      <c r="A898" s="434">
        <v>3</v>
      </c>
      <c r="B898" s="434" t="s">
        <v>1598</v>
      </c>
      <c r="C898" s="434" t="s">
        <v>1498</v>
      </c>
      <c r="D898" s="434" t="s">
        <v>224</v>
      </c>
      <c r="E898" s="434" t="s">
        <v>1413</v>
      </c>
      <c r="F898" s="434"/>
      <c r="G898" s="593">
        <v>35500</v>
      </c>
      <c r="H898" s="434" t="s">
        <v>1441</v>
      </c>
      <c r="I898" s="434" t="s">
        <v>1438</v>
      </c>
    </row>
    <row r="899" spans="1:9" hidden="1" x14ac:dyDescent="0.4">
      <c r="A899" s="434">
        <v>3</v>
      </c>
      <c r="B899" s="434" t="s">
        <v>1598</v>
      </c>
      <c r="C899" s="434" t="s">
        <v>1498</v>
      </c>
      <c r="D899" s="434" t="s">
        <v>226</v>
      </c>
      <c r="E899" s="434" t="s">
        <v>1414</v>
      </c>
      <c r="F899" s="434"/>
      <c r="G899" s="593">
        <v>818660</v>
      </c>
      <c r="H899" s="434" t="s">
        <v>1441</v>
      </c>
      <c r="I899" s="434" t="s">
        <v>1438</v>
      </c>
    </row>
    <row r="900" spans="1:9" hidden="1" x14ac:dyDescent="0.4">
      <c r="A900" s="434">
        <v>3</v>
      </c>
      <c r="B900" s="434" t="s">
        <v>1598</v>
      </c>
      <c r="C900" s="434" t="s">
        <v>1485</v>
      </c>
      <c r="D900" s="434" t="s">
        <v>345</v>
      </c>
      <c r="E900" s="434" t="s">
        <v>1427</v>
      </c>
      <c r="F900" s="434" t="s">
        <v>1623</v>
      </c>
      <c r="G900" s="593">
        <v>1000000</v>
      </c>
      <c r="H900" s="434" t="s">
        <v>1441</v>
      </c>
      <c r="I900" s="434" t="s">
        <v>1438</v>
      </c>
    </row>
    <row r="901" spans="1:9" hidden="1" x14ac:dyDescent="0.4">
      <c r="A901" s="434">
        <v>3</v>
      </c>
      <c r="B901" s="434" t="s">
        <v>1624</v>
      </c>
      <c r="C901" s="434" t="s">
        <v>1436</v>
      </c>
      <c r="D901" s="434" t="s">
        <v>72</v>
      </c>
      <c r="E901" s="434" t="s">
        <v>1348</v>
      </c>
      <c r="F901" s="434" t="s">
        <v>1437</v>
      </c>
      <c r="G901" s="593">
        <v>52293700</v>
      </c>
      <c r="H901" s="434" t="s">
        <v>1441</v>
      </c>
      <c r="I901" s="434" t="s">
        <v>1438</v>
      </c>
    </row>
    <row r="902" spans="1:9" hidden="1" x14ac:dyDescent="0.4">
      <c r="A902" s="434">
        <v>3</v>
      </c>
      <c r="B902" s="434" t="s">
        <v>1624</v>
      </c>
      <c r="C902" s="434" t="s">
        <v>1436</v>
      </c>
      <c r="D902" s="434" t="s">
        <v>76</v>
      </c>
      <c r="E902" s="434" t="s">
        <v>1352</v>
      </c>
      <c r="F902" s="434" t="s">
        <v>1056</v>
      </c>
      <c r="G902" s="593">
        <v>1700000</v>
      </c>
      <c r="H902" s="434" t="s">
        <v>1441</v>
      </c>
      <c r="I902" s="434" t="s">
        <v>1438</v>
      </c>
    </row>
    <row r="903" spans="1:9" hidden="1" x14ac:dyDescent="0.4">
      <c r="A903" s="434">
        <v>3</v>
      </c>
      <c r="B903" s="434" t="s">
        <v>1624</v>
      </c>
      <c r="C903" s="434" t="s">
        <v>1436</v>
      </c>
      <c r="D903" s="434" t="s">
        <v>80</v>
      </c>
      <c r="E903" s="434" t="s">
        <v>1332</v>
      </c>
      <c r="F903" s="434" t="s">
        <v>481</v>
      </c>
      <c r="G903" s="593">
        <v>9445600</v>
      </c>
      <c r="H903" s="434" t="s">
        <v>1441</v>
      </c>
      <c r="I903" s="434" t="s">
        <v>1438</v>
      </c>
    </row>
    <row r="904" spans="1:9" hidden="1" x14ac:dyDescent="0.4">
      <c r="A904" s="434">
        <v>3</v>
      </c>
      <c r="B904" s="434" t="s">
        <v>1624</v>
      </c>
      <c r="C904" s="434" t="s">
        <v>1436</v>
      </c>
      <c r="D904" s="434" t="s">
        <v>82</v>
      </c>
      <c r="E904" s="434" t="s">
        <v>1333</v>
      </c>
      <c r="F904" s="434" t="s">
        <v>482</v>
      </c>
      <c r="G904" s="593">
        <v>10475500</v>
      </c>
      <c r="H904" s="434" t="s">
        <v>1441</v>
      </c>
      <c r="I904" s="434" t="s">
        <v>1438</v>
      </c>
    </row>
    <row r="905" spans="1:9" hidden="1" x14ac:dyDescent="0.4">
      <c r="A905" s="434">
        <v>3</v>
      </c>
      <c r="B905" s="434" t="s">
        <v>1624</v>
      </c>
      <c r="C905" s="434" t="s">
        <v>1436</v>
      </c>
      <c r="D905" s="434" t="s">
        <v>84</v>
      </c>
      <c r="E905" s="434" t="s">
        <v>1355</v>
      </c>
      <c r="F905" s="434" t="s">
        <v>483</v>
      </c>
      <c r="G905" s="593">
        <v>7234900</v>
      </c>
      <c r="H905" s="434" t="s">
        <v>1441</v>
      </c>
      <c r="I905" s="434" t="s">
        <v>1438</v>
      </c>
    </row>
    <row r="906" spans="1:9" hidden="1" x14ac:dyDescent="0.4">
      <c r="A906" s="434">
        <v>3</v>
      </c>
      <c r="B906" s="434" t="s">
        <v>1624</v>
      </c>
      <c r="C906" s="434" t="s">
        <v>1436</v>
      </c>
      <c r="D906" s="434" t="s">
        <v>86</v>
      </c>
      <c r="E906" s="434" t="s">
        <v>1356</v>
      </c>
      <c r="F906" s="434" t="s">
        <v>484</v>
      </c>
      <c r="G906" s="593">
        <v>6186100</v>
      </c>
      <c r="H906" s="434" t="s">
        <v>1441</v>
      </c>
      <c r="I906" s="434" t="s">
        <v>1438</v>
      </c>
    </row>
    <row r="907" spans="1:9" hidden="1" x14ac:dyDescent="0.4">
      <c r="A907" s="434">
        <v>3</v>
      </c>
      <c r="B907" s="434" t="s">
        <v>1624</v>
      </c>
      <c r="C907" s="434" t="s">
        <v>1436</v>
      </c>
      <c r="D907" s="434" t="s">
        <v>87</v>
      </c>
      <c r="E907" s="434" t="s">
        <v>1334</v>
      </c>
      <c r="F907" s="434" t="s">
        <v>485</v>
      </c>
      <c r="G907" s="593">
        <v>6718300</v>
      </c>
      <c r="H907" s="434" t="s">
        <v>1441</v>
      </c>
      <c r="I907" s="434" t="s">
        <v>1438</v>
      </c>
    </row>
    <row r="908" spans="1:9" hidden="1" x14ac:dyDescent="0.4">
      <c r="A908" s="434">
        <v>3</v>
      </c>
      <c r="B908" s="434" t="s">
        <v>1624</v>
      </c>
      <c r="C908" s="434" t="s">
        <v>1436</v>
      </c>
      <c r="D908" s="434" t="s">
        <v>90</v>
      </c>
      <c r="E908" s="434" t="s">
        <v>1357</v>
      </c>
      <c r="F908" s="434" t="s">
        <v>486</v>
      </c>
      <c r="G908" s="593">
        <v>8030800</v>
      </c>
      <c r="H908" s="434" t="s">
        <v>1441</v>
      </c>
      <c r="I908" s="434" t="s">
        <v>1438</v>
      </c>
    </row>
    <row r="909" spans="1:9" hidden="1" x14ac:dyDescent="0.4">
      <c r="A909" s="434">
        <v>3</v>
      </c>
      <c r="B909" s="434" t="s">
        <v>1624</v>
      </c>
      <c r="C909" s="434" t="s">
        <v>1436</v>
      </c>
      <c r="D909" s="434" t="s">
        <v>92</v>
      </c>
      <c r="E909" s="434" t="s">
        <v>1358</v>
      </c>
      <c r="F909" s="434" t="s">
        <v>487</v>
      </c>
      <c r="G909" s="593">
        <v>434100</v>
      </c>
      <c r="H909" s="434" t="s">
        <v>1441</v>
      </c>
      <c r="I909" s="434" t="s">
        <v>1438</v>
      </c>
    </row>
    <row r="910" spans="1:9" hidden="1" x14ac:dyDescent="0.4">
      <c r="A910" s="434">
        <v>3</v>
      </c>
      <c r="B910" s="434" t="s">
        <v>1624</v>
      </c>
      <c r="C910" s="434" t="s">
        <v>1436</v>
      </c>
      <c r="D910" s="434" t="s">
        <v>93</v>
      </c>
      <c r="E910" s="434" t="s">
        <v>1359</v>
      </c>
      <c r="F910" s="434" t="s">
        <v>488</v>
      </c>
      <c r="G910" s="593">
        <v>1302300</v>
      </c>
      <c r="H910" s="434" t="s">
        <v>1441</v>
      </c>
      <c r="I910" s="434" t="s">
        <v>1438</v>
      </c>
    </row>
    <row r="911" spans="1:9" hidden="1" x14ac:dyDescent="0.4">
      <c r="A911" s="434">
        <v>3</v>
      </c>
      <c r="B911" s="434" t="s">
        <v>1624</v>
      </c>
      <c r="C911" s="434" t="s">
        <v>1436</v>
      </c>
      <c r="D911" s="434" t="s">
        <v>94</v>
      </c>
      <c r="E911" s="434" t="s">
        <v>1360</v>
      </c>
      <c r="F911" s="434" t="s">
        <v>489</v>
      </c>
      <c r="G911" s="593">
        <v>4341000</v>
      </c>
      <c r="H911" s="434" t="s">
        <v>1441</v>
      </c>
      <c r="I911" s="434" t="s">
        <v>1438</v>
      </c>
    </row>
    <row r="912" spans="1:9" hidden="1" x14ac:dyDescent="0.4">
      <c r="A912" s="434">
        <v>3</v>
      </c>
      <c r="B912" s="434" t="s">
        <v>1624</v>
      </c>
      <c r="C912" s="434" t="s">
        <v>1436</v>
      </c>
      <c r="D912" s="434" t="s">
        <v>96</v>
      </c>
      <c r="E912" s="434" t="s">
        <v>1361</v>
      </c>
      <c r="F912" s="434" t="s">
        <v>490</v>
      </c>
      <c r="G912" s="593">
        <v>434100</v>
      </c>
      <c r="H912" s="434" t="s">
        <v>1441</v>
      </c>
      <c r="I912" s="434" t="s">
        <v>1438</v>
      </c>
    </row>
    <row r="913" spans="1:12" hidden="1" x14ac:dyDescent="0.4">
      <c r="A913" s="434">
        <v>3</v>
      </c>
      <c r="B913" s="434" t="s">
        <v>1624</v>
      </c>
      <c r="C913" s="434" t="s">
        <v>1436</v>
      </c>
      <c r="D913" s="434" t="s">
        <v>510</v>
      </c>
      <c r="E913" s="434" t="s">
        <v>1362</v>
      </c>
      <c r="F913" s="434" t="s">
        <v>491</v>
      </c>
      <c r="G913" s="593">
        <v>4705600</v>
      </c>
      <c r="H913" s="434" t="s">
        <v>1441</v>
      </c>
      <c r="I913" s="434" t="s">
        <v>1438</v>
      </c>
    </row>
    <row r="914" spans="1:12" hidden="1" x14ac:dyDescent="0.4">
      <c r="A914" s="434">
        <v>3</v>
      </c>
      <c r="B914" s="434" t="s">
        <v>1624</v>
      </c>
      <c r="C914" s="434" t="s">
        <v>1436</v>
      </c>
      <c r="D914" s="434" t="s">
        <v>100</v>
      </c>
      <c r="E914" s="434" t="s">
        <v>1363</v>
      </c>
      <c r="F914" s="434" t="s">
        <v>491</v>
      </c>
      <c r="G914" s="593">
        <v>2604600</v>
      </c>
      <c r="H914" s="434" t="s">
        <v>1441</v>
      </c>
      <c r="I914" s="434" t="s">
        <v>1438</v>
      </c>
    </row>
    <row r="915" spans="1:12" hidden="1" x14ac:dyDescent="0.4">
      <c r="A915" s="434">
        <v>3</v>
      </c>
      <c r="B915" s="434" t="s">
        <v>1624</v>
      </c>
      <c r="C915" s="434" t="s">
        <v>1436</v>
      </c>
      <c r="D915" s="434" t="s">
        <v>101</v>
      </c>
      <c r="E915" s="434" t="s">
        <v>1364</v>
      </c>
      <c r="F915" s="434" t="s">
        <v>1135</v>
      </c>
      <c r="G915" s="593">
        <v>1302300</v>
      </c>
      <c r="H915" s="434" t="s">
        <v>1441</v>
      </c>
      <c r="I915" s="434" t="s">
        <v>1438</v>
      </c>
    </row>
    <row r="916" spans="1:12" s="1448" customFormat="1" hidden="1" x14ac:dyDescent="0.4">
      <c r="A916" s="434">
        <v>3</v>
      </c>
      <c r="B916" s="1448" t="s">
        <v>1624</v>
      </c>
      <c r="C916" s="1448" t="s">
        <v>1436</v>
      </c>
      <c r="D916" s="434" t="s">
        <v>72</v>
      </c>
      <c r="F916" s="1448" t="s">
        <v>1749</v>
      </c>
      <c r="G916" s="1449">
        <v>3907300</v>
      </c>
      <c r="H916" s="1448" t="s">
        <v>534</v>
      </c>
      <c r="I916" s="1448" t="s">
        <v>534</v>
      </c>
      <c r="J916" s="1450"/>
      <c r="K916" s="1450"/>
      <c r="L916" s="1450"/>
    </row>
    <row r="917" spans="1:12" s="1448" customFormat="1" hidden="1" x14ac:dyDescent="0.4">
      <c r="A917" s="434">
        <v>3</v>
      </c>
      <c r="B917" s="1448" t="s">
        <v>1624</v>
      </c>
      <c r="C917" s="1448" t="s">
        <v>1436</v>
      </c>
      <c r="D917" s="434" t="s">
        <v>76</v>
      </c>
      <c r="F917" s="1448" t="s">
        <v>1749</v>
      </c>
      <c r="G917" s="1449">
        <v>0</v>
      </c>
      <c r="H917" s="1448" t="s">
        <v>534</v>
      </c>
      <c r="I917" s="1448" t="s">
        <v>534</v>
      </c>
      <c r="J917" s="1450"/>
      <c r="K917" s="1450"/>
      <c r="L917" s="1450"/>
    </row>
    <row r="918" spans="1:12" s="1448" customFormat="1" hidden="1" x14ac:dyDescent="0.4">
      <c r="A918" s="434">
        <v>3</v>
      </c>
      <c r="B918" s="1448" t="s">
        <v>1624</v>
      </c>
      <c r="C918" s="1448" t="s">
        <v>1436</v>
      </c>
      <c r="D918" s="434" t="s">
        <v>80</v>
      </c>
      <c r="F918" s="1448" t="s">
        <v>1749</v>
      </c>
      <c r="G918" s="1449">
        <v>-100</v>
      </c>
      <c r="H918" s="1448" t="s">
        <v>534</v>
      </c>
      <c r="I918" s="1448" t="s">
        <v>534</v>
      </c>
      <c r="J918" s="1450"/>
      <c r="K918" s="1450"/>
      <c r="L918" s="1450"/>
    </row>
    <row r="919" spans="1:12" s="1448" customFormat="1" hidden="1" x14ac:dyDescent="0.4">
      <c r="A919" s="434">
        <v>3</v>
      </c>
      <c r="B919" s="1448" t="s">
        <v>1624</v>
      </c>
      <c r="C919" s="1448" t="s">
        <v>1436</v>
      </c>
      <c r="D919" s="434" t="s">
        <v>82</v>
      </c>
      <c r="F919" s="1448" t="s">
        <v>1749</v>
      </c>
      <c r="G919" s="1449">
        <v>0</v>
      </c>
      <c r="H919" s="1448" t="s">
        <v>534</v>
      </c>
      <c r="I919" s="1448" t="s">
        <v>534</v>
      </c>
      <c r="J919" s="1450"/>
      <c r="K919" s="1450"/>
      <c r="L919" s="1450"/>
    </row>
    <row r="920" spans="1:12" s="1448" customFormat="1" hidden="1" x14ac:dyDescent="0.4">
      <c r="A920" s="434">
        <v>3</v>
      </c>
      <c r="B920" s="1448" t="s">
        <v>1624</v>
      </c>
      <c r="C920" s="1448" t="s">
        <v>1436</v>
      </c>
      <c r="D920" s="434" t="s">
        <v>84</v>
      </c>
      <c r="F920" s="1448" t="s">
        <v>1749</v>
      </c>
      <c r="G920" s="1449">
        <v>352600</v>
      </c>
      <c r="H920" s="1448" t="s">
        <v>534</v>
      </c>
      <c r="I920" s="1448" t="s">
        <v>534</v>
      </c>
      <c r="J920" s="1450"/>
      <c r="K920" s="1450"/>
      <c r="L920" s="1450"/>
    </row>
    <row r="921" spans="1:12" s="1448" customFormat="1" hidden="1" x14ac:dyDescent="0.4">
      <c r="A921" s="434">
        <v>3</v>
      </c>
      <c r="B921" s="1448" t="s">
        <v>1624</v>
      </c>
      <c r="C921" s="1448" t="s">
        <v>1436</v>
      </c>
      <c r="D921" s="434" t="s">
        <v>86</v>
      </c>
      <c r="F921" s="1448" t="s">
        <v>1749</v>
      </c>
      <c r="G921" s="1449">
        <v>325400</v>
      </c>
      <c r="H921" s="1448" t="s">
        <v>534</v>
      </c>
      <c r="I921" s="1448" t="s">
        <v>534</v>
      </c>
      <c r="J921" s="1450"/>
      <c r="K921" s="1450"/>
      <c r="L921" s="1450"/>
    </row>
    <row r="922" spans="1:12" s="1448" customFormat="1" hidden="1" x14ac:dyDescent="0.4">
      <c r="A922" s="434">
        <v>3</v>
      </c>
      <c r="B922" s="1448" t="s">
        <v>1624</v>
      </c>
      <c r="C922" s="1448" t="s">
        <v>1436</v>
      </c>
      <c r="D922" s="434" t="s">
        <v>87</v>
      </c>
      <c r="F922" s="1448" t="s">
        <v>1749</v>
      </c>
      <c r="G922" s="1449">
        <v>200</v>
      </c>
      <c r="H922" s="1448" t="s">
        <v>534</v>
      </c>
      <c r="I922" s="1448" t="s">
        <v>534</v>
      </c>
      <c r="J922" s="1450"/>
      <c r="K922" s="1450"/>
      <c r="L922" s="1450"/>
    </row>
    <row r="923" spans="1:12" s="1448" customFormat="1" hidden="1" x14ac:dyDescent="0.4">
      <c r="A923" s="434">
        <v>3</v>
      </c>
      <c r="B923" s="1448" t="s">
        <v>1624</v>
      </c>
      <c r="C923" s="1448" t="s">
        <v>1436</v>
      </c>
      <c r="D923" s="434" t="s">
        <v>90</v>
      </c>
      <c r="F923" s="1448" t="s">
        <v>1749</v>
      </c>
      <c r="G923" s="1449">
        <v>391700</v>
      </c>
      <c r="H923" s="1448" t="s">
        <v>534</v>
      </c>
      <c r="I923" s="1448" t="s">
        <v>534</v>
      </c>
      <c r="J923" s="1450"/>
      <c r="K923" s="1450"/>
      <c r="L923" s="1450"/>
    </row>
    <row r="924" spans="1:12" s="1448" customFormat="1" hidden="1" x14ac:dyDescent="0.4">
      <c r="A924" s="434">
        <v>3</v>
      </c>
      <c r="B924" s="1448" t="s">
        <v>1624</v>
      </c>
      <c r="C924" s="1448" t="s">
        <v>1436</v>
      </c>
      <c r="D924" s="434" t="s">
        <v>92</v>
      </c>
      <c r="F924" s="1448" t="s">
        <v>1749</v>
      </c>
      <c r="G924" s="1449">
        <v>21400</v>
      </c>
      <c r="H924" s="1448" t="s">
        <v>534</v>
      </c>
      <c r="I924" s="1448" t="s">
        <v>534</v>
      </c>
      <c r="J924" s="1450"/>
      <c r="K924" s="1450"/>
      <c r="L924" s="1450"/>
    </row>
    <row r="925" spans="1:12" s="1448" customFormat="1" hidden="1" x14ac:dyDescent="0.4">
      <c r="A925" s="434">
        <v>3</v>
      </c>
      <c r="B925" s="1448" t="s">
        <v>1624</v>
      </c>
      <c r="C925" s="1448" t="s">
        <v>1436</v>
      </c>
      <c r="D925" s="434" t="s">
        <v>93</v>
      </c>
      <c r="F925" s="1448" t="s">
        <v>1749</v>
      </c>
      <c r="G925" s="1449">
        <v>63700</v>
      </c>
      <c r="H925" s="1448" t="s">
        <v>534</v>
      </c>
      <c r="I925" s="1448" t="s">
        <v>534</v>
      </c>
      <c r="J925" s="1450"/>
      <c r="K925" s="1450"/>
      <c r="L925" s="1450"/>
    </row>
    <row r="926" spans="1:12" s="1448" customFormat="1" hidden="1" x14ac:dyDescent="0.4">
      <c r="A926" s="434">
        <v>3</v>
      </c>
      <c r="B926" s="1448" t="s">
        <v>1624</v>
      </c>
      <c r="C926" s="1448" t="s">
        <v>1436</v>
      </c>
      <c r="D926" s="434" t="s">
        <v>94</v>
      </c>
      <c r="F926" s="1448" t="s">
        <v>1749</v>
      </c>
      <c r="G926" s="1449">
        <v>211500</v>
      </c>
      <c r="H926" s="1448" t="s">
        <v>534</v>
      </c>
      <c r="I926" s="1448" t="s">
        <v>534</v>
      </c>
      <c r="J926" s="1450"/>
      <c r="K926" s="1450"/>
      <c r="L926" s="1450"/>
    </row>
    <row r="927" spans="1:12" s="1448" customFormat="1" hidden="1" x14ac:dyDescent="0.4">
      <c r="A927" s="434">
        <v>3</v>
      </c>
      <c r="B927" s="1448" t="s">
        <v>1624</v>
      </c>
      <c r="C927" s="1448" t="s">
        <v>1436</v>
      </c>
      <c r="D927" s="434" t="s">
        <v>96</v>
      </c>
      <c r="F927" s="1448" t="s">
        <v>1749</v>
      </c>
      <c r="G927" s="1449">
        <v>21400</v>
      </c>
      <c r="H927" s="1448" t="s">
        <v>534</v>
      </c>
      <c r="I927" s="1448" t="s">
        <v>534</v>
      </c>
      <c r="J927" s="1450"/>
      <c r="K927" s="1450"/>
      <c r="L927" s="1450"/>
    </row>
    <row r="928" spans="1:12" s="1448" customFormat="1" hidden="1" x14ac:dyDescent="0.4">
      <c r="A928" s="434">
        <v>3</v>
      </c>
      <c r="B928" s="1448" t="s">
        <v>1624</v>
      </c>
      <c r="C928" s="1448" t="s">
        <v>1436</v>
      </c>
      <c r="D928" s="434" t="s">
        <v>510</v>
      </c>
      <c r="F928" s="1448" t="s">
        <v>1749</v>
      </c>
      <c r="G928" s="1449">
        <v>229400</v>
      </c>
      <c r="H928" s="1448" t="s">
        <v>534</v>
      </c>
      <c r="I928" s="1448" t="s">
        <v>534</v>
      </c>
      <c r="J928" s="1450"/>
      <c r="K928" s="1450"/>
      <c r="L928" s="1450"/>
    </row>
    <row r="929" spans="1:12" s="1448" customFormat="1" hidden="1" x14ac:dyDescent="0.4">
      <c r="A929" s="434">
        <v>3</v>
      </c>
      <c r="B929" s="1448" t="s">
        <v>1624</v>
      </c>
      <c r="C929" s="1448" t="s">
        <v>1436</v>
      </c>
      <c r="D929" s="434" t="s">
        <v>100</v>
      </c>
      <c r="F929" s="1448" t="s">
        <v>1749</v>
      </c>
      <c r="G929" s="1449">
        <v>126900</v>
      </c>
      <c r="H929" s="1448" t="s">
        <v>534</v>
      </c>
      <c r="I929" s="1448" t="s">
        <v>534</v>
      </c>
      <c r="J929" s="1450"/>
      <c r="K929" s="1450"/>
      <c r="L929" s="1450"/>
    </row>
    <row r="930" spans="1:12" s="1448" customFormat="1" hidden="1" x14ac:dyDescent="0.4">
      <c r="A930" s="434">
        <v>3</v>
      </c>
      <c r="B930" s="1448" t="s">
        <v>1624</v>
      </c>
      <c r="C930" s="1448" t="s">
        <v>1436</v>
      </c>
      <c r="D930" s="434" t="s">
        <v>101</v>
      </c>
      <c r="F930" s="1448" t="s">
        <v>1749</v>
      </c>
      <c r="G930" s="1449">
        <v>63700</v>
      </c>
      <c r="H930" s="1448" t="s">
        <v>534</v>
      </c>
      <c r="I930" s="1448" t="s">
        <v>534</v>
      </c>
      <c r="J930" s="1450"/>
      <c r="K930" s="1450"/>
      <c r="L930" s="1450"/>
    </row>
    <row r="931" spans="1:12" hidden="1" x14ac:dyDescent="0.4">
      <c r="A931" s="434">
        <v>3</v>
      </c>
      <c r="B931" s="434" t="s">
        <v>1624</v>
      </c>
      <c r="C931" s="434" t="s">
        <v>1439</v>
      </c>
      <c r="D931" s="434" t="s">
        <v>160</v>
      </c>
      <c r="E931" s="434" t="s">
        <v>1391</v>
      </c>
      <c r="F931" s="434" t="s">
        <v>1449</v>
      </c>
      <c r="G931" s="593">
        <v>552700</v>
      </c>
      <c r="H931" s="434" t="s">
        <v>534</v>
      </c>
      <c r="I931" s="434" t="s">
        <v>534</v>
      </c>
    </row>
    <row r="932" spans="1:12" hidden="1" x14ac:dyDescent="0.4">
      <c r="A932" s="434">
        <v>3</v>
      </c>
      <c r="B932" s="434" t="s">
        <v>1625</v>
      </c>
      <c r="C932" s="434" t="s">
        <v>1436</v>
      </c>
      <c r="D932" s="434" t="s">
        <v>73</v>
      </c>
      <c r="E932" s="434" t="s">
        <v>1349</v>
      </c>
      <c r="F932" s="434" t="s">
        <v>1564</v>
      </c>
      <c r="G932" s="593">
        <v>3623900</v>
      </c>
      <c r="H932" s="434" t="s">
        <v>1626</v>
      </c>
      <c r="I932" s="434" t="s">
        <v>1626</v>
      </c>
    </row>
    <row r="933" spans="1:12" hidden="1" x14ac:dyDescent="0.4">
      <c r="A933" s="434">
        <v>3</v>
      </c>
      <c r="B933" s="434" t="s">
        <v>1625</v>
      </c>
      <c r="C933" s="434" t="s">
        <v>1436</v>
      </c>
      <c r="D933" s="434" t="s">
        <v>82</v>
      </c>
      <c r="E933" s="434" t="s">
        <v>1333</v>
      </c>
      <c r="F933" s="434" t="s">
        <v>482</v>
      </c>
      <c r="G933" s="593">
        <v>343000</v>
      </c>
      <c r="H933" s="434" t="s">
        <v>1626</v>
      </c>
      <c r="I933" s="434" t="s">
        <v>1626</v>
      </c>
    </row>
    <row r="934" spans="1:12" hidden="1" x14ac:dyDescent="0.4">
      <c r="A934" s="434">
        <v>3</v>
      </c>
      <c r="B934" s="434" t="s">
        <v>1625</v>
      </c>
      <c r="C934" s="434" t="s">
        <v>1436</v>
      </c>
      <c r="D934" s="434" t="s">
        <v>84</v>
      </c>
      <c r="E934" s="434" t="s">
        <v>1355</v>
      </c>
      <c r="F934" s="434" t="s">
        <v>483</v>
      </c>
      <c r="G934" s="593">
        <v>358100</v>
      </c>
      <c r="H934" s="434" t="s">
        <v>1626</v>
      </c>
      <c r="I934" s="434" t="s">
        <v>1626</v>
      </c>
    </row>
    <row r="935" spans="1:12" hidden="1" x14ac:dyDescent="0.4">
      <c r="A935" s="434">
        <v>3</v>
      </c>
      <c r="B935" s="434" t="s">
        <v>1625</v>
      </c>
      <c r="C935" s="434" t="s">
        <v>1436</v>
      </c>
      <c r="D935" s="434" t="s">
        <v>86</v>
      </c>
      <c r="E935" s="434" t="s">
        <v>1356</v>
      </c>
      <c r="F935" s="434" t="s">
        <v>484</v>
      </c>
      <c r="G935" s="593">
        <v>330400</v>
      </c>
      <c r="H935" s="434" t="s">
        <v>1626</v>
      </c>
      <c r="I935" s="434" t="s">
        <v>1626</v>
      </c>
    </row>
    <row r="936" spans="1:12" hidden="1" x14ac:dyDescent="0.4">
      <c r="A936" s="434">
        <v>3</v>
      </c>
      <c r="B936" s="434" t="s">
        <v>1625</v>
      </c>
      <c r="C936" s="434" t="s">
        <v>1436</v>
      </c>
      <c r="D936" s="434" t="s">
        <v>90</v>
      </c>
      <c r="E936" s="434" t="s">
        <v>1357</v>
      </c>
      <c r="F936" s="434" t="s">
        <v>486</v>
      </c>
      <c r="G936" s="593">
        <v>397500</v>
      </c>
      <c r="H936" s="434" t="s">
        <v>1626</v>
      </c>
      <c r="I936" s="434" t="s">
        <v>1626</v>
      </c>
    </row>
    <row r="937" spans="1:12" hidden="1" x14ac:dyDescent="0.4">
      <c r="A937" s="434">
        <v>3</v>
      </c>
      <c r="B937" s="434" t="s">
        <v>1625</v>
      </c>
      <c r="C937" s="434" t="s">
        <v>1436</v>
      </c>
      <c r="D937" s="434" t="s">
        <v>92</v>
      </c>
      <c r="E937" s="434" t="s">
        <v>1358</v>
      </c>
      <c r="F937" s="434" t="s">
        <v>487</v>
      </c>
      <c r="G937" s="593">
        <v>21500</v>
      </c>
      <c r="H937" s="434" t="s">
        <v>1626</v>
      </c>
      <c r="I937" s="434" t="s">
        <v>1626</v>
      </c>
    </row>
    <row r="938" spans="1:12" hidden="1" x14ac:dyDescent="0.4">
      <c r="A938" s="434">
        <v>3</v>
      </c>
      <c r="B938" s="434" t="s">
        <v>1625</v>
      </c>
      <c r="C938" s="434" t="s">
        <v>1436</v>
      </c>
      <c r="D938" s="434" t="s">
        <v>93</v>
      </c>
      <c r="E938" s="434" t="s">
        <v>1359</v>
      </c>
      <c r="F938" s="434" t="s">
        <v>488</v>
      </c>
      <c r="G938" s="593">
        <v>64500</v>
      </c>
      <c r="H938" s="434" t="s">
        <v>1626</v>
      </c>
      <c r="I938" s="434" t="s">
        <v>1626</v>
      </c>
    </row>
    <row r="939" spans="1:12" hidden="1" x14ac:dyDescent="0.4">
      <c r="A939" s="434">
        <v>3</v>
      </c>
      <c r="B939" s="434" t="s">
        <v>1625</v>
      </c>
      <c r="C939" s="434" t="s">
        <v>1436</v>
      </c>
      <c r="D939" s="434" t="s">
        <v>94</v>
      </c>
      <c r="E939" s="434" t="s">
        <v>1360</v>
      </c>
      <c r="F939" s="434" t="s">
        <v>489</v>
      </c>
      <c r="G939" s="593">
        <v>214900</v>
      </c>
      <c r="H939" s="434" t="s">
        <v>1626</v>
      </c>
      <c r="I939" s="434" t="s">
        <v>1626</v>
      </c>
    </row>
    <row r="940" spans="1:12" hidden="1" x14ac:dyDescent="0.4">
      <c r="A940" s="434">
        <v>3</v>
      </c>
      <c r="B940" s="434" t="s">
        <v>1625</v>
      </c>
      <c r="C940" s="434" t="s">
        <v>1436</v>
      </c>
      <c r="D940" s="434" t="s">
        <v>96</v>
      </c>
      <c r="E940" s="434" t="s">
        <v>1361</v>
      </c>
      <c r="F940" s="434" t="s">
        <v>490</v>
      </c>
      <c r="G940" s="593">
        <v>21500</v>
      </c>
      <c r="H940" s="434" t="s">
        <v>1626</v>
      </c>
      <c r="I940" s="434" t="s">
        <v>1626</v>
      </c>
    </row>
    <row r="941" spans="1:12" hidden="1" x14ac:dyDescent="0.4">
      <c r="A941" s="434">
        <v>3</v>
      </c>
      <c r="B941" s="434" t="s">
        <v>1625</v>
      </c>
      <c r="C941" s="434" t="s">
        <v>1436</v>
      </c>
      <c r="D941" s="434" t="s">
        <v>510</v>
      </c>
      <c r="E941" s="434" t="s">
        <v>1362</v>
      </c>
      <c r="F941" s="434" t="s">
        <v>491</v>
      </c>
      <c r="G941" s="593">
        <v>232900</v>
      </c>
      <c r="H941" s="434" t="s">
        <v>1626</v>
      </c>
      <c r="I941" s="434" t="s">
        <v>1626</v>
      </c>
    </row>
    <row r="942" spans="1:12" hidden="1" x14ac:dyDescent="0.4">
      <c r="A942" s="434">
        <v>3</v>
      </c>
      <c r="B942" s="434" t="s">
        <v>1625</v>
      </c>
      <c r="C942" s="434" t="s">
        <v>1436</v>
      </c>
      <c r="D942" s="434" t="s">
        <v>100</v>
      </c>
      <c r="E942" s="434" t="s">
        <v>1363</v>
      </c>
      <c r="F942" s="434" t="s">
        <v>491</v>
      </c>
      <c r="G942" s="593">
        <v>128900</v>
      </c>
      <c r="H942" s="434" t="s">
        <v>1626</v>
      </c>
      <c r="I942" s="434" t="s">
        <v>1626</v>
      </c>
    </row>
    <row r="943" spans="1:12" hidden="1" x14ac:dyDescent="0.4">
      <c r="A943" s="434">
        <v>3</v>
      </c>
      <c r="B943" s="434" t="s">
        <v>1625</v>
      </c>
      <c r="C943" s="434" t="s">
        <v>1436</v>
      </c>
      <c r="D943" s="434" t="s">
        <v>101</v>
      </c>
      <c r="E943" s="434" t="s">
        <v>1364</v>
      </c>
      <c r="F943" s="434" t="s">
        <v>1135</v>
      </c>
      <c r="G943" s="593">
        <v>64500</v>
      </c>
      <c r="H943" s="434" t="s">
        <v>1626</v>
      </c>
      <c r="I943" s="434" t="s">
        <v>1626</v>
      </c>
    </row>
    <row r="944" spans="1:12" hidden="1" x14ac:dyDescent="0.4">
      <c r="A944" s="434">
        <v>3</v>
      </c>
      <c r="B944" s="434" t="s">
        <v>1625</v>
      </c>
      <c r="C944" s="434" t="s">
        <v>1439</v>
      </c>
      <c r="D944" s="434" t="s">
        <v>160</v>
      </c>
      <c r="E944" s="434" t="s">
        <v>1391</v>
      </c>
      <c r="F944" s="434" t="s">
        <v>1449</v>
      </c>
      <c r="G944" s="593">
        <v>29700</v>
      </c>
      <c r="H944" s="434" t="s">
        <v>1626</v>
      </c>
      <c r="I944" s="434" t="s">
        <v>1626</v>
      </c>
    </row>
    <row r="945" spans="1:9" hidden="1" x14ac:dyDescent="0.4">
      <c r="A945" s="434">
        <v>3</v>
      </c>
      <c r="B945" s="434" t="s">
        <v>1627</v>
      </c>
      <c r="C945" s="434" t="s">
        <v>1436</v>
      </c>
      <c r="D945" s="434" t="s">
        <v>72</v>
      </c>
      <c r="E945" s="434" t="s">
        <v>1348</v>
      </c>
      <c r="F945" s="434" t="s">
        <v>1437</v>
      </c>
      <c r="G945" s="593">
        <v>41026900</v>
      </c>
      <c r="H945" s="434" t="s">
        <v>1441</v>
      </c>
      <c r="I945" s="434" t="s">
        <v>1438</v>
      </c>
    </row>
    <row r="946" spans="1:9" hidden="1" x14ac:dyDescent="0.4">
      <c r="A946" s="434">
        <v>3</v>
      </c>
      <c r="B946" s="434" t="s">
        <v>1627</v>
      </c>
      <c r="C946" s="434" t="s">
        <v>1436</v>
      </c>
      <c r="D946" s="434" t="s">
        <v>80</v>
      </c>
      <c r="E946" s="434" t="s">
        <v>1332</v>
      </c>
      <c r="F946" s="434" t="s">
        <v>481</v>
      </c>
      <c r="G946" s="593">
        <v>9942300</v>
      </c>
      <c r="H946" s="434" t="s">
        <v>1441</v>
      </c>
      <c r="I946" s="434" t="s">
        <v>1438</v>
      </c>
    </row>
    <row r="947" spans="1:9" hidden="1" x14ac:dyDescent="0.4">
      <c r="A947" s="434">
        <v>3</v>
      </c>
      <c r="B947" s="434" t="s">
        <v>1627</v>
      </c>
      <c r="C947" s="434" t="s">
        <v>1436</v>
      </c>
      <c r="D947" s="434" t="s">
        <v>82</v>
      </c>
      <c r="E947" s="434" t="s">
        <v>1333</v>
      </c>
      <c r="F947" s="434" t="s">
        <v>482</v>
      </c>
      <c r="G947" s="593">
        <v>9759300</v>
      </c>
      <c r="H947" s="434" t="s">
        <v>1441</v>
      </c>
      <c r="I947" s="434" t="s">
        <v>1438</v>
      </c>
    </row>
    <row r="948" spans="1:9" hidden="1" x14ac:dyDescent="0.4">
      <c r="A948" s="434">
        <v>3</v>
      </c>
      <c r="B948" s="434" t="s">
        <v>1627</v>
      </c>
      <c r="C948" s="434" t="s">
        <v>1436</v>
      </c>
      <c r="D948" s="434" t="s">
        <v>84</v>
      </c>
      <c r="E948" s="434" t="s">
        <v>1355</v>
      </c>
      <c r="F948" s="434" t="s">
        <v>483</v>
      </c>
      <c r="G948" s="593">
        <v>5489500</v>
      </c>
      <c r="H948" s="434" t="s">
        <v>1441</v>
      </c>
      <c r="I948" s="434" t="s">
        <v>1438</v>
      </c>
    </row>
    <row r="949" spans="1:9" hidden="1" x14ac:dyDescent="0.4">
      <c r="A949" s="434">
        <v>3</v>
      </c>
      <c r="B949" s="434" t="s">
        <v>1627</v>
      </c>
      <c r="C949" s="434" t="s">
        <v>1436</v>
      </c>
      <c r="D949" s="434" t="s">
        <v>86</v>
      </c>
      <c r="E949" s="434" t="s">
        <v>1356</v>
      </c>
      <c r="F949" s="434" t="s">
        <v>484</v>
      </c>
      <c r="G949" s="593">
        <v>5008900</v>
      </c>
      <c r="H949" s="434" t="s">
        <v>1441</v>
      </c>
      <c r="I949" s="434" t="s">
        <v>1438</v>
      </c>
    </row>
    <row r="950" spans="1:9" hidden="1" x14ac:dyDescent="0.4">
      <c r="A950" s="434">
        <v>3</v>
      </c>
      <c r="B950" s="434" t="s">
        <v>1627</v>
      </c>
      <c r="C950" s="434" t="s">
        <v>1436</v>
      </c>
      <c r="D950" s="434" t="s">
        <v>87</v>
      </c>
      <c r="E950" s="434" t="s">
        <v>1334</v>
      </c>
      <c r="F950" s="434" t="s">
        <v>485</v>
      </c>
      <c r="G950" s="593">
        <v>136400</v>
      </c>
      <c r="H950" s="434" t="s">
        <v>1441</v>
      </c>
      <c r="I950" s="434" t="s">
        <v>1438</v>
      </c>
    </row>
    <row r="951" spans="1:9" hidden="1" x14ac:dyDescent="0.4">
      <c r="A951" s="434">
        <v>3</v>
      </c>
      <c r="B951" s="434" t="s">
        <v>1627</v>
      </c>
      <c r="C951" s="434" t="s">
        <v>1436</v>
      </c>
      <c r="D951" s="434" t="s">
        <v>90</v>
      </c>
      <c r="E951" s="434" t="s">
        <v>1357</v>
      </c>
      <c r="F951" s="434" t="s">
        <v>486</v>
      </c>
      <c r="G951" s="593">
        <v>6093300</v>
      </c>
      <c r="H951" s="434" t="s">
        <v>1441</v>
      </c>
      <c r="I951" s="434" t="s">
        <v>1438</v>
      </c>
    </row>
    <row r="952" spans="1:9" hidden="1" x14ac:dyDescent="0.4">
      <c r="A952" s="434">
        <v>3</v>
      </c>
      <c r="B952" s="434" t="s">
        <v>1627</v>
      </c>
      <c r="C952" s="434" t="s">
        <v>1436</v>
      </c>
      <c r="D952" s="434" t="s">
        <v>92</v>
      </c>
      <c r="E952" s="434" t="s">
        <v>1358</v>
      </c>
      <c r="F952" s="434" t="s">
        <v>487</v>
      </c>
      <c r="G952" s="593">
        <v>329400</v>
      </c>
      <c r="H952" s="434" t="s">
        <v>1441</v>
      </c>
      <c r="I952" s="434" t="s">
        <v>1438</v>
      </c>
    </row>
    <row r="953" spans="1:9" hidden="1" x14ac:dyDescent="0.4">
      <c r="A953" s="434">
        <v>3</v>
      </c>
      <c r="B953" s="434" t="s">
        <v>1627</v>
      </c>
      <c r="C953" s="434" t="s">
        <v>1436</v>
      </c>
      <c r="D953" s="434" t="s">
        <v>93</v>
      </c>
      <c r="E953" s="434" t="s">
        <v>1359</v>
      </c>
      <c r="F953" s="434" t="s">
        <v>488</v>
      </c>
      <c r="G953" s="593">
        <v>988100</v>
      </c>
      <c r="H953" s="434" t="s">
        <v>1441</v>
      </c>
      <c r="I953" s="434" t="s">
        <v>1438</v>
      </c>
    </row>
    <row r="954" spans="1:9" hidden="1" x14ac:dyDescent="0.4">
      <c r="A954" s="434">
        <v>3</v>
      </c>
      <c r="B954" s="434" t="s">
        <v>1627</v>
      </c>
      <c r="C954" s="434" t="s">
        <v>1436</v>
      </c>
      <c r="D954" s="434" t="s">
        <v>94</v>
      </c>
      <c r="E954" s="434" t="s">
        <v>1360</v>
      </c>
      <c r="F954" s="434" t="s">
        <v>489</v>
      </c>
      <c r="G954" s="593">
        <v>3293700</v>
      </c>
      <c r="H954" s="434" t="s">
        <v>1441</v>
      </c>
      <c r="I954" s="434" t="s">
        <v>1438</v>
      </c>
    </row>
    <row r="955" spans="1:9" hidden="1" x14ac:dyDescent="0.4">
      <c r="A955" s="434">
        <v>3</v>
      </c>
      <c r="B955" s="434" t="s">
        <v>1627</v>
      </c>
      <c r="C955" s="434" t="s">
        <v>1436</v>
      </c>
      <c r="D955" s="434" t="s">
        <v>96</v>
      </c>
      <c r="E955" s="434" t="s">
        <v>1361</v>
      </c>
      <c r="F955" s="434" t="s">
        <v>490</v>
      </c>
      <c r="G955" s="593">
        <v>329400</v>
      </c>
      <c r="H955" s="434" t="s">
        <v>1441</v>
      </c>
      <c r="I955" s="434" t="s">
        <v>1438</v>
      </c>
    </row>
    <row r="956" spans="1:9" hidden="1" x14ac:dyDescent="0.4">
      <c r="A956" s="434">
        <v>3</v>
      </c>
      <c r="B956" s="434" t="s">
        <v>1627</v>
      </c>
      <c r="C956" s="434" t="s">
        <v>1436</v>
      </c>
      <c r="D956" s="434" t="s">
        <v>510</v>
      </c>
      <c r="E956" s="434" t="s">
        <v>1362</v>
      </c>
      <c r="F956" s="434" t="s">
        <v>491</v>
      </c>
      <c r="G956" s="593">
        <v>3570400</v>
      </c>
      <c r="H956" s="434" t="s">
        <v>1441</v>
      </c>
      <c r="I956" s="434" t="s">
        <v>1438</v>
      </c>
    </row>
    <row r="957" spans="1:9" hidden="1" x14ac:dyDescent="0.4">
      <c r="A957" s="434">
        <v>3</v>
      </c>
      <c r="B957" s="434" t="s">
        <v>1627</v>
      </c>
      <c r="C957" s="434" t="s">
        <v>1436</v>
      </c>
      <c r="D957" s="434" t="s">
        <v>100</v>
      </c>
      <c r="E957" s="434" t="s">
        <v>1363</v>
      </c>
      <c r="F957" s="434" t="s">
        <v>491</v>
      </c>
      <c r="G957" s="593">
        <v>1976200</v>
      </c>
      <c r="H957" s="434" t="s">
        <v>1441</v>
      </c>
      <c r="I957" s="434" t="s">
        <v>1438</v>
      </c>
    </row>
    <row r="958" spans="1:9" hidden="1" x14ac:dyDescent="0.4">
      <c r="A958" s="434">
        <v>3</v>
      </c>
      <c r="B958" s="434" t="s">
        <v>1627</v>
      </c>
      <c r="C958" s="434" t="s">
        <v>1436</v>
      </c>
      <c r="D958" s="434" t="s">
        <v>101</v>
      </c>
      <c r="E958" s="434" t="s">
        <v>1364</v>
      </c>
      <c r="F958" s="434" t="s">
        <v>1135</v>
      </c>
      <c r="G958" s="593">
        <v>988100</v>
      </c>
      <c r="H958" s="434" t="s">
        <v>1441</v>
      </c>
      <c r="I958" s="434" t="s">
        <v>1438</v>
      </c>
    </row>
    <row r="959" spans="1:9" hidden="1" x14ac:dyDescent="0.4">
      <c r="A959" s="434">
        <v>3</v>
      </c>
      <c r="B959" s="434" t="s">
        <v>1627</v>
      </c>
      <c r="C959" s="434" t="s">
        <v>1439</v>
      </c>
      <c r="D959" s="434" t="s">
        <v>106</v>
      </c>
      <c r="E959" s="434" t="s">
        <v>1366</v>
      </c>
      <c r="F959" s="434" t="s">
        <v>1459</v>
      </c>
      <c r="G959" s="593">
        <v>8349300</v>
      </c>
      <c r="H959" s="434" t="s">
        <v>1441</v>
      </c>
      <c r="I959" s="434" t="s">
        <v>1438</v>
      </c>
    </row>
    <row r="960" spans="1:9" hidden="1" x14ac:dyDescent="0.4">
      <c r="A960" s="434">
        <v>3</v>
      </c>
      <c r="B960" s="434" t="s">
        <v>1627</v>
      </c>
      <c r="C960" s="434" t="s">
        <v>1439</v>
      </c>
      <c r="D960" s="434" t="s">
        <v>116</v>
      </c>
      <c r="E960" s="434" t="s">
        <v>1370</v>
      </c>
      <c r="F960" s="434" t="s">
        <v>1442</v>
      </c>
      <c r="G960" s="593">
        <v>338500</v>
      </c>
      <c r="H960" s="434" t="s">
        <v>1441</v>
      </c>
      <c r="I960" s="434" t="s">
        <v>1438</v>
      </c>
    </row>
    <row r="961" spans="1:9" hidden="1" x14ac:dyDescent="0.4">
      <c r="A961" s="434">
        <v>3</v>
      </c>
      <c r="B961" s="434" t="s">
        <v>1627</v>
      </c>
      <c r="C961" s="434" t="s">
        <v>1439</v>
      </c>
      <c r="D961" s="434" t="s">
        <v>118</v>
      </c>
      <c r="E961" s="434" t="s">
        <v>1371</v>
      </c>
      <c r="F961" s="434" t="s">
        <v>1443</v>
      </c>
      <c r="G961" s="593">
        <v>1197200</v>
      </c>
      <c r="H961" s="434" t="s">
        <v>1441</v>
      </c>
      <c r="I961" s="434" t="s">
        <v>1438</v>
      </c>
    </row>
    <row r="962" spans="1:9" x14ac:dyDescent="0.4">
      <c r="A962" s="434">
        <v>3</v>
      </c>
      <c r="B962" s="434" t="s">
        <v>1627</v>
      </c>
      <c r="C962" s="434" t="s">
        <v>1439</v>
      </c>
      <c r="D962" s="434" t="s">
        <v>326</v>
      </c>
      <c r="E962" s="434" t="s">
        <v>1373</v>
      </c>
      <c r="F962" s="434" t="s">
        <v>1461</v>
      </c>
      <c r="G962" s="593">
        <v>518000</v>
      </c>
      <c r="H962" s="434" t="s">
        <v>534</v>
      </c>
      <c r="I962" s="434" t="s">
        <v>534</v>
      </c>
    </row>
    <row r="963" spans="1:9" hidden="1" x14ac:dyDescent="0.4">
      <c r="A963" s="434">
        <v>3</v>
      </c>
      <c r="B963" s="434" t="s">
        <v>1627</v>
      </c>
      <c r="C963" s="434" t="s">
        <v>1439</v>
      </c>
      <c r="D963" s="434" t="s">
        <v>145</v>
      </c>
      <c r="E963" s="434" t="s">
        <v>1385</v>
      </c>
      <c r="F963" s="434" t="s">
        <v>1628</v>
      </c>
      <c r="G963" s="593">
        <v>2456200</v>
      </c>
      <c r="H963" s="434" t="s">
        <v>534</v>
      </c>
      <c r="I963" s="434" t="s">
        <v>534</v>
      </c>
    </row>
    <row r="964" spans="1:9" hidden="1" x14ac:dyDescent="0.4">
      <c r="A964" s="434">
        <v>3</v>
      </c>
      <c r="B964" s="434" t="s">
        <v>1627</v>
      </c>
      <c r="C964" s="434" t="s">
        <v>1439</v>
      </c>
      <c r="D964" s="434" t="s">
        <v>147</v>
      </c>
      <c r="E964" s="434" t="s">
        <v>1386</v>
      </c>
      <c r="F964" s="434" t="s">
        <v>1629</v>
      </c>
      <c r="G964" s="593">
        <v>0</v>
      </c>
      <c r="H964" s="434" t="s">
        <v>534</v>
      </c>
      <c r="I964" s="434" t="s">
        <v>534</v>
      </c>
    </row>
    <row r="965" spans="1:9" hidden="1" x14ac:dyDescent="0.4">
      <c r="A965" s="434">
        <v>3</v>
      </c>
      <c r="B965" s="434" t="s">
        <v>1627</v>
      </c>
      <c r="C965" s="434" t="s">
        <v>1439</v>
      </c>
      <c r="D965" s="434" t="s">
        <v>160</v>
      </c>
      <c r="E965" s="434" t="s">
        <v>1391</v>
      </c>
      <c r="F965" s="434" t="s">
        <v>1630</v>
      </c>
      <c r="G965" s="593">
        <v>1453600</v>
      </c>
      <c r="H965" s="434" t="s">
        <v>534</v>
      </c>
      <c r="I965" s="434" t="s">
        <v>534</v>
      </c>
    </row>
    <row r="966" spans="1:9" hidden="1" x14ac:dyDescent="0.4">
      <c r="A966" s="434">
        <v>3</v>
      </c>
      <c r="B966" s="434" t="s">
        <v>1627</v>
      </c>
      <c r="C966" s="434" t="s">
        <v>1439</v>
      </c>
      <c r="D966" s="434" t="s">
        <v>176</v>
      </c>
      <c r="E966" s="434" t="s">
        <v>1395</v>
      </c>
      <c r="F966" s="434" t="s">
        <v>1631</v>
      </c>
      <c r="G966" s="593">
        <v>26280000</v>
      </c>
      <c r="H966" s="434" t="s">
        <v>534</v>
      </c>
      <c r="I966" s="434" t="s">
        <v>534</v>
      </c>
    </row>
    <row r="967" spans="1:9" hidden="1" x14ac:dyDescent="0.4">
      <c r="A967" s="434">
        <v>3</v>
      </c>
      <c r="B967" s="434" t="s">
        <v>1627</v>
      </c>
      <c r="C967" s="434" t="s">
        <v>1498</v>
      </c>
      <c r="D967" s="434" t="s">
        <v>193</v>
      </c>
      <c r="E967" s="434" t="s">
        <v>1404</v>
      </c>
      <c r="F967" s="1471" t="s">
        <v>1632</v>
      </c>
      <c r="G967" s="593">
        <v>30500006.879999999</v>
      </c>
      <c r="H967" s="434" t="s">
        <v>1441</v>
      </c>
      <c r="I967" s="434" t="s">
        <v>1438</v>
      </c>
    </row>
    <row r="968" spans="1:9" hidden="1" x14ac:dyDescent="0.4">
      <c r="A968" s="434">
        <v>3</v>
      </c>
      <c r="B968" s="434" t="s">
        <v>1627</v>
      </c>
      <c r="C968" s="434" t="s">
        <v>1498</v>
      </c>
      <c r="D968" s="434" t="s">
        <v>195</v>
      </c>
      <c r="E968" s="434" t="s">
        <v>1405</v>
      </c>
      <c r="F968" s="434" t="s">
        <v>1633</v>
      </c>
      <c r="G968" s="593">
        <v>992000</v>
      </c>
      <c r="H968" s="434" t="s">
        <v>1441</v>
      </c>
      <c r="I968" s="434" t="s">
        <v>1438</v>
      </c>
    </row>
    <row r="969" spans="1:9" hidden="1" x14ac:dyDescent="0.4">
      <c r="A969" s="434">
        <v>3</v>
      </c>
      <c r="B969" s="434" t="s">
        <v>1627</v>
      </c>
      <c r="C969" s="434" t="s">
        <v>1498</v>
      </c>
      <c r="D969" s="434" t="s">
        <v>206</v>
      </c>
      <c r="E969" s="434" t="s">
        <v>1407</v>
      </c>
      <c r="F969" s="434" t="s">
        <v>1634</v>
      </c>
      <c r="G969" s="593">
        <v>4510000</v>
      </c>
      <c r="H969" s="434" t="s">
        <v>1441</v>
      </c>
      <c r="I969" s="434" t="s">
        <v>1438</v>
      </c>
    </row>
    <row r="970" spans="1:9" hidden="1" x14ac:dyDescent="0.4">
      <c r="A970" s="434">
        <v>3</v>
      </c>
      <c r="B970" s="434" t="s">
        <v>1627</v>
      </c>
      <c r="C970" s="434" t="s">
        <v>1498</v>
      </c>
      <c r="D970" s="434" t="s">
        <v>218</v>
      </c>
      <c r="E970" s="434" t="s">
        <v>1410</v>
      </c>
      <c r="F970" s="434" t="s">
        <v>1635</v>
      </c>
      <c r="G970" s="593">
        <v>5561300</v>
      </c>
      <c r="H970" s="434" t="s">
        <v>1441</v>
      </c>
      <c r="I970" s="434" t="s">
        <v>1438</v>
      </c>
    </row>
    <row r="971" spans="1:9" hidden="1" x14ac:dyDescent="0.4">
      <c r="A971" s="434">
        <v>3</v>
      </c>
      <c r="B971" s="434" t="s">
        <v>1627</v>
      </c>
      <c r="C971" s="434" t="s">
        <v>1498</v>
      </c>
      <c r="D971" s="434" t="s">
        <v>224</v>
      </c>
      <c r="E971" s="434" t="s">
        <v>1413</v>
      </c>
      <c r="F971" s="434"/>
      <c r="G971" s="593">
        <v>60000</v>
      </c>
      <c r="H971" s="434" t="s">
        <v>1441</v>
      </c>
      <c r="I971" s="434" t="s">
        <v>1438</v>
      </c>
    </row>
    <row r="972" spans="1:9" hidden="1" x14ac:dyDescent="0.4">
      <c r="A972" s="434">
        <v>3</v>
      </c>
      <c r="B972" s="434" t="s">
        <v>1627</v>
      </c>
      <c r="C972" s="434" t="s">
        <v>1498</v>
      </c>
      <c r="D972" s="434" t="s">
        <v>226</v>
      </c>
      <c r="E972" s="434" t="s">
        <v>1414</v>
      </c>
      <c r="F972" s="434" t="s">
        <v>1636</v>
      </c>
      <c r="G972" s="593">
        <v>1876480</v>
      </c>
      <c r="H972" s="434" t="s">
        <v>1441</v>
      </c>
      <c r="I972" s="434" t="s">
        <v>1438</v>
      </c>
    </row>
    <row r="973" spans="1:9" hidden="1" x14ac:dyDescent="0.4">
      <c r="A973" s="434">
        <v>3</v>
      </c>
      <c r="B973" s="434" t="s">
        <v>1627</v>
      </c>
      <c r="C973" s="434" t="s">
        <v>1498</v>
      </c>
      <c r="D973" s="434" t="s">
        <v>228</v>
      </c>
      <c r="E973" s="434" t="s">
        <v>1415</v>
      </c>
      <c r="F973" s="434" t="s">
        <v>1637</v>
      </c>
      <c r="G973" s="593">
        <v>372600</v>
      </c>
      <c r="H973" s="434" t="s">
        <v>1441</v>
      </c>
      <c r="I973" s="434" t="s">
        <v>1438</v>
      </c>
    </row>
    <row r="974" spans="1:9" hidden="1" x14ac:dyDescent="0.4">
      <c r="A974" s="434">
        <v>3</v>
      </c>
      <c r="B974" s="434" t="s">
        <v>1627</v>
      </c>
      <c r="C974" s="434" t="s">
        <v>1498</v>
      </c>
      <c r="D974" s="434" t="s">
        <v>232</v>
      </c>
      <c r="E974" s="434" t="s">
        <v>1417</v>
      </c>
      <c r="F974" s="434" t="s">
        <v>1637</v>
      </c>
      <c r="G974" s="593">
        <v>52500</v>
      </c>
      <c r="H974" s="434" t="s">
        <v>1441</v>
      </c>
      <c r="I974" s="434" t="s">
        <v>1438</v>
      </c>
    </row>
    <row r="975" spans="1:9" hidden="1" x14ac:dyDescent="0.4">
      <c r="A975" s="434">
        <v>3</v>
      </c>
      <c r="B975" s="434" t="s">
        <v>1638</v>
      </c>
      <c r="C975" s="434" t="s">
        <v>1436</v>
      </c>
      <c r="D975" s="434" t="s">
        <v>72</v>
      </c>
      <c r="E975" s="434" t="s">
        <v>1348</v>
      </c>
      <c r="F975" s="434" t="s">
        <v>1437</v>
      </c>
      <c r="G975" s="593">
        <v>212489000</v>
      </c>
      <c r="H975" s="434" t="s">
        <v>1441</v>
      </c>
      <c r="I975" s="434" t="s">
        <v>1438</v>
      </c>
    </row>
    <row r="976" spans="1:9" hidden="1" x14ac:dyDescent="0.4">
      <c r="A976" s="434">
        <v>3</v>
      </c>
      <c r="B976" s="434" t="s">
        <v>1638</v>
      </c>
      <c r="C976" s="434" t="s">
        <v>1436</v>
      </c>
      <c r="D976" s="434" t="s">
        <v>76</v>
      </c>
      <c r="E976" s="434" t="s">
        <v>1352</v>
      </c>
      <c r="F976" s="434" t="s">
        <v>1056</v>
      </c>
      <c r="G976" s="593">
        <v>2500000</v>
      </c>
      <c r="H976" s="434" t="s">
        <v>1441</v>
      </c>
      <c r="I976" s="434" t="s">
        <v>1438</v>
      </c>
    </row>
    <row r="977" spans="1:9" hidden="1" x14ac:dyDescent="0.4">
      <c r="A977" s="434">
        <v>3</v>
      </c>
      <c r="B977" s="434" t="s">
        <v>1638</v>
      </c>
      <c r="C977" s="434" t="s">
        <v>1436</v>
      </c>
      <c r="D977" s="434" t="s">
        <v>80</v>
      </c>
      <c r="E977" s="434" t="s">
        <v>1332</v>
      </c>
      <c r="F977" s="434" t="s">
        <v>481</v>
      </c>
      <c r="G977" s="593">
        <v>25982500</v>
      </c>
      <c r="H977" s="434" t="s">
        <v>1441</v>
      </c>
      <c r="I977" s="434" t="s">
        <v>1438</v>
      </c>
    </row>
    <row r="978" spans="1:9" hidden="1" x14ac:dyDescent="0.4">
      <c r="A978" s="434">
        <v>3</v>
      </c>
      <c r="B978" s="434" t="s">
        <v>1638</v>
      </c>
      <c r="C978" s="434" t="s">
        <v>1436</v>
      </c>
      <c r="D978" s="434" t="s">
        <v>82</v>
      </c>
      <c r="E978" s="434" t="s">
        <v>1333</v>
      </c>
      <c r="F978" s="434" t="s">
        <v>482</v>
      </c>
      <c r="G978" s="593">
        <v>21563500</v>
      </c>
      <c r="H978" s="434" t="s">
        <v>1441</v>
      </c>
      <c r="I978" s="434" t="s">
        <v>1438</v>
      </c>
    </row>
    <row r="979" spans="1:9" hidden="1" x14ac:dyDescent="0.4">
      <c r="A979" s="434">
        <v>3</v>
      </c>
      <c r="B979" s="434" t="s">
        <v>1638</v>
      </c>
      <c r="C979" s="434" t="s">
        <v>1436</v>
      </c>
      <c r="D979" s="434" t="s">
        <v>84</v>
      </c>
      <c r="E979" s="434" t="s">
        <v>1355</v>
      </c>
      <c r="F979" s="434" t="s">
        <v>483</v>
      </c>
      <c r="G979" s="593">
        <v>23825200</v>
      </c>
      <c r="H979" s="434" t="s">
        <v>1441</v>
      </c>
      <c r="I979" s="434" t="s">
        <v>1438</v>
      </c>
    </row>
    <row r="980" spans="1:9" hidden="1" x14ac:dyDescent="0.4">
      <c r="A980" s="434">
        <v>3</v>
      </c>
      <c r="B980" s="434" t="s">
        <v>1638</v>
      </c>
      <c r="C980" s="434" t="s">
        <v>1436</v>
      </c>
      <c r="D980" s="434" t="s">
        <v>86</v>
      </c>
      <c r="E980" s="434" t="s">
        <v>1356</v>
      </c>
      <c r="F980" s="434" t="s">
        <v>484</v>
      </c>
      <c r="G980" s="593">
        <v>20095300</v>
      </c>
      <c r="H980" s="434" t="s">
        <v>1441</v>
      </c>
      <c r="I980" s="434" t="s">
        <v>1438</v>
      </c>
    </row>
    <row r="981" spans="1:9" hidden="1" x14ac:dyDescent="0.4">
      <c r="A981" s="434">
        <v>3</v>
      </c>
      <c r="B981" s="434" t="s">
        <v>1638</v>
      </c>
      <c r="C981" s="434" t="s">
        <v>1436</v>
      </c>
      <c r="D981" s="434" t="s">
        <v>87</v>
      </c>
      <c r="E981" s="434" t="s">
        <v>1334</v>
      </c>
      <c r="F981" s="434" t="s">
        <v>485</v>
      </c>
      <c r="G981" s="593">
        <v>3273100</v>
      </c>
      <c r="H981" s="434" t="s">
        <v>1441</v>
      </c>
      <c r="I981" s="434" t="s">
        <v>1438</v>
      </c>
    </row>
    <row r="982" spans="1:9" hidden="1" x14ac:dyDescent="0.4">
      <c r="A982" s="434">
        <v>3</v>
      </c>
      <c r="B982" s="434" t="s">
        <v>1638</v>
      </c>
      <c r="C982" s="434" t="s">
        <v>1436</v>
      </c>
      <c r="D982" s="434" t="s">
        <v>90</v>
      </c>
      <c r="E982" s="434" t="s">
        <v>1357</v>
      </c>
      <c r="F982" s="434" t="s">
        <v>486</v>
      </c>
      <c r="G982" s="593">
        <v>26446100</v>
      </c>
      <c r="H982" s="434" t="s">
        <v>1441</v>
      </c>
      <c r="I982" s="434" t="s">
        <v>1438</v>
      </c>
    </row>
    <row r="983" spans="1:9" hidden="1" x14ac:dyDescent="0.4">
      <c r="A983" s="434">
        <v>3</v>
      </c>
      <c r="B983" s="434" t="s">
        <v>1638</v>
      </c>
      <c r="C983" s="434" t="s">
        <v>1436</v>
      </c>
      <c r="D983" s="434" t="s">
        <v>92</v>
      </c>
      <c r="E983" s="434" t="s">
        <v>1358</v>
      </c>
      <c r="F983" s="434" t="s">
        <v>487</v>
      </c>
      <c r="G983" s="593">
        <v>1429500</v>
      </c>
      <c r="H983" s="434" t="s">
        <v>1441</v>
      </c>
      <c r="I983" s="434" t="s">
        <v>1438</v>
      </c>
    </row>
    <row r="984" spans="1:9" hidden="1" x14ac:dyDescent="0.4">
      <c r="A984" s="434">
        <v>3</v>
      </c>
      <c r="B984" s="434" t="s">
        <v>1638</v>
      </c>
      <c r="C984" s="434" t="s">
        <v>1436</v>
      </c>
      <c r="D984" s="434" t="s">
        <v>93</v>
      </c>
      <c r="E984" s="434" t="s">
        <v>1359</v>
      </c>
      <c r="F984" s="434" t="s">
        <v>488</v>
      </c>
      <c r="G984" s="593">
        <v>4288600</v>
      </c>
      <c r="H984" s="434" t="s">
        <v>1441</v>
      </c>
      <c r="I984" s="434" t="s">
        <v>1438</v>
      </c>
    </row>
    <row r="985" spans="1:9" hidden="1" x14ac:dyDescent="0.4">
      <c r="A985" s="434">
        <v>3</v>
      </c>
      <c r="B985" s="434" t="s">
        <v>1638</v>
      </c>
      <c r="C985" s="434" t="s">
        <v>1436</v>
      </c>
      <c r="D985" s="434" t="s">
        <v>94</v>
      </c>
      <c r="E985" s="434" t="s">
        <v>1360</v>
      </c>
      <c r="F985" s="434" t="s">
        <v>489</v>
      </c>
      <c r="G985" s="593">
        <v>14295200</v>
      </c>
      <c r="H985" s="434" t="s">
        <v>1441</v>
      </c>
      <c r="I985" s="434" t="s">
        <v>1438</v>
      </c>
    </row>
    <row r="986" spans="1:9" hidden="1" x14ac:dyDescent="0.4">
      <c r="A986" s="434">
        <v>3</v>
      </c>
      <c r="B986" s="434" t="s">
        <v>1638</v>
      </c>
      <c r="C986" s="434" t="s">
        <v>1436</v>
      </c>
      <c r="D986" s="434" t="s">
        <v>96</v>
      </c>
      <c r="E986" s="434" t="s">
        <v>1361</v>
      </c>
      <c r="F986" s="434" t="s">
        <v>490</v>
      </c>
      <c r="G986" s="593">
        <v>1429500</v>
      </c>
      <c r="H986" s="434" t="s">
        <v>1441</v>
      </c>
      <c r="I986" s="434" t="s">
        <v>1438</v>
      </c>
    </row>
    <row r="987" spans="1:9" hidden="1" x14ac:dyDescent="0.4">
      <c r="A987" s="434">
        <v>3</v>
      </c>
      <c r="B987" s="434" t="s">
        <v>1638</v>
      </c>
      <c r="C987" s="434" t="s">
        <v>1436</v>
      </c>
      <c r="D987" s="434" t="s">
        <v>510</v>
      </c>
      <c r="E987" s="434" t="s">
        <v>1362</v>
      </c>
      <c r="F987" s="434" t="s">
        <v>491</v>
      </c>
      <c r="G987" s="593">
        <v>15496000</v>
      </c>
      <c r="H987" s="434" t="s">
        <v>1441</v>
      </c>
      <c r="I987" s="434" t="s">
        <v>1438</v>
      </c>
    </row>
    <row r="988" spans="1:9" hidden="1" x14ac:dyDescent="0.4">
      <c r="A988" s="434">
        <v>3</v>
      </c>
      <c r="B988" s="434" t="s">
        <v>1638</v>
      </c>
      <c r="C988" s="434" t="s">
        <v>1436</v>
      </c>
      <c r="D988" s="434" t="s">
        <v>100</v>
      </c>
      <c r="E988" s="434" t="s">
        <v>1363</v>
      </c>
      <c r="F988" s="434" t="s">
        <v>491</v>
      </c>
      <c r="G988" s="593">
        <v>8577100</v>
      </c>
      <c r="H988" s="434" t="s">
        <v>1441</v>
      </c>
      <c r="I988" s="434" t="s">
        <v>1438</v>
      </c>
    </row>
    <row r="989" spans="1:9" hidden="1" x14ac:dyDescent="0.4">
      <c r="A989" s="434">
        <v>3</v>
      </c>
      <c r="B989" s="434" t="s">
        <v>1638</v>
      </c>
      <c r="C989" s="434" t="s">
        <v>1436</v>
      </c>
      <c r="D989" s="434" t="s">
        <v>101</v>
      </c>
      <c r="E989" s="434" t="s">
        <v>1364</v>
      </c>
      <c r="F989" s="434" t="s">
        <v>1135</v>
      </c>
      <c r="G989" s="593">
        <v>4288600</v>
      </c>
      <c r="H989" s="434" t="s">
        <v>1441</v>
      </c>
      <c r="I989" s="434" t="s">
        <v>1438</v>
      </c>
    </row>
    <row r="990" spans="1:9" hidden="1" x14ac:dyDescent="0.4">
      <c r="A990" s="434">
        <v>3</v>
      </c>
      <c r="B990" s="434" t="s">
        <v>1638</v>
      </c>
      <c r="C990" s="434" t="s">
        <v>1439</v>
      </c>
      <c r="D990" s="434" t="s">
        <v>106</v>
      </c>
      <c r="E990" s="434" t="s">
        <v>1366</v>
      </c>
      <c r="F990" s="434" t="s">
        <v>1440</v>
      </c>
      <c r="G990" s="593">
        <v>13917000</v>
      </c>
      <c r="H990" s="434" t="s">
        <v>1441</v>
      </c>
      <c r="I990" s="434" t="s">
        <v>1438</v>
      </c>
    </row>
    <row r="991" spans="1:9" hidden="1" x14ac:dyDescent="0.4">
      <c r="A991" s="434">
        <v>3</v>
      </c>
      <c r="B991" s="434" t="s">
        <v>1638</v>
      </c>
      <c r="C991" s="434" t="s">
        <v>1439</v>
      </c>
      <c r="D991" s="434" t="s">
        <v>116</v>
      </c>
      <c r="E991" s="434" t="s">
        <v>1370</v>
      </c>
      <c r="F991" s="434" t="s">
        <v>1442</v>
      </c>
      <c r="G991" s="593">
        <v>564200</v>
      </c>
      <c r="H991" s="434" t="s">
        <v>1441</v>
      </c>
      <c r="I991" s="434" t="s">
        <v>1438</v>
      </c>
    </row>
    <row r="992" spans="1:9" hidden="1" x14ac:dyDescent="0.4">
      <c r="A992" s="434">
        <v>3</v>
      </c>
      <c r="B992" s="434" t="s">
        <v>1638</v>
      </c>
      <c r="C992" s="434" t="s">
        <v>1439</v>
      </c>
      <c r="D992" s="434" t="s">
        <v>118</v>
      </c>
      <c r="E992" s="434" t="s">
        <v>1371</v>
      </c>
      <c r="F992" s="434" t="s">
        <v>1443</v>
      </c>
      <c r="G992" s="593">
        <v>1995500</v>
      </c>
      <c r="H992" s="434" t="s">
        <v>1441</v>
      </c>
      <c r="I992" s="434" t="s">
        <v>1438</v>
      </c>
    </row>
    <row r="993" spans="1:9" x14ac:dyDescent="0.4">
      <c r="A993" s="434">
        <v>3</v>
      </c>
      <c r="B993" s="434" t="s">
        <v>1638</v>
      </c>
      <c r="C993" s="434" t="s">
        <v>1439</v>
      </c>
      <c r="D993" s="434" t="s">
        <v>326</v>
      </c>
      <c r="E993" s="434" t="s">
        <v>1373</v>
      </c>
      <c r="F993" s="434" t="s">
        <v>1639</v>
      </c>
      <c r="G993" s="593">
        <v>6863400</v>
      </c>
      <c r="H993" s="434" t="s">
        <v>534</v>
      </c>
      <c r="I993" s="434" t="s">
        <v>534</v>
      </c>
    </row>
    <row r="994" spans="1:9" hidden="1" x14ac:dyDescent="0.4">
      <c r="A994" s="434">
        <v>3</v>
      </c>
      <c r="B994" s="434" t="s">
        <v>1638</v>
      </c>
      <c r="C994" s="434" t="s">
        <v>1439</v>
      </c>
      <c r="D994" s="434" t="s">
        <v>145</v>
      </c>
      <c r="E994" s="434" t="s">
        <v>1385</v>
      </c>
      <c r="F994" s="434" t="s">
        <v>1448</v>
      </c>
      <c r="G994" s="593">
        <v>4094100</v>
      </c>
      <c r="H994" s="434" t="s">
        <v>534</v>
      </c>
      <c r="I994" s="434" t="s">
        <v>534</v>
      </c>
    </row>
    <row r="995" spans="1:9" hidden="1" x14ac:dyDescent="0.4">
      <c r="A995" s="434">
        <v>3</v>
      </c>
      <c r="B995" s="434" t="s">
        <v>1638</v>
      </c>
      <c r="C995" s="434" t="s">
        <v>1439</v>
      </c>
      <c r="D995" s="434" t="s">
        <v>151</v>
      </c>
      <c r="E995" s="434" t="s">
        <v>1387</v>
      </c>
      <c r="F995" s="434" t="s">
        <v>1640</v>
      </c>
      <c r="G995" s="593">
        <v>1550000</v>
      </c>
      <c r="H995" s="434" t="s">
        <v>534</v>
      </c>
      <c r="I995" s="434" t="s">
        <v>534</v>
      </c>
    </row>
    <row r="996" spans="1:9" hidden="1" x14ac:dyDescent="0.4">
      <c r="A996" s="434">
        <v>3</v>
      </c>
      <c r="B996" s="434" t="s">
        <v>1638</v>
      </c>
      <c r="C996" s="434" t="s">
        <v>1439</v>
      </c>
      <c r="D996" s="434" t="s">
        <v>153</v>
      </c>
      <c r="E996" s="434" t="s">
        <v>1388</v>
      </c>
      <c r="F996" s="434" t="s">
        <v>1641</v>
      </c>
      <c r="G996" s="593">
        <v>16000000</v>
      </c>
      <c r="H996" s="434" t="s">
        <v>534</v>
      </c>
      <c r="I996" s="434" t="s">
        <v>534</v>
      </c>
    </row>
    <row r="997" spans="1:9" hidden="1" x14ac:dyDescent="0.4">
      <c r="A997" s="434">
        <v>3</v>
      </c>
      <c r="B997" s="434" t="s">
        <v>1638</v>
      </c>
      <c r="C997" s="434" t="s">
        <v>1439</v>
      </c>
      <c r="D997" s="434" t="s">
        <v>155</v>
      </c>
      <c r="E997" s="434" t="s">
        <v>1389</v>
      </c>
      <c r="F997" s="434" t="s">
        <v>1642</v>
      </c>
      <c r="G997" s="593">
        <v>1500000</v>
      </c>
      <c r="H997" s="434" t="s">
        <v>534</v>
      </c>
      <c r="I997" s="434" t="s">
        <v>534</v>
      </c>
    </row>
    <row r="998" spans="1:9" hidden="1" x14ac:dyDescent="0.4">
      <c r="A998" s="434">
        <v>3</v>
      </c>
      <c r="B998" s="434" t="s">
        <v>1638</v>
      </c>
      <c r="C998" s="434" t="s">
        <v>1439</v>
      </c>
      <c r="D998" s="434" t="s">
        <v>157</v>
      </c>
      <c r="E998" s="434" t="s">
        <v>1390</v>
      </c>
      <c r="F998" s="434" t="s">
        <v>1642</v>
      </c>
      <c r="G998" s="593">
        <v>5000000</v>
      </c>
      <c r="H998" s="434" t="s">
        <v>534</v>
      </c>
      <c r="I998" s="434" t="s">
        <v>534</v>
      </c>
    </row>
    <row r="999" spans="1:9" hidden="1" x14ac:dyDescent="0.4">
      <c r="A999" s="1437">
        <v>3</v>
      </c>
      <c r="B999" s="1437" t="s">
        <v>1627</v>
      </c>
      <c r="C999" s="1437" t="s">
        <v>1439</v>
      </c>
      <c r="D999" s="1437" t="s">
        <v>160</v>
      </c>
      <c r="E999" s="1437" t="s">
        <v>1391</v>
      </c>
      <c r="F999" s="434"/>
      <c r="G999" s="1438">
        <v>1100000</v>
      </c>
      <c r="H999" s="1437" t="s">
        <v>534</v>
      </c>
      <c r="I999" s="1437" t="s">
        <v>534</v>
      </c>
    </row>
    <row r="1000" spans="1:9" hidden="1" x14ac:dyDescent="0.4">
      <c r="A1000" s="434">
        <v>3</v>
      </c>
      <c r="B1000" s="434" t="s">
        <v>1638</v>
      </c>
      <c r="C1000" s="434" t="s">
        <v>1439</v>
      </c>
      <c r="D1000" s="434" t="s">
        <v>160</v>
      </c>
      <c r="E1000" s="434" t="s">
        <v>1391</v>
      </c>
      <c r="F1000" s="434" t="s">
        <v>1643</v>
      </c>
      <c r="G1000" s="593">
        <v>6950100</v>
      </c>
      <c r="H1000" s="434" t="s">
        <v>534</v>
      </c>
      <c r="I1000" s="434" t="s">
        <v>534</v>
      </c>
    </row>
    <row r="1001" spans="1:9" hidden="1" x14ac:dyDescent="0.4">
      <c r="A1001" s="434">
        <v>3</v>
      </c>
      <c r="B1001" s="434" t="s">
        <v>1644</v>
      </c>
      <c r="C1001" s="434" t="s">
        <v>1436</v>
      </c>
      <c r="D1001" s="434" t="s">
        <v>72</v>
      </c>
      <c r="E1001" s="434" t="s">
        <v>1348</v>
      </c>
      <c r="F1001" s="434" t="s">
        <v>1437</v>
      </c>
      <c r="G1001" s="593">
        <v>195628800</v>
      </c>
      <c r="H1001" s="434" t="s">
        <v>1441</v>
      </c>
      <c r="I1001" s="434" t="s">
        <v>1438</v>
      </c>
    </row>
    <row r="1002" spans="1:9" hidden="1" x14ac:dyDescent="0.4">
      <c r="A1002" s="434">
        <v>3</v>
      </c>
      <c r="B1002" s="434" t="s">
        <v>1644</v>
      </c>
      <c r="C1002" s="434" t="s">
        <v>1436</v>
      </c>
      <c r="D1002" s="434" t="s">
        <v>73</v>
      </c>
      <c r="E1002" s="434" t="s">
        <v>1349</v>
      </c>
      <c r="F1002" s="434" t="s">
        <v>1564</v>
      </c>
      <c r="G1002" s="593">
        <v>24113900</v>
      </c>
      <c r="H1002" s="434" t="s">
        <v>1441</v>
      </c>
      <c r="I1002" s="434" t="s">
        <v>1438</v>
      </c>
    </row>
    <row r="1003" spans="1:9" hidden="1" x14ac:dyDescent="0.4">
      <c r="A1003" s="434">
        <v>3</v>
      </c>
      <c r="B1003" s="434" t="s">
        <v>1644</v>
      </c>
      <c r="C1003" s="434" t="s">
        <v>1436</v>
      </c>
      <c r="D1003" s="434" t="s">
        <v>76</v>
      </c>
      <c r="E1003" s="434" t="s">
        <v>1352</v>
      </c>
      <c r="F1003" s="434" t="s">
        <v>1056</v>
      </c>
      <c r="G1003" s="593">
        <v>5000000</v>
      </c>
      <c r="H1003" s="434" t="s">
        <v>1441</v>
      </c>
      <c r="I1003" s="434" t="s">
        <v>1438</v>
      </c>
    </row>
    <row r="1004" spans="1:9" hidden="1" x14ac:dyDescent="0.4">
      <c r="A1004" s="434">
        <v>3</v>
      </c>
      <c r="B1004" s="434" t="s">
        <v>1644</v>
      </c>
      <c r="C1004" s="434" t="s">
        <v>1436</v>
      </c>
      <c r="D1004" s="434" t="s">
        <v>80</v>
      </c>
      <c r="E1004" s="434" t="s">
        <v>1332</v>
      </c>
      <c r="F1004" s="434" t="s">
        <v>481</v>
      </c>
      <c r="G1004" s="593">
        <v>25302500</v>
      </c>
      <c r="H1004" s="434" t="s">
        <v>1441</v>
      </c>
      <c r="I1004" s="434" t="s">
        <v>1438</v>
      </c>
    </row>
    <row r="1005" spans="1:9" hidden="1" x14ac:dyDescent="0.4">
      <c r="A1005" s="434">
        <v>3</v>
      </c>
      <c r="B1005" s="434" t="s">
        <v>1644</v>
      </c>
      <c r="C1005" s="434" t="s">
        <v>1436</v>
      </c>
      <c r="D1005" s="434" t="s">
        <v>82</v>
      </c>
      <c r="E1005" s="434" t="s">
        <v>1333</v>
      </c>
      <c r="F1005" s="434" t="s">
        <v>482</v>
      </c>
      <c r="G1005" s="593">
        <v>21187200</v>
      </c>
      <c r="H1005" s="434" t="s">
        <v>1441</v>
      </c>
      <c r="I1005" s="434" t="s">
        <v>1438</v>
      </c>
    </row>
    <row r="1006" spans="1:9" hidden="1" x14ac:dyDescent="0.4">
      <c r="A1006" s="434">
        <v>3</v>
      </c>
      <c r="B1006" s="434" t="s">
        <v>1644</v>
      </c>
      <c r="C1006" s="434" t="s">
        <v>1436</v>
      </c>
      <c r="D1006" s="434" t="s">
        <v>84</v>
      </c>
      <c r="E1006" s="434" t="s">
        <v>1355</v>
      </c>
      <c r="F1006" s="434" t="s">
        <v>483</v>
      </c>
      <c r="G1006" s="593">
        <v>24759000</v>
      </c>
      <c r="H1006" s="434" t="s">
        <v>1441</v>
      </c>
      <c r="I1006" s="434" t="s">
        <v>1438</v>
      </c>
    </row>
    <row r="1007" spans="1:9" hidden="1" x14ac:dyDescent="0.4">
      <c r="A1007" s="434">
        <v>3</v>
      </c>
      <c r="B1007" s="434" t="s">
        <v>1644</v>
      </c>
      <c r="C1007" s="434" t="s">
        <v>1436</v>
      </c>
      <c r="D1007" s="434" t="s">
        <v>86</v>
      </c>
      <c r="E1007" s="434" t="s">
        <v>1356</v>
      </c>
      <c r="F1007" s="434" t="s">
        <v>484</v>
      </c>
      <c r="G1007" s="593">
        <v>21213600</v>
      </c>
      <c r="H1007" s="434" t="s">
        <v>1441</v>
      </c>
      <c r="I1007" s="434" t="s">
        <v>1438</v>
      </c>
    </row>
    <row r="1008" spans="1:9" hidden="1" x14ac:dyDescent="0.4">
      <c r="A1008" s="434">
        <v>3</v>
      </c>
      <c r="B1008" s="434" t="s">
        <v>1644</v>
      </c>
      <c r="C1008" s="434" t="s">
        <v>1436</v>
      </c>
      <c r="D1008" s="434" t="s">
        <v>87</v>
      </c>
      <c r="E1008" s="434" t="s">
        <v>1334</v>
      </c>
      <c r="F1008" s="434" t="s">
        <v>485</v>
      </c>
      <c r="G1008" s="593">
        <v>4664100</v>
      </c>
      <c r="H1008" s="434" t="s">
        <v>1441</v>
      </c>
      <c r="I1008" s="434" t="s">
        <v>1438</v>
      </c>
    </row>
    <row r="1009" spans="1:9" hidden="1" x14ac:dyDescent="0.4">
      <c r="A1009" s="434">
        <v>3</v>
      </c>
      <c r="B1009" s="434" t="s">
        <v>1644</v>
      </c>
      <c r="C1009" s="434" t="s">
        <v>1436</v>
      </c>
      <c r="D1009" s="434" t="s">
        <v>90</v>
      </c>
      <c r="E1009" s="434" t="s">
        <v>1357</v>
      </c>
      <c r="F1009" s="434" t="s">
        <v>486</v>
      </c>
      <c r="G1009" s="593">
        <v>27482700</v>
      </c>
      <c r="H1009" s="434" t="s">
        <v>1441</v>
      </c>
      <c r="I1009" s="434" t="s">
        <v>1438</v>
      </c>
    </row>
    <row r="1010" spans="1:9" hidden="1" x14ac:dyDescent="0.4">
      <c r="A1010" s="434">
        <v>3</v>
      </c>
      <c r="B1010" s="434" t="s">
        <v>1644</v>
      </c>
      <c r="C1010" s="434" t="s">
        <v>1436</v>
      </c>
      <c r="D1010" s="434" t="s">
        <v>92</v>
      </c>
      <c r="E1010" s="434" t="s">
        <v>1358</v>
      </c>
      <c r="F1010" s="434" t="s">
        <v>487</v>
      </c>
      <c r="G1010" s="593">
        <v>1485600</v>
      </c>
      <c r="H1010" s="434" t="s">
        <v>1441</v>
      </c>
      <c r="I1010" s="434" t="s">
        <v>1438</v>
      </c>
    </row>
    <row r="1011" spans="1:9" hidden="1" x14ac:dyDescent="0.4">
      <c r="A1011" s="434">
        <v>3</v>
      </c>
      <c r="B1011" s="434" t="s">
        <v>1644</v>
      </c>
      <c r="C1011" s="434" t="s">
        <v>1436</v>
      </c>
      <c r="D1011" s="434" t="s">
        <v>93</v>
      </c>
      <c r="E1011" s="434" t="s">
        <v>1359</v>
      </c>
      <c r="F1011" s="434" t="s">
        <v>488</v>
      </c>
      <c r="G1011" s="593">
        <v>4456600</v>
      </c>
      <c r="H1011" s="434" t="s">
        <v>1441</v>
      </c>
      <c r="I1011" s="434" t="s">
        <v>1438</v>
      </c>
    </row>
    <row r="1012" spans="1:9" hidden="1" x14ac:dyDescent="0.4">
      <c r="A1012" s="434">
        <v>3</v>
      </c>
      <c r="B1012" s="434" t="s">
        <v>1644</v>
      </c>
      <c r="C1012" s="434" t="s">
        <v>1436</v>
      </c>
      <c r="D1012" s="434" t="s">
        <v>94</v>
      </c>
      <c r="E1012" s="434" t="s">
        <v>1360</v>
      </c>
      <c r="F1012" s="434" t="s">
        <v>489</v>
      </c>
      <c r="G1012" s="593">
        <v>14855500</v>
      </c>
      <c r="H1012" s="434" t="s">
        <v>1441</v>
      </c>
      <c r="I1012" s="434" t="s">
        <v>1438</v>
      </c>
    </row>
    <row r="1013" spans="1:9" hidden="1" x14ac:dyDescent="0.4">
      <c r="A1013" s="434">
        <v>3</v>
      </c>
      <c r="B1013" s="434" t="s">
        <v>1644</v>
      </c>
      <c r="C1013" s="434" t="s">
        <v>1436</v>
      </c>
      <c r="D1013" s="434" t="s">
        <v>96</v>
      </c>
      <c r="E1013" s="434" t="s">
        <v>1361</v>
      </c>
      <c r="F1013" s="434" t="s">
        <v>490</v>
      </c>
      <c r="G1013" s="593">
        <v>1485600</v>
      </c>
      <c r="H1013" s="434" t="s">
        <v>1441</v>
      </c>
      <c r="I1013" s="434" t="s">
        <v>1438</v>
      </c>
    </row>
    <row r="1014" spans="1:9" hidden="1" x14ac:dyDescent="0.4">
      <c r="A1014" s="434">
        <v>3</v>
      </c>
      <c r="B1014" s="434" t="s">
        <v>1644</v>
      </c>
      <c r="C1014" s="434" t="s">
        <v>1436</v>
      </c>
      <c r="D1014" s="434" t="s">
        <v>510</v>
      </c>
      <c r="E1014" s="434" t="s">
        <v>1362</v>
      </c>
      <c r="F1014" s="434" t="s">
        <v>491</v>
      </c>
      <c r="G1014" s="593">
        <v>16103400</v>
      </c>
      <c r="H1014" s="434" t="s">
        <v>1441</v>
      </c>
      <c r="I1014" s="434" t="s">
        <v>1438</v>
      </c>
    </row>
    <row r="1015" spans="1:9" hidden="1" x14ac:dyDescent="0.4">
      <c r="A1015" s="434">
        <v>3</v>
      </c>
      <c r="B1015" s="434" t="s">
        <v>1644</v>
      </c>
      <c r="C1015" s="434" t="s">
        <v>1436</v>
      </c>
      <c r="D1015" s="434" t="s">
        <v>100</v>
      </c>
      <c r="E1015" s="434" t="s">
        <v>1363</v>
      </c>
      <c r="F1015" s="434" t="s">
        <v>491</v>
      </c>
      <c r="G1015" s="593">
        <v>8913300</v>
      </c>
      <c r="H1015" s="434" t="s">
        <v>1441</v>
      </c>
      <c r="I1015" s="434" t="s">
        <v>1438</v>
      </c>
    </row>
    <row r="1016" spans="1:9" hidden="1" x14ac:dyDescent="0.4">
      <c r="A1016" s="434">
        <v>3</v>
      </c>
      <c r="B1016" s="434" t="s">
        <v>1644</v>
      </c>
      <c r="C1016" s="434" t="s">
        <v>1436</v>
      </c>
      <c r="D1016" s="434" t="s">
        <v>101</v>
      </c>
      <c r="E1016" s="434" t="s">
        <v>1364</v>
      </c>
      <c r="F1016" s="434" t="s">
        <v>1135</v>
      </c>
      <c r="G1016" s="593">
        <v>4456600</v>
      </c>
      <c r="H1016" s="434" t="s">
        <v>1441</v>
      </c>
      <c r="I1016" s="434" t="s">
        <v>1438</v>
      </c>
    </row>
    <row r="1017" spans="1:9" hidden="1" x14ac:dyDescent="0.4">
      <c r="A1017" s="434">
        <v>3</v>
      </c>
      <c r="B1017" s="434" t="s">
        <v>1644</v>
      </c>
      <c r="C1017" s="434" t="s">
        <v>1439</v>
      </c>
      <c r="D1017" s="434" t="s">
        <v>106</v>
      </c>
      <c r="E1017" s="434" t="s">
        <v>1366</v>
      </c>
      <c r="F1017" s="434" t="s">
        <v>1440</v>
      </c>
      <c r="G1017" s="593">
        <v>5377700</v>
      </c>
      <c r="H1017" s="434" t="s">
        <v>1441</v>
      </c>
      <c r="I1017" s="434" t="s">
        <v>1438</v>
      </c>
    </row>
    <row r="1018" spans="1:9" hidden="1" x14ac:dyDescent="0.4">
      <c r="A1018" s="434">
        <v>3</v>
      </c>
      <c r="B1018" s="434" t="s">
        <v>1644</v>
      </c>
      <c r="C1018" s="434" t="s">
        <v>1439</v>
      </c>
      <c r="D1018" s="434" t="s">
        <v>116</v>
      </c>
      <c r="E1018" s="434" t="s">
        <v>1370</v>
      </c>
      <c r="F1018" s="434" t="s">
        <v>1442</v>
      </c>
      <c r="G1018" s="593">
        <v>218000</v>
      </c>
      <c r="H1018" s="434" t="s">
        <v>1441</v>
      </c>
      <c r="I1018" s="434" t="s">
        <v>1438</v>
      </c>
    </row>
    <row r="1019" spans="1:9" hidden="1" x14ac:dyDescent="0.4">
      <c r="A1019" s="434">
        <v>3</v>
      </c>
      <c r="B1019" s="434" t="s">
        <v>1644</v>
      </c>
      <c r="C1019" s="434" t="s">
        <v>1439</v>
      </c>
      <c r="D1019" s="434" t="s">
        <v>118</v>
      </c>
      <c r="E1019" s="434" t="s">
        <v>1371</v>
      </c>
      <c r="F1019" s="434" t="s">
        <v>1443</v>
      </c>
      <c r="G1019" s="593">
        <v>771100</v>
      </c>
      <c r="H1019" s="434" t="s">
        <v>1441</v>
      </c>
      <c r="I1019" s="434" t="s">
        <v>1438</v>
      </c>
    </row>
    <row r="1020" spans="1:9" x14ac:dyDescent="0.4">
      <c r="A1020" s="434">
        <v>3</v>
      </c>
      <c r="B1020" s="434" t="s">
        <v>1644</v>
      </c>
      <c r="C1020" s="434" t="s">
        <v>1439</v>
      </c>
      <c r="D1020" s="434" t="s">
        <v>326</v>
      </c>
      <c r="E1020" s="434" t="s">
        <v>1373</v>
      </c>
      <c r="F1020" s="434" t="s">
        <v>1645</v>
      </c>
      <c r="G1020" s="593">
        <v>8333700</v>
      </c>
      <c r="H1020" s="434" t="s">
        <v>534</v>
      </c>
      <c r="I1020" s="434" t="s">
        <v>534</v>
      </c>
    </row>
    <row r="1021" spans="1:9" hidden="1" x14ac:dyDescent="0.4">
      <c r="A1021" s="434">
        <v>3</v>
      </c>
      <c r="B1021" s="434" t="s">
        <v>1644</v>
      </c>
      <c r="C1021" s="434" t="s">
        <v>1439</v>
      </c>
      <c r="D1021" s="434" t="s">
        <v>131</v>
      </c>
      <c r="E1021" s="434" t="s">
        <v>1377</v>
      </c>
      <c r="F1021" s="434" t="s">
        <v>1646</v>
      </c>
      <c r="G1021" s="593">
        <v>25000</v>
      </c>
      <c r="H1021" s="434" t="s">
        <v>534</v>
      </c>
      <c r="I1021" s="434" t="s">
        <v>534</v>
      </c>
    </row>
    <row r="1022" spans="1:9" hidden="1" x14ac:dyDescent="0.4">
      <c r="A1022" s="434">
        <v>3</v>
      </c>
      <c r="B1022" s="434" t="s">
        <v>1644</v>
      </c>
      <c r="C1022" s="434" t="s">
        <v>1439</v>
      </c>
      <c r="D1022" s="434" t="s">
        <v>133</v>
      </c>
      <c r="E1022" s="434" t="s">
        <v>1378</v>
      </c>
      <c r="F1022" s="434" t="s">
        <v>1647</v>
      </c>
      <c r="G1022" s="593">
        <v>100000</v>
      </c>
      <c r="H1022" s="434" t="s">
        <v>534</v>
      </c>
      <c r="I1022" s="434" t="s">
        <v>534</v>
      </c>
    </row>
    <row r="1023" spans="1:9" hidden="1" x14ac:dyDescent="0.4">
      <c r="A1023" s="434">
        <v>3</v>
      </c>
      <c r="B1023" s="434" t="s">
        <v>1644</v>
      </c>
      <c r="C1023" s="434" t="s">
        <v>1439</v>
      </c>
      <c r="D1023" s="434" t="s">
        <v>145</v>
      </c>
      <c r="E1023" s="434" t="s">
        <v>1385</v>
      </c>
      <c r="F1023" s="434" t="s">
        <v>1648</v>
      </c>
      <c r="G1023" s="593">
        <v>1657000</v>
      </c>
      <c r="H1023" s="434" t="s">
        <v>534</v>
      </c>
      <c r="I1023" s="434" t="s">
        <v>534</v>
      </c>
    </row>
    <row r="1024" spans="1:9" hidden="1" x14ac:dyDescent="0.4">
      <c r="A1024" s="434">
        <v>3</v>
      </c>
      <c r="B1024" s="434" t="s">
        <v>1644</v>
      </c>
      <c r="C1024" s="434" t="s">
        <v>1439</v>
      </c>
      <c r="D1024" s="434" t="s">
        <v>151</v>
      </c>
      <c r="E1024" s="434" t="s">
        <v>1387</v>
      </c>
      <c r="F1024" s="434" t="s">
        <v>1640</v>
      </c>
      <c r="G1024" s="593">
        <v>197500</v>
      </c>
      <c r="H1024" s="434" t="s">
        <v>534</v>
      </c>
      <c r="I1024" s="434" t="s">
        <v>534</v>
      </c>
    </row>
    <row r="1025" spans="1:9" hidden="1" x14ac:dyDescent="0.4">
      <c r="A1025" s="434">
        <v>3</v>
      </c>
      <c r="B1025" s="434" t="s">
        <v>1644</v>
      </c>
      <c r="C1025" s="434" t="s">
        <v>1439</v>
      </c>
      <c r="D1025" s="434" t="s">
        <v>153</v>
      </c>
      <c r="E1025" s="434" t="s">
        <v>1388</v>
      </c>
      <c r="F1025" s="434" t="s">
        <v>1649</v>
      </c>
      <c r="G1025" s="593">
        <v>42000000</v>
      </c>
      <c r="H1025" s="434" t="s">
        <v>534</v>
      </c>
      <c r="I1025" s="434" t="s">
        <v>534</v>
      </c>
    </row>
    <row r="1026" spans="1:9" hidden="1" x14ac:dyDescent="0.4">
      <c r="A1026" s="434">
        <v>3</v>
      </c>
      <c r="B1026" s="434" t="s">
        <v>1644</v>
      </c>
      <c r="C1026" s="434" t="s">
        <v>1439</v>
      </c>
      <c r="D1026" s="434" t="s">
        <v>160</v>
      </c>
      <c r="E1026" s="434" t="s">
        <v>1391</v>
      </c>
      <c r="F1026" s="434" t="s">
        <v>1650</v>
      </c>
      <c r="G1026" s="593">
        <v>23517900</v>
      </c>
      <c r="H1026" s="434" t="s">
        <v>534</v>
      </c>
      <c r="I1026" s="434" t="s">
        <v>534</v>
      </c>
    </row>
    <row r="1027" spans="1:9" hidden="1" x14ac:dyDescent="0.4">
      <c r="A1027" s="434">
        <v>3</v>
      </c>
      <c r="B1027" s="434" t="s">
        <v>1644</v>
      </c>
      <c r="C1027" s="434" t="s">
        <v>1439</v>
      </c>
      <c r="D1027" s="434" t="s">
        <v>164</v>
      </c>
      <c r="E1027" s="434" t="s">
        <v>1392</v>
      </c>
      <c r="F1027" s="434" t="s">
        <v>1651</v>
      </c>
      <c r="G1027" s="593">
        <v>6000000</v>
      </c>
      <c r="H1027" s="434" t="s">
        <v>534</v>
      </c>
      <c r="I1027" s="434" t="s">
        <v>534</v>
      </c>
    </row>
    <row r="1028" spans="1:9" hidden="1" x14ac:dyDescent="0.4">
      <c r="A1028" s="434">
        <v>3</v>
      </c>
      <c r="B1028" s="434" t="s">
        <v>1644</v>
      </c>
      <c r="C1028" s="434" t="s">
        <v>1485</v>
      </c>
      <c r="D1028" s="434" t="s">
        <v>345</v>
      </c>
      <c r="E1028" s="434" t="s">
        <v>1427</v>
      </c>
      <c r="F1028" s="434" t="s">
        <v>1652</v>
      </c>
      <c r="G1028" s="593">
        <v>103000</v>
      </c>
      <c r="H1028" s="434" t="s">
        <v>1441</v>
      </c>
      <c r="I1028" s="434" t="s">
        <v>1438</v>
      </c>
    </row>
    <row r="1029" spans="1:9" hidden="1" x14ac:dyDescent="0.4">
      <c r="A1029" s="434">
        <v>3</v>
      </c>
      <c r="B1029" s="434" t="s">
        <v>1653</v>
      </c>
      <c r="C1029" s="434" t="s">
        <v>1436</v>
      </c>
      <c r="D1029" s="434" t="s">
        <v>72</v>
      </c>
      <c r="E1029" s="434" t="s">
        <v>1348</v>
      </c>
      <c r="F1029" s="434" t="s">
        <v>1437</v>
      </c>
      <c r="G1029" s="593">
        <v>70019600</v>
      </c>
      <c r="H1029" s="434" t="s">
        <v>1441</v>
      </c>
      <c r="I1029" s="434" t="s">
        <v>1438</v>
      </c>
    </row>
    <row r="1030" spans="1:9" hidden="1" x14ac:dyDescent="0.4">
      <c r="A1030" s="434">
        <v>3</v>
      </c>
      <c r="B1030" s="434" t="s">
        <v>1653</v>
      </c>
      <c r="C1030" s="434" t="s">
        <v>1436</v>
      </c>
      <c r="D1030" s="434" t="s">
        <v>73</v>
      </c>
      <c r="E1030" s="434" t="s">
        <v>1349</v>
      </c>
      <c r="F1030" s="434" t="s">
        <v>1564</v>
      </c>
      <c r="G1030" s="593">
        <v>2114100</v>
      </c>
      <c r="H1030" s="434" t="s">
        <v>1441</v>
      </c>
      <c r="I1030" s="434" t="s">
        <v>1438</v>
      </c>
    </row>
    <row r="1031" spans="1:9" hidden="1" x14ac:dyDescent="0.4">
      <c r="A1031" s="434">
        <v>3</v>
      </c>
      <c r="B1031" s="434" t="s">
        <v>1653</v>
      </c>
      <c r="C1031" s="434" t="s">
        <v>1436</v>
      </c>
      <c r="D1031" s="434" t="s">
        <v>76</v>
      </c>
      <c r="E1031" s="434" t="s">
        <v>1352</v>
      </c>
      <c r="F1031" s="434" t="s">
        <v>1056</v>
      </c>
      <c r="G1031" s="593">
        <v>2300000</v>
      </c>
      <c r="H1031" s="434" t="s">
        <v>1441</v>
      </c>
      <c r="I1031" s="434" t="s">
        <v>1438</v>
      </c>
    </row>
    <row r="1032" spans="1:9" hidden="1" x14ac:dyDescent="0.4">
      <c r="A1032" s="434">
        <v>3</v>
      </c>
      <c r="B1032" s="434" t="s">
        <v>1653</v>
      </c>
      <c r="C1032" s="434" t="s">
        <v>1436</v>
      </c>
      <c r="D1032" s="434" t="s">
        <v>80</v>
      </c>
      <c r="E1032" s="434" t="s">
        <v>1332</v>
      </c>
      <c r="F1032" s="434" t="s">
        <v>481</v>
      </c>
      <c r="G1032" s="593">
        <v>8369900</v>
      </c>
      <c r="H1032" s="434" t="s">
        <v>1441</v>
      </c>
      <c r="I1032" s="434" t="s">
        <v>1438</v>
      </c>
    </row>
    <row r="1033" spans="1:9" hidden="1" x14ac:dyDescent="0.4">
      <c r="A1033" s="434">
        <v>3</v>
      </c>
      <c r="B1033" s="434" t="s">
        <v>1653</v>
      </c>
      <c r="C1033" s="434" t="s">
        <v>1436</v>
      </c>
      <c r="D1033" s="434" t="s">
        <v>82</v>
      </c>
      <c r="E1033" s="434" t="s">
        <v>1333</v>
      </c>
      <c r="F1033" s="434" t="s">
        <v>482</v>
      </c>
      <c r="G1033" s="593">
        <v>12341300</v>
      </c>
      <c r="H1033" s="434" t="s">
        <v>1441</v>
      </c>
      <c r="I1033" s="434" t="s">
        <v>1438</v>
      </c>
    </row>
    <row r="1034" spans="1:9" hidden="1" x14ac:dyDescent="0.4">
      <c r="A1034" s="434">
        <v>3</v>
      </c>
      <c r="B1034" s="434" t="s">
        <v>1653</v>
      </c>
      <c r="C1034" s="434" t="s">
        <v>1436</v>
      </c>
      <c r="D1034" s="434" t="s">
        <v>84</v>
      </c>
      <c r="E1034" s="434" t="s">
        <v>1355</v>
      </c>
      <c r="F1034" s="434" t="s">
        <v>483</v>
      </c>
      <c r="G1034" s="593">
        <v>8660500</v>
      </c>
      <c r="H1034" s="434" t="s">
        <v>1441</v>
      </c>
      <c r="I1034" s="434" t="s">
        <v>1438</v>
      </c>
    </row>
    <row r="1035" spans="1:9" hidden="1" x14ac:dyDescent="0.4">
      <c r="A1035" s="434">
        <v>3</v>
      </c>
      <c r="B1035" s="434" t="s">
        <v>1653</v>
      </c>
      <c r="C1035" s="434" t="s">
        <v>1436</v>
      </c>
      <c r="D1035" s="434" t="s">
        <v>86</v>
      </c>
      <c r="E1035" s="434" t="s">
        <v>1356</v>
      </c>
      <c r="F1035" s="434" t="s">
        <v>484</v>
      </c>
      <c r="G1035" s="593">
        <v>7336100</v>
      </c>
      <c r="H1035" s="434" t="s">
        <v>1441</v>
      </c>
      <c r="I1035" s="434" t="s">
        <v>1438</v>
      </c>
    </row>
    <row r="1036" spans="1:9" hidden="1" x14ac:dyDescent="0.4">
      <c r="A1036" s="434">
        <v>3</v>
      </c>
      <c r="B1036" s="434" t="s">
        <v>1653</v>
      </c>
      <c r="C1036" s="434" t="s">
        <v>1436</v>
      </c>
      <c r="D1036" s="434" t="s">
        <v>87</v>
      </c>
      <c r="E1036" s="434" t="s">
        <v>1334</v>
      </c>
      <c r="F1036" s="434" t="s">
        <v>485</v>
      </c>
      <c r="G1036" s="593">
        <v>1445600</v>
      </c>
      <c r="H1036" s="434" t="s">
        <v>1441</v>
      </c>
      <c r="I1036" s="434" t="s">
        <v>1438</v>
      </c>
    </row>
    <row r="1037" spans="1:9" hidden="1" x14ac:dyDescent="0.4">
      <c r="A1037" s="434">
        <v>3</v>
      </c>
      <c r="B1037" s="434" t="s">
        <v>1653</v>
      </c>
      <c r="C1037" s="434" t="s">
        <v>1436</v>
      </c>
      <c r="D1037" s="434" t="s">
        <v>90</v>
      </c>
      <c r="E1037" s="434" t="s">
        <v>1357</v>
      </c>
      <c r="F1037" s="434" t="s">
        <v>486</v>
      </c>
      <c r="G1037" s="593">
        <v>9613200</v>
      </c>
      <c r="H1037" s="434" t="s">
        <v>1441</v>
      </c>
      <c r="I1037" s="434" t="s">
        <v>1438</v>
      </c>
    </row>
    <row r="1038" spans="1:9" hidden="1" x14ac:dyDescent="0.4">
      <c r="A1038" s="434">
        <v>3</v>
      </c>
      <c r="B1038" s="434" t="s">
        <v>1653</v>
      </c>
      <c r="C1038" s="434" t="s">
        <v>1436</v>
      </c>
      <c r="D1038" s="434" t="s">
        <v>92</v>
      </c>
      <c r="E1038" s="434" t="s">
        <v>1358</v>
      </c>
      <c r="F1038" s="434" t="s">
        <v>487</v>
      </c>
      <c r="G1038" s="593">
        <v>519600</v>
      </c>
      <c r="H1038" s="434" t="s">
        <v>1441</v>
      </c>
      <c r="I1038" s="434" t="s">
        <v>1438</v>
      </c>
    </row>
    <row r="1039" spans="1:9" hidden="1" x14ac:dyDescent="0.4">
      <c r="A1039" s="434">
        <v>3</v>
      </c>
      <c r="B1039" s="434" t="s">
        <v>1653</v>
      </c>
      <c r="C1039" s="434" t="s">
        <v>1436</v>
      </c>
      <c r="D1039" s="434" t="s">
        <v>93</v>
      </c>
      <c r="E1039" s="434" t="s">
        <v>1359</v>
      </c>
      <c r="F1039" s="434" t="s">
        <v>488</v>
      </c>
      <c r="G1039" s="593">
        <v>1558900</v>
      </c>
      <c r="H1039" s="434" t="s">
        <v>1441</v>
      </c>
      <c r="I1039" s="434" t="s">
        <v>1438</v>
      </c>
    </row>
    <row r="1040" spans="1:9" hidden="1" x14ac:dyDescent="0.4">
      <c r="A1040" s="434">
        <v>3</v>
      </c>
      <c r="B1040" s="434" t="s">
        <v>1653</v>
      </c>
      <c r="C1040" s="434" t="s">
        <v>1436</v>
      </c>
      <c r="D1040" s="434" t="s">
        <v>94</v>
      </c>
      <c r="E1040" s="434" t="s">
        <v>1360</v>
      </c>
      <c r="F1040" s="434" t="s">
        <v>489</v>
      </c>
      <c r="G1040" s="593">
        <v>5196300</v>
      </c>
      <c r="H1040" s="434" t="s">
        <v>1441</v>
      </c>
      <c r="I1040" s="434" t="s">
        <v>1438</v>
      </c>
    </row>
    <row r="1041" spans="1:9" hidden="1" x14ac:dyDescent="0.4">
      <c r="A1041" s="434">
        <v>3</v>
      </c>
      <c r="B1041" s="434" t="s">
        <v>1653</v>
      </c>
      <c r="C1041" s="434" t="s">
        <v>1436</v>
      </c>
      <c r="D1041" s="434" t="s">
        <v>96</v>
      </c>
      <c r="E1041" s="434" t="s">
        <v>1361</v>
      </c>
      <c r="F1041" s="434" t="s">
        <v>490</v>
      </c>
      <c r="G1041" s="593">
        <v>519600</v>
      </c>
      <c r="H1041" s="434" t="s">
        <v>1441</v>
      </c>
      <c r="I1041" s="434" t="s">
        <v>1438</v>
      </c>
    </row>
    <row r="1042" spans="1:9" hidden="1" x14ac:dyDescent="0.4">
      <c r="A1042" s="434">
        <v>3</v>
      </c>
      <c r="B1042" s="434" t="s">
        <v>1653</v>
      </c>
      <c r="C1042" s="434" t="s">
        <v>1436</v>
      </c>
      <c r="D1042" s="434" t="s">
        <v>510</v>
      </c>
      <c r="E1042" s="434" t="s">
        <v>1362</v>
      </c>
      <c r="F1042" s="434" t="s">
        <v>491</v>
      </c>
      <c r="G1042" s="593">
        <v>5632800</v>
      </c>
      <c r="H1042" s="434" t="s">
        <v>1441</v>
      </c>
      <c r="I1042" s="434" t="s">
        <v>1438</v>
      </c>
    </row>
    <row r="1043" spans="1:9" hidden="1" x14ac:dyDescent="0.4">
      <c r="A1043" s="434">
        <v>3</v>
      </c>
      <c r="B1043" s="434" t="s">
        <v>1653</v>
      </c>
      <c r="C1043" s="434" t="s">
        <v>1436</v>
      </c>
      <c r="D1043" s="434" t="s">
        <v>100</v>
      </c>
      <c r="E1043" s="434" t="s">
        <v>1363</v>
      </c>
      <c r="F1043" s="434" t="s">
        <v>491</v>
      </c>
      <c r="G1043" s="593">
        <v>3117800</v>
      </c>
      <c r="H1043" s="434" t="s">
        <v>1441</v>
      </c>
      <c r="I1043" s="434" t="s">
        <v>1438</v>
      </c>
    </row>
    <row r="1044" spans="1:9" hidden="1" x14ac:dyDescent="0.4">
      <c r="A1044" s="434">
        <v>3</v>
      </c>
      <c r="B1044" s="434" t="s">
        <v>1653</v>
      </c>
      <c r="C1044" s="434" t="s">
        <v>1436</v>
      </c>
      <c r="D1044" s="434" t="s">
        <v>101</v>
      </c>
      <c r="E1044" s="434" t="s">
        <v>1364</v>
      </c>
      <c r="F1044" s="434" t="s">
        <v>1135</v>
      </c>
      <c r="G1044" s="593">
        <v>1558900</v>
      </c>
      <c r="H1044" s="434" t="s">
        <v>1441</v>
      </c>
      <c r="I1044" s="434" t="s">
        <v>1438</v>
      </c>
    </row>
    <row r="1045" spans="1:9" hidden="1" x14ac:dyDescent="0.4">
      <c r="A1045" s="434">
        <v>3</v>
      </c>
      <c r="B1045" s="434" t="s">
        <v>1653</v>
      </c>
      <c r="C1045" s="434" t="s">
        <v>1439</v>
      </c>
      <c r="D1045" s="434" t="s">
        <v>106</v>
      </c>
      <c r="E1045" s="434" t="s">
        <v>1366</v>
      </c>
      <c r="F1045" s="434" t="s">
        <v>1440</v>
      </c>
      <c r="G1045" s="593">
        <v>1569900</v>
      </c>
      <c r="H1045" s="434" t="s">
        <v>1441</v>
      </c>
      <c r="I1045" s="434" t="s">
        <v>1438</v>
      </c>
    </row>
    <row r="1046" spans="1:9" hidden="1" x14ac:dyDescent="0.4">
      <c r="A1046" s="434">
        <v>3</v>
      </c>
      <c r="B1046" s="434" t="s">
        <v>1653</v>
      </c>
      <c r="C1046" s="434" t="s">
        <v>1439</v>
      </c>
      <c r="D1046" s="434" t="s">
        <v>116</v>
      </c>
      <c r="E1046" s="434" t="s">
        <v>1370</v>
      </c>
      <c r="F1046" s="434" t="s">
        <v>1442</v>
      </c>
      <c r="G1046" s="593">
        <v>63700</v>
      </c>
      <c r="H1046" s="434" t="s">
        <v>1441</v>
      </c>
      <c r="I1046" s="434" t="s">
        <v>1438</v>
      </c>
    </row>
    <row r="1047" spans="1:9" hidden="1" x14ac:dyDescent="0.4">
      <c r="A1047" s="434">
        <v>3</v>
      </c>
      <c r="B1047" s="434" t="s">
        <v>1653</v>
      </c>
      <c r="C1047" s="434" t="s">
        <v>1439</v>
      </c>
      <c r="D1047" s="434" t="s">
        <v>118</v>
      </c>
      <c r="E1047" s="434" t="s">
        <v>1371</v>
      </c>
      <c r="F1047" s="434" t="s">
        <v>1443</v>
      </c>
      <c r="G1047" s="593">
        <v>225100</v>
      </c>
      <c r="H1047" s="434" t="s">
        <v>1441</v>
      </c>
      <c r="I1047" s="434" t="s">
        <v>1438</v>
      </c>
    </row>
    <row r="1048" spans="1:9" x14ac:dyDescent="0.4">
      <c r="A1048" s="434">
        <v>3</v>
      </c>
      <c r="B1048" s="434" t="s">
        <v>1653</v>
      </c>
      <c r="C1048" s="434" t="s">
        <v>1439</v>
      </c>
      <c r="D1048" s="434" t="s">
        <v>326</v>
      </c>
      <c r="E1048" s="434" t="s">
        <v>1373</v>
      </c>
      <c r="F1048" s="434" t="s">
        <v>1444</v>
      </c>
      <c r="G1048" s="593">
        <v>97400</v>
      </c>
      <c r="H1048" s="434" t="s">
        <v>534</v>
      </c>
      <c r="I1048" s="434" t="s">
        <v>534</v>
      </c>
    </row>
    <row r="1049" spans="1:9" hidden="1" x14ac:dyDescent="0.4">
      <c r="A1049" s="434">
        <v>3</v>
      </c>
      <c r="B1049" s="434" t="s">
        <v>1653</v>
      </c>
      <c r="C1049" s="434" t="s">
        <v>1439</v>
      </c>
      <c r="D1049" s="434" t="s">
        <v>569</v>
      </c>
      <c r="E1049" s="434" t="s">
        <v>1381</v>
      </c>
      <c r="F1049" s="434" t="s">
        <v>1654</v>
      </c>
      <c r="G1049" s="593">
        <v>100000</v>
      </c>
      <c r="H1049" s="434" t="s">
        <v>534</v>
      </c>
      <c r="I1049" s="434" t="s">
        <v>534</v>
      </c>
    </row>
    <row r="1050" spans="1:9" hidden="1" x14ac:dyDescent="0.4">
      <c r="A1050" s="434">
        <v>3</v>
      </c>
      <c r="B1050" s="434" t="s">
        <v>1653</v>
      </c>
      <c r="C1050" s="434" t="s">
        <v>1439</v>
      </c>
      <c r="D1050" s="434" t="s">
        <v>145</v>
      </c>
      <c r="E1050" s="434" t="s">
        <v>1385</v>
      </c>
      <c r="F1050" s="434" t="s">
        <v>1448</v>
      </c>
      <c r="G1050" s="593">
        <v>461900</v>
      </c>
      <c r="H1050" s="434" t="s">
        <v>534</v>
      </c>
      <c r="I1050" s="434" t="s">
        <v>534</v>
      </c>
    </row>
    <row r="1051" spans="1:9" hidden="1" x14ac:dyDescent="0.4">
      <c r="A1051" s="434">
        <v>3</v>
      </c>
      <c r="B1051" s="434" t="s">
        <v>1653</v>
      </c>
      <c r="C1051" s="434" t="s">
        <v>1439</v>
      </c>
      <c r="D1051" s="434" t="s">
        <v>160</v>
      </c>
      <c r="E1051" s="434" t="s">
        <v>1391</v>
      </c>
      <c r="F1051" s="434" t="s">
        <v>1449</v>
      </c>
      <c r="G1051" s="593">
        <v>707100</v>
      </c>
      <c r="H1051" s="434" t="s">
        <v>534</v>
      </c>
      <c r="I1051" s="434" t="s">
        <v>534</v>
      </c>
    </row>
    <row r="1052" spans="1:9" hidden="1" x14ac:dyDescent="0.4">
      <c r="A1052" s="434">
        <v>3</v>
      </c>
      <c r="B1052" s="434" t="s">
        <v>1655</v>
      </c>
      <c r="C1052" s="434" t="s">
        <v>1436</v>
      </c>
      <c r="D1052" s="434" t="s">
        <v>72</v>
      </c>
      <c r="E1052" s="434" t="s">
        <v>1348</v>
      </c>
      <c r="F1052" s="434" t="s">
        <v>1437</v>
      </c>
      <c r="G1052" s="593">
        <v>59246600</v>
      </c>
      <c r="H1052" s="434" t="s">
        <v>1441</v>
      </c>
      <c r="I1052" s="434" t="s">
        <v>1438</v>
      </c>
    </row>
    <row r="1053" spans="1:9" hidden="1" x14ac:dyDescent="0.4">
      <c r="A1053" s="434">
        <v>3</v>
      </c>
      <c r="B1053" s="434" t="s">
        <v>1655</v>
      </c>
      <c r="C1053" s="434" t="s">
        <v>1436</v>
      </c>
      <c r="D1053" s="434" t="s">
        <v>80</v>
      </c>
      <c r="E1053" s="434" t="s">
        <v>1332</v>
      </c>
      <c r="F1053" s="434" t="s">
        <v>481</v>
      </c>
      <c r="G1053" s="593">
        <v>10574400</v>
      </c>
      <c r="H1053" s="434" t="s">
        <v>1441</v>
      </c>
      <c r="I1053" s="434" t="s">
        <v>1438</v>
      </c>
    </row>
    <row r="1054" spans="1:9" hidden="1" x14ac:dyDescent="0.4">
      <c r="A1054" s="434">
        <v>3</v>
      </c>
      <c r="B1054" s="434" t="s">
        <v>1655</v>
      </c>
      <c r="C1054" s="434" t="s">
        <v>1436</v>
      </c>
      <c r="D1054" s="434" t="s">
        <v>82</v>
      </c>
      <c r="E1054" s="434" t="s">
        <v>1333</v>
      </c>
      <c r="F1054" s="434" t="s">
        <v>482</v>
      </c>
      <c r="G1054" s="593">
        <v>7263100</v>
      </c>
      <c r="H1054" s="434" t="s">
        <v>1441</v>
      </c>
      <c r="I1054" s="434" t="s">
        <v>1438</v>
      </c>
    </row>
    <row r="1055" spans="1:9" hidden="1" x14ac:dyDescent="0.4">
      <c r="A1055" s="434">
        <v>3</v>
      </c>
      <c r="B1055" s="434" t="s">
        <v>1655</v>
      </c>
      <c r="C1055" s="434" t="s">
        <v>1436</v>
      </c>
      <c r="D1055" s="434" t="s">
        <v>84</v>
      </c>
      <c r="E1055" s="434" t="s">
        <v>1355</v>
      </c>
      <c r="F1055" s="434" t="s">
        <v>483</v>
      </c>
      <c r="G1055" s="593">
        <v>7328600</v>
      </c>
      <c r="H1055" s="434" t="s">
        <v>1441</v>
      </c>
      <c r="I1055" s="434" t="s">
        <v>1438</v>
      </c>
    </row>
    <row r="1056" spans="1:9" hidden="1" x14ac:dyDescent="0.4">
      <c r="A1056" s="434">
        <v>3</v>
      </c>
      <c r="B1056" s="434" t="s">
        <v>1655</v>
      </c>
      <c r="C1056" s="434" t="s">
        <v>1436</v>
      </c>
      <c r="D1056" s="434" t="s">
        <v>86</v>
      </c>
      <c r="E1056" s="434" t="s">
        <v>1356</v>
      </c>
      <c r="F1056" s="434" t="s">
        <v>484</v>
      </c>
      <c r="G1056" s="593">
        <v>6645000</v>
      </c>
      <c r="H1056" s="434" t="s">
        <v>1441</v>
      </c>
      <c r="I1056" s="434" t="s">
        <v>1438</v>
      </c>
    </row>
    <row r="1057" spans="1:9" hidden="1" x14ac:dyDescent="0.4">
      <c r="A1057" s="434">
        <v>3</v>
      </c>
      <c r="B1057" s="434" t="s">
        <v>1655</v>
      </c>
      <c r="C1057" s="434" t="s">
        <v>1436</v>
      </c>
      <c r="D1057" s="434" t="s">
        <v>87</v>
      </c>
      <c r="E1057" s="434" t="s">
        <v>1334</v>
      </c>
      <c r="F1057" s="434" t="s">
        <v>485</v>
      </c>
      <c r="G1057" s="593">
        <v>4214100</v>
      </c>
      <c r="H1057" s="434" t="s">
        <v>1441</v>
      </c>
      <c r="I1057" s="434" t="s">
        <v>1438</v>
      </c>
    </row>
    <row r="1058" spans="1:9" hidden="1" x14ac:dyDescent="0.4">
      <c r="A1058" s="434">
        <v>3</v>
      </c>
      <c r="B1058" s="434" t="s">
        <v>1655</v>
      </c>
      <c r="C1058" s="434" t="s">
        <v>1436</v>
      </c>
      <c r="D1058" s="434" t="s">
        <v>90</v>
      </c>
      <c r="E1058" s="434" t="s">
        <v>1357</v>
      </c>
      <c r="F1058" s="434" t="s">
        <v>486</v>
      </c>
      <c r="G1058" s="593">
        <v>8134700</v>
      </c>
      <c r="H1058" s="434" t="s">
        <v>1441</v>
      </c>
      <c r="I1058" s="434" t="s">
        <v>1438</v>
      </c>
    </row>
    <row r="1059" spans="1:9" hidden="1" x14ac:dyDescent="0.4">
      <c r="A1059" s="434">
        <v>3</v>
      </c>
      <c r="B1059" s="434" t="s">
        <v>1655</v>
      </c>
      <c r="C1059" s="434" t="s">
        <v>1436</v>
      </c>
      <c r="D1059" s="434" t="s">
        <v>92</v>
      </c>
      <c r="E1059" s="434" t="s">
        <v>1358</v>
      </c>
      <c r="F1059" s="434" t="s">
        <v>487</v>
      </c>
      <c r="G1059" s="593">
        <v>439700</v>
      </c>
      <c r="H1059" s="434" t="s">
        <v>1441</v>
      </c>
      <c r="I1059" s="434" t="s">
        <v>1438</v>
      </c>
    </row>
    <row r="1060" spans="1:9" hidden="1" x14ac:dyDescent="0.4">
      <c r="A1060" s="434">
        <v>3</v>
      </c>
      <c r="B1060" s="434" t="s">
        <v>1655</v>
      </c>
      <c r="C1060" s="434" t="s">
        <v>1436</v>
      </c>
      <c r="D1060" s="434" t="s">
        <v>93</v>
      </c>
      <c r="E1060" s="434" t="s">
        <v>1359</v>
      </c>
      <c r="F1060" s="434" t="s">
        <v>488</v>
      </c>
      <c r="G1060" s="593">
        <v>1319100</v>
      </c>
      <c r="H1060" s="434" t="s">
        <v>1441</v>
      </c>
      <c r="I1060" s="434" t="s">
        <v>1438</v>
      </c>
    </row>
    <row r="1061" spans="1:9" hidden="1" x14ac:dyDescent="0.4">
      <c r="A1061" s="434">
        <v>3</v>
      </c>
      <c r="B1061" s="434" t="s">
        <v>1655</v>
      </c>
      <c r="C1061" s="434" t="s">
        <v>1436</v>
      </c>
      <c r="D1061" s="434" t="s">
        <v>94</v>
      </c>
      <c r="E1061" s="434" t="s">
        <v>1360</v>
      </c>
      <c r="F1061" s="434" t="s">
        <v>489</v>
      </c>
      <c r="G1061" s="593">
        <v>4397200</v>
      </c>
      <c r="H1061" s="434" t="s">
        <v>1441</v>
      </c>
      <c r="I1061" s="434" t="s">
        <v>1438</v>
      </c>
    </row>
    <row r="1062" spans="1:9" hidden="1" x14ac:dyDescent="0.4">
      <c r="A1062" s="434">
        <v>3</v>
      </c>
      <c r="B1062" s="434" t="s">
        <v>1655</v>
      </c>
      <c r="C1062" s="434" t="s">
        <v>1436</v>
      </c>
      <c r="D1062" s="434" t="s">
        <v>96</v>
      </c>
      <c r="E1062" s="434" t="s">
        <v>1361</v>
      </c>
      <c r="F1062" s="434" t="s">
        <v>490</v>
      </c>
      <c r="G1062" s="593">
        <v>439700</v>
      </c>
      <c r="H1062" s="434" t="s">
        <v>1441</v>
      </c>
      <c r="I1062" s="434" t="s">
        <v>1438</v>
      </c>
    </row>
    <row r="1063" spans="1:9" hidden="1" x14ac:dyDescent="0.4">
      <c r="A1063" s="434">
        <v>3</v>
      </c>
      <c r="B1063" s="434" t="s">
        <v>1655</v>
      </c>
      <c r="C1063" s="434" t="s">
        <v>1436</v>
      </c>
      <c r="D1063" s="434" t="s">
        <v>510</v>
      </c>
      <c r="E1063" s="434" t="s">
        <v>1362</v>
      </c>
      <c r="F1063" s="434" t="s">
        <v>491</v>
      </c>
      <c r="G1063" s="593">
        <v>4766500</v>
      </c>
      <c r="H1063" s="434" t="s">
        <v>1441</v>
      </c>
      <c r="I1063" s="434" t="s">
        <v>1438</v>
      </c>
    </row>
    <row r="1064" spans="1:9" hidden="1" x14ac:dyDescent="0.4">
      <c r="A1064" s="434">
        <v>3</v>
      </c>
      <c r="B1064" s="434" t="s">
        <v>1655</v>
      </c>
      <c r="C1064" s="434" t="s">
        <v>1436</v>
      </c>
      <c r="D1064" s="434" t="s">
        <v>100</v>
      </c>
      <c r="E1064" s="434" t="s">
        <v>1363</v>
      </c>
      <c r="F1064" s="434" t="s">
        <v>491</v>
      </c>
      <c r="G1064" s="593">
        <v>2638300</v>
      </c>
      <c r="H1064" s="434" t="s">
        <v>1441</v>
      </c>
      <c r="I1064" s="434" t="s">
        <v>1438</v>
      </c>
    </row>
    <row r="1065" spans="1:9" hidden="1" x14ac:dyDescent="0.4">
      <c r="A1065" s="434">
        <v>3</v>
      </c>
      <c r="B1065" s="434" t="s">
        <v>1655</v>
      </c>
      <c r="C1065" s="434" t="s">
        <v>1436</v>
      </c>
      <c r="D1065" s="434" t="s">
        <v>101</v>
      </c>
      <c r="E1065" s="434" t="s">
        <v>1364</v>
      </c>
      <c r="F1065" s="434" t="s">
        <v>1135</v>
      </c>
      <c r="G1065" s="593">
        <v>1319100</v>
      </c>
      <c r="H1065" s="434" t="s">
        <v>1441</v>
      </c>
      <c r="I1065" s="434" t="s">
        <v>1438</v>
      </c>
    </row>
    <row r="1066" spans="1:9" hidden="1" x14ac:dyDescent="0.4">
      <c r="A1066" s="434">
        <v>3</v>
      </c>
      <c r="B1066" s="434" t="s">
        <v>1655</v>
      </c>
      <c r="C1066" s="434" t="s">
        <v>1439</v>
      </c>
      <c r="D1066" s="434" t="s">
        <v>106</v>
      </c>
      <c r="E1066" s="434" t="s">
        <v>1366</v>
      </c>
      <c r="F1066" s="434" t="s">
        <v>1440</v>
      </c>
      <c r="G1066" s="593">
        <v>1102400</v>
      </c>
      <c r="H1066" s="434" t="s">
        <v>1441</v>
      </c>
      <c r="I1066" s="434" t="s">
        <v>1438</v>
      </c>
    </row>
    <row r="1067" spans="1:9" hidden="1" x14ac:dyDescent="0.4">
      <c r="A1067" s="434">
        <v>3</v>
      </c>
      <c r="B1067" s="434" t="s">
        <v>1655</v>
      </c>
      <c r="C1067" s="434" t="s">
        <v>1439</v>
      </c>
      <c r="D1067" s="434" t="s">
        <v>116</v>
      </c>
      <c r="E1067" s="434" t="s">
        <v>1370</v>
      </c>
      <c r="F1067" s="434" t="s">
        <v>1442</v>
      </c>
      <c r="G1067" s="593">
        <v>44700</v>
      </c>
      <c r="H1067" s="434" t="s">
        <v>1441</v>
      </c>
      <c r="I1067" s="434" t="s">
        <v>1438</v>
      </c>
    </row>
    <row r="1068" spans="1:9" hidden="1" x14ac:dyDescent="0.4">
      <c r="A1068" s="434">
        <v>3</v>
      </c>
      <c r="B1068" s="434" t="s">
        <v>1655</v>
      </c>
      <c r="C1068" s="434" t="s">
        <v>1439</v>
      </c>
      <c r="D1068" s="434" t="s">
        <v>118</v>
      </c>
      <c r="E1068" s="434" t="s">
        <v>1371</v>
      </c>
      <c r="F1068" s="434" t="s">
        <v>1443</v>
      </c>
      <c r="G1068" s="593">
        <v>158100</v>
      </c>
      <c r="H1068" s="434" t="s">
        <v>1441</v>
      </c>
      <c r="I1068" s="434" t="s">
        <v>1438</v>
      </c>
    </row>
    <row r="1069" spans="1:9" x14ac:dyDescent="0.4">
      <c r="A1069" s="434">
        <v>3</v>
      </c>
      <c r="B1069" s="434" t="s">
        <v>1655</v>
      </c>
      <c r="C1069" s="434" t="s">
        <v>1439</v>
      </c>
      <c r="D1069" s="434" t="s">
        <v>326</v>
      </c>
      <c r="E1069" s="434" t="s">
        <v>1373</v>
      </c>
      <c r="F1069" s="434" t="s">
        <v>1444</v>
      </c>
      <c r="G1069" s="593">
        <v>68400</v>
      </c>
      <c r="H1069" s="434" t="s">
        <v>534</v>
      </c>
      <c r="I1069" s="434" t="s">
        <v>534</v>
      </c>
    </row>
    <row r="1070" spans="1:9" hidden="1" x14ac:dyDescent="0.4">
      <c r="A1070" s="434">
        <v>3</v>
      </c>
      <c r="B1070" s="434" t="s">
        <v>1655</v>
      </c>
      <c r="C1070" s="434" t="s">
        <v>1439</v>
      </c>
      <c r="D1070" s="434" t="s">
        <v>145</v>
      </c>
      <c r="E1070" s="434" t="s">
        <v>1385</v>
      </c>
      <c r="F1070" s="434" t="s">
        <v>1448</v>
      </c>
      <c r="G1070" s="593">
        <v>324300</v>
      </c>
      <c r="H1070" s="434" t="s">
        <v>534</v>
      </c>
      <c r="I1070" s="434" t="s">
        <v>534</v>
      </c>
    </row>
    <row r="1071" spans="1:9" hidden="1" x14ac:dyDescent="0.4">
      <c r="A1071" s="434">
        <v>3</v>
      </c>
      <c r="B1071" s="434" t="s">
        <v>1655</v>
      </c>
      <c r="C1071" s="434" t="s">
        <v>1439</v>
      </c>
      <c r="D1071" s="434" t="s">
        <v>153</v>
      </c>
      <c r="E1071" s="434" t="s">
        <v>1388</v>
      </c>
      <c r="F1071" s="434" t="s">
        <v>1656</v>
      </c>
      <c r="G1071" s="593">
        <v>50000</v>
      </c>
      <c r="H1071" s="434" t="s">
        <v>534</v>
      </c>
      <c r="I1071" s="434" t="s">
        <v>534</v>
      </c>
    </row>
    <row r="1072" spans="1:9" hidden="1" x14ac:dyDescent="0.4">
      <c r="A1072" s="434">
        <v>3</v>
      </c>
      <c r="B1072" s="434" t="s">
        <v>1655</v>
      </c>
      <c r="C1072" s="434" t="s">
        <v>1439</v>
      </c>
      <c r="D1072" s="434" t="s">
        <v>160</v>
      </c>
      <c r="E1072" s="434" t="s">
        <v>1391</v>
      </c>
      <c r="F1072" s="434" t="s">
        <v>1449</v>
      </c>
      <c r="G1072" s="593">
        <v>577700</v>
      </c>
      <c r="H1072" s="434" t="s">
        <v>534</v>
      </c>
      <c r="I1072" s="434" t="s">
        <v>534</v>
      </c>
    </row>
    <row r="1073" spans="1:9" hidden="1" x14ac:dyDescent="0.4">
      <c r="A1073" s="434">
        <v>3</v>
      </c>
      <c r="B1073" s="434" t="s">
        <v>1657</v>
      </c>
      <c r="C1073" s="434" t="s">
        <v>1436</v>
      </c>
      <c r="D1073" s="434" t="s">
        <v>72</v>
      </c>
      <c r="E1073" s="434" t="s">
        <v>1348</v>
      </c>
      <c r="F1073" s="434" t="s">
        <v>1437</v>
      </c>
      <c r="G1073" s="593">
        <v>34826600</v>
      </c>
      <c r="H1073" s="434" t="s">
        <v>1441</v>
      </c>
      <c r="I1073" s="434" t="s">
        <v>1438</v>
      </c>
    </row>
    <row r="1074" spans="1:9" hidden="1" x14ac:dyDescent="0.4">
      <c r="A1074" s="434">
        <v>3</v>
      </c>
      <c r="B1074" s="434" t="s">
        <v>1657</v>
      </c>
      <c r="C1074" s="434" t="s">
        <v>1436</v>
      </c>
      <c r="D1074" s="434" t="s">
        <v>80</v>
      </c>
      <c r="E1074" s="434" t="s">
        <v>1332</v>
      </c>
      <c r="F1074" s="434" t="s">
        <v>481</v>
      </c>
      <c r="G1074" s="593">
        <v>4061700</v>
      </c>
      <c r="H1074" s="434" t="s">
        <v>1441</v>
      </c>
      <c r="I1074" s="434" t="s">
        <v>1438</v>
      </c>
    </row>
    <row r="1075" spans="1:9" hidden="1" x14ac:dyDescent="0.4">
      <c r="A1075" s="434">
        <v>3</v>
      </c>
      <c r="B1075" s="434" t="s">
        <v>1657</v>
      </c>
      <c r="C1075" s="434" t="s">
        <v>1436</v>
      </c>
      <c r="D1075" s="434" t="s">
        <v>82</v>
      </c>
      <c r="E1075" s="434" t="s">
        <v>1333</v>
      </c>
      <c r="F1075" s="434" t="s">
        <v>482</v>
      </c>
      <c r="G1075" s="593">
        <v>2642000</v>
      </c>
      <c r="H1075" s="434" t="s">
        <v>1441</v>
      </c>
      <c r="I1075" s="434" t="s">
        <v>1438</v>
      </c>
    </row>
    <row r="1076" spans="1:9" hidden="1" x14ac:dyDescent="0.4">
      <c r="A1076" s="434">
        <v>3</v>
      </c>
      <c r="B1076" s="434" t="s">
        <v>1657</v>
      </c>
      <c r="C1076" s="434" t="s">
        <v>1436</v>
      </c>
      <c r="D1076" s="434" t="s">
        <v>84</v>
      </c>
      <c r="E1076" s="434" t="s">
        <v>1355</v>
      </c>
      <c r="F1076" s="434" t="s">
        <v>483</v>
      </c>
      <c r="G1076" s="593">
        <v>3787100</v>
      </c>
      <c r="H1076" s="434" t="s">
        <v>1441</v>
      </c>
      <c r="I1076" s="434" t="s">
        <v>1438</v>
      </c>
    </row>
    <row r="1077" spans="1:9" hidden="1" x14ac:dyDescent="0.4">
      <c r="A1077" s="434">
        <v>3</v>
      </c>
      <c r="B1077" s="434" t="s">
        <v>1657</v>
      </c>
      <c r="C1077" s="434" t="s">
        <v>1436</v>
      </c>
      <c r="D1077" s="434" t="s">
        <v>86</v>
      </c>
      <c r="E1077" s="434" t="s">
        <v>1356</v>
      </c>
      <c r="F1077" s="434" t="s">
        <v>484</v>
      </c>
      <c r="G1077" s="593">
        <v>3397000</v>
      </c>
      <c r="H1077" s="434" t="s">
        <v>1441</v>
      </c>
      <c r="I1077" s="434" t="s">
        <v>1438</v>
      </c>
    </row>
    <row r="1078" spans="1:9" hidden="1" x14ac:dyDescent="0.4">
      <c r="A1078" s="434">
        <v>3</v>
      </c>
      <c r="B1078" s="434" t="s">
        <v>1657</v>
      </c>
      <c r="C1078" s="434" t="s">
        <v>1436</v>
      </c>
      <c r="D1078" s="434" t="s">
        <v>87</v>
      </c>
      <c r="E1078" s="434" t="s">
        <v>1334</v>
      </c>
      <c r="F1078" s="434" t="s">
        <v>485</v>
      </c>
      <c r="G1078" s="593">
        <v>518200</v>
      </c>
      <c r="H1078" s="434" t="s">
        <v>1441</v>
      </c>
      <c r="I1078" s="434" t="s">
        <v>1438</v>
      </c>
    </row>
    <row r="1079" spans="1:9" hidden="1" x14ac:dyDescent="0.4">
      <c r="A1079" s="434">
        <v>3</v>
      </c>
      <c r="B1079" s="434" t="s">
        <v>1657</v>
      </c>
      <c r="C1079" s="434" t="s">
        <v>1436</v>
      </c>
      <c r="D1079" s="434" t="s">
        <v>90</v>
      </c>
      <c r="E1079" s="434" t="s">
        <v>1357</v>
      </c>
      <c r="F1079" s="434" t="s">
        <v>486</v>
      </c>
      <c r="G1079" s="593">
        <v>4203700</v>
      </c>
      <c r="H1079" s="434" t="s">
        <v>1441</v>
      </c>
      <c r="I1079" s="434" t="s">
        <v>1438</v>
      </c>
    </row>
    <row r="1080" spans="1:9" hidden="1" x14ac:dyDescent="0.4">
      <c r="A1080" s="434">
        <v>3</v>
      </c>
      <c r="B1080" s="434" t="s">
        <v>1657</v>
      </c>
      <c r="C1080" s="434" t="s">
        <v>1436</v>
      </c>
      <c r="D1080" s="434" t="s">
        <v>92</v>
      </c>
      <c r="E1080" s="434" t="s">
        <v>1358</v>
      </c>
      <c r="F1080" s="434" t="s">
        <v>487</v>
      </c>
      <c r="G1080" s="593">
        <v>227200</v>
      </c>
      <c r="H1080" s="434" t="s">
        <v>1441</v>
      </c>
      <c r="I1080" s="434" t="s">
        <v>1438</v>
      </c>
    </row>
    <row r="1081" spans="1:9" hidden="1" x14ac:dyDescent="0.4">
      <c r="A1081" s="434">
        <v>3</v>
      </c>
      <c r="B1081" s="434" t="s">
        <v>1657</v>
      </c>
      <c r="C1081" s="434" t="s">
        <v>1436</v>
      </c>
      <c r="D1081" s="434" t="s">
        <v>93</v>
      </c>
      <c r="E1081" s="434" t="s">
        <v>1359</v>
      </c>
      <c r="F1081" s="434" t="s">
        <v>488</v>
      </c>
      <c r="G1081" s="593">
        <v>681700</v>
      </c>
      <c r="H1081" s="434" t="s">
        <v>1441</v>
      </c>
      <c r="I1081" s="434" t="s">
        <v>1438</v>
      </c>
    </row>
    <row r="1082" spans="1:9" hidden="1" x14ac:dyDescent="0.4">
      <c r="A1082" s="434">
        <v>3</v>
      </c>
      <c r="B1082" s="434" t="s">
        <v>1657</v>
      </c>
      <c r="C1082" s="434" t="s">
        <v>1436</v>
      </c>
      <c r="D1082" s="434" t="s">
        <v>94</v>
      </c>
      <c r="E1082" s="434" t="s">
        <v>1360</v>
      </c>
      <c r="F1082" s="434" t="s">
        <v>489</v>
      </c>
      <c r="G1082" s="593">
        <v>2272300</v>
      </c>
      <c r="H1082" s="434" t="s">
        <v>1441</v>
      </c>
      <c r="I1082" s="434" t="s">
        <v>1438</v>
      </c>
    </row>
    <row r="1083" spans="1:9" hidden="1" x14ac:dyDescent="0.4">
      <c r="A1083" s="434">
        <v>3</v>
      </c>
      <c r="B1083" s="434" t="s">
        <v>1657</v>
      </c>
      <c r="C1083" s="434" t="s">
        <v>1436</v>
      </c>
      <c r="D1083" s="434" t="s">
        <v>96</v>
      </c>
      <c r="E1083" s="434" t="s">
        <v>1361</v>
      </c>
      <c r="F1083" s="434" t="s">
        <v>490</v>
      </c>
      <c r="G1083" s="593">
        <v>227200</v>
      </c>
      <c r="H1083" s="434" t="s">
        <v>1441</v>
      </c>
      <c r="I1083" s="434" t="s">
        <v>1438</v>
      </c>
    </row>
    <row r="1084" spans="1:9" hidden="1" x14ac:dyDescent="0.4">
      <c r="A1084" s="434">
        <v>3</v>
      </c>
      <c r="B1084" s="434" t="s">
        <v>1657</v>
      </c>
      <c r="C1084" s="434" t="s">
        <v>1436</v>
      </c>
      <c r="D1084" s="434" t="s">
        <v>510</v>
      </c>
      <c r="E1084" s="434" t="s">
        <v>1362</v>
      </c>
      <c r="F1084" s="434" t="s">
        <v>491</v>
      </c>
      <c r="G1084" s="593">
        <v>2463200</v>
      </c>
      <c r="H1084" s="434" t="s">
        <v>1441</v>
      </c>
      <c r="I1084" s="434" t="s">
        <v>1438</v>
      </c>
    </row>
    <row r="1085" spans="1:9" hidden="1" x14ac:dyDescent="0.4">
      <c r="A1085" s="434">
        <v>3</v>
      </c>
      <c r="B1085" s="434" t="s">
        <v>1657</v>
      </c>
      <c r="C1085" s="434" t="s">
        <v>1436</v>
      </c>
      <c r="D1085" s="434" t="s">
        <v>100</v>
      </c>
      <c r="E1085" s="434" t="s">
        <v>1363</v>
      </c>
      <c r="F1085" s="434" t="s">
        <v>491</v>
      </c>
      <c r="G1085" s="593">
        <v>1363400</v>
      </c>
      <c r="H1085" s="434" t="s">
        <v>1441</v>
      </c>
      <c r="I1085" s="434" t="s">
        <v>1438</v>
      </c>
    </row>
    <row r="1086" spans="1:9" hidden="1" x14ac:dyDescent="0.4">
      <c r="A1086" s="434">
        <v>3</v>
      </c>
      <c r="B1086" s="434" t="s">
        <v>1657</v>
      </c>
      <c r="C1086" s="434" t="s">
        <v>1436</v>
      </c>
      <c r="D1086" s="434" t="s">
        <v>101</v>
      </c>
      <c r="E1086" s="434" t="s">
        <v>1364</v>
      </c>
      <c r="F1086" s="434" t="s">
        <v>1135</v>
      </c>
      <c r="G1086" s="593">
        <v>681700</v>
      </c>
      <c r="H1086" s="434" t="s">
        <v>1441</v>
      </c>
      <c r="I1086" s="434" t="s">
        <v>1438</v>
      </c>
    </row>
    <row r="1087" spans="1:9" hidden="1" x14ac:dyDescent="0.4">
      <c r="A1087" s="434">
        <v>3</v>
      </c>
      <c r="B1087" s="434" t="s">
        <v>1657</v>
      </c>
      <c r="C1087" s="434" t="s">
        <v>1439</v>
      </c>
      <c r="D1087" s="434" t="s">
        <v>160</v>
      </c>
      <c r="E1087" s="434" t="s">
        <v>1391</v>
      </c>
      <c r="F1087" s="434" t="s">
        <v>1449</v>
      </c>
      <c r="G1087" s="593">
        <v>310000</v>
      </c>
      <c r="H1087" s="434" t="s">
        <v>534</v>
      </c>
      <c r="I1087" s="434" t="s">
        <v>534</v>
      </c>
    </row>
    <row r="1088" spans="1:9" hidden="1" x14ac:dyDescent="0.4">
      <c r="A1088" s="434">
        <v>3</v>
      </c>
      <c r="B1088" s="434" t="s">
        <v>1658</v>
      </c>
      <c r="C1088" s="434" t="s">
        <v>1485</v>
      </c>
      <c r="D1088" s="434" t="s">
        <v>353</v>
      </c>
      <c r="E1088" s="434" t="s">
        <v>1425</v>
      </c>
      <c r="F1088" s="434" t="s">
        <v>1659</v>
      </c>
      <c r="G1088" s="593">
        <v>411894272</v>
      </c>
      <c r="H1088" s="434" t="s">
        <v>534</v>
      </c>
      <c r="I1088" s="434" t="s">
        <v>534</v>
      </c>
    </row>
    <row r="1089" spans="1:9" hidden="1" x14ac:dyDescent="0.4">
      <c r="A1089" s="434">
        <v>3</v>
      </c>
      <c r="B1089" s="434" t="s">
        <v>1660</v>
      </c>
      <c r="C1089" s="434" t="s">
        <v>1436</v>
      </c>
      <c r="D1089" s="434" t="s">
        <v>72</v>
      </c>
      <c r="E1089" s="434" t="s">
        <v>1348</v>
      </c>
      <c r="F1089" s="434" t="s">
        <v>1437</v>
      </c>
      <c r="G1089" s="593">
        <v>64053100</v>
      </c>
      <c r="H1089" s="434" t="s">
        <v>1441</v>
      </c>
      <c r="I1089" s="434" t="s">
        <v>1438</v>
      </c>
    </row>
    <row r="1090" spans="1:9" hidden="1" x14ac:dyDescent="0.4">
      <c r="A1090" s="434">
        <v>3</v>
      </c>
      <c r="B1090" s="434" t="s">
        <v>1660</v>
      </c>
      <c r="C1090" s="434" t="s">
        <v>1436</v>
      </c>
      <c r="D1090" s="434" t="s">
        <v>73</v>
      </c>
      <c r="E1090" s="434" t="s">
        <v>1349</v>
      </c>
      <c r="F1090" s="434" t="s">
        <v>1564</v>
      </c>
      <c r="G1090" s="593">
        <v>2214300</v>
      </c>
      <c r="H1090" s="434" t="s">
        <v>1441</v>
      </c>
      <c r="I1090" s="434" t="s">
        <v>1438</v>
      </c>
    </row>
    <row r="1091" spans="1:9" hidden="1" x14ac:dyDescent="0.4">
      <c r="A1091" s="434">
        <v>3</v>
      </c>
      <c r="B1091" s="434" t="s">
        <v>1660</v>
      </c>
      <c r="C1091" s="434" t="s">
        <v>1436</v>
      </c>
      <c r="D1091" s="434" t="s">
        <v>76</v>
      </c>
      <c r="E1091" s="434" t="s">
        <v>1352</v>
      </c>
      <c r="F1091" s="434" t="s">
        <v>1661</v>
      </c>
      <c r="G1091" s="593">
        <v>3500000</v>
      </c>
      <c r="H1091" s="434" t="s">
        <v>1441</v>
      </c>
      <c r="I1091" s="434" t="s">
        <v>1438</v>
      </c>
    </row>
    <row r="1092" spans="1:9" hidden="1" x14ac:dyDescent="0.4">
      <c r="A1092" s="434">
        <v>3</v>
      </c>
      <c r="B1092" s="434" t="s">
        <v>1660</v>
      </c>
      <c r="C1092" s="434" t="s">
        <v>1436</v>
      </c>
      <c r="D1092" s="434" t="s">
        <v>80</v>
      </c>
      <c r="E1092" s="434" t="s">
        <v>1332</v>
      </c>
      <c r="F1092" s="434" t="s">
        <v>481</v>
      </c>
      <c r="G1092" s="593">
        <v>6454900</v>
      </c>
      <c r="H1092" s="434" t="s">
        <v>1441</v>
      </c>
      <c r="I1092" s="434" t="s">
        <v>1438</v>
      </c>
    </row>
    <row r="1093" spans="1:9" hidden="1" x14ac:dyDescent="0.4">
      <c r="A1093" s="434">
        <v>3</v>
      </c>
      <c r="B1093" s="434" t="s">
        <v>1660</v>
      </c>
      <c r="C1093" s="434" t="s">
        <v>1436</v>
      </c>
      <c r="D1093" s="434" t="s">
        <v>82</v>
      </c>
      <c r="E1093" s="434" t="s">
        <v>1333</v>
      </c>
      <c r="F1093" s="434" t="s">
        <v>482</v>
      </c>
      <c r="G1093" s="593">
        <v>16286300</v>
      </c>
      <c r="H1093" s="434" t="s">
        <v>1441</v>
      </c>
      <c r="I1093" s="434" t="s">
        <v>1438</v>
      </c>
    </row>
    <row r="1094" spans="1:9" hidden="1" x14ac:dyDescent="0.4">
      <c r="A1094" s="434">
        <v>3</v>
      </c>
      <c r="B1094" s="434" t="s">
        <v>1660</v>
      </c>
      <c r="C1094" s="434" t="s">
        <v>1436</v>
      </c>
      <c r="D1094" s="434" t="s">
        <v>84</v>
      </c>
      <c r="E1094" s="434" t="s">
        <v>1355</v>
      </c>
      <c r="F1094" s="434" t="s">
        <v>483</v>
      </c>
      <c r="G1094" s="593">
        <v>8384600</v>
      </c>
      <c r="H1094" s="434" t="s">
        <v>1441</v>
      </c>
      <c r="I1094" s="434" t="s">
        <v>1438</v>
      </c>
    </row>
    <row r="1095" spans="1:9" hidden="1" x14ac:dyDescent="0.4">
      <c r="A1095" s="434">
        <v>3</v>
      </c>
      <c r="B1095" s="434" t="s">
        <v>1660</v>
      </c>
      <c r="C1095" s="434" t="s">
        <v>1436</v>
      </c>
      <c r="D1095" s="434" t="s">
        <v>86</v>
      </c>
      <c r="E1095" s="434" t="s">
        <v>1356</v>
      </c>
      <c r="F1095" s="434" t="s">
        <v>484</v>
      </c>
      <c r="G1095" s="593">
        <v>7535200</v>
      </c>
      <c r="H1095" s="434" t="s">
        <v>1441</v>
      </c>
      <c r="I1095" s="434" t="s">
        <v>1438</v>
      </c>
    </row>
    <row r="1096" spans="1:9" hidden="1" x14ac:dyDescent="0.4">
      <c r="A1096" s="434">
        <v>3</v>
      </c>
      <c r="B1096" s="434" t="s">
        <v>1660</v>
      </c>
      <c r="C1096" s="434" t="s">
        <v>1436</v>
      </c>
      <c r="D1096" s="434" t="s">
        <v>87</v>
      </c>
      <c r="E1096" s="434" t="s">
        <v>1334</v>
      </c>
      <c r="F1096" s="434" t="s">
        <v>485</v>
      </c>
      <c r="G1096" s="593">
        <v>572800</v>
      </c>
      <c r="H1096" s="434" t="s">
        <v>1441</v>
      </c>
      <c r="I1096" s="434" t="s">
        <v>1438</v>
      </c>
    </row>
    <row r="1097" spans="1:9" hidden="1" x14ac:dyDescent="0.4">
      <c r="A1097" s="434">
        <v>3</v>
      </c>
      <c r="B1097" s="434" t="s">
        <v>1660</v>
      </c>
      <c r="C1097" s="434" t="s">
        <v>1436</v>
      </c>
      <c r="D1097" s="434" t="s">
        <v>90</v>
      </c>
      <c r="E1097" s="434" t="s">
        <v>1357</v>
      </c>
      <c r="F1097" s="434" t="s">
        <v>486</v>
      </c>
      <c r="G1097" s="593">
        <v>9307000</v>
      </c>
      <c r="H1097" s="434" t="s">
        <v>1441</v>
      </c>
      <c r="I1097" s="434" t="s">
        <v>1438</v>
      </c>
    </row>
    <row r="1098" spans="1:9" hidden="1" x14ac:dyDescent="0.4">
      <c r="A1098" s="434">
        <v>3</v>
      </c>
      <c r="B1098" s="434" t="s">
        <v>1660</v>
      </c>
      <c r="C1098" s="434" t="s">
        <v>1436</v>
      </c>
      <c r="D1098" s="434" t="s">
        <v>92</v>
      </c>
      <c r="E1098" s="434" t="s">
        <v>1358</v>
      </c>
      <c r="F1098" s="434" t="s">
        <v>487</v>
      </c>
      <c r="G1098" s="593">
        <v>503000</v>
      </c>
      <c r="H1098" s="434" t="s">
        <v>1441</v>
      </c>
      <c r="I1098" s="434" t="s">
        <v>1438</v>
      </c>
    </row>
    <row r="1099" spans="1:9" hidden="1" x14ac:dyDescent="0.4">
      <c r="A1099" s="434">
        <v>3</v>
      </c>
      <c r="B1099" s="434" t="s">
        <v>1660</v>
      </c>
      <c r="C1099" s="434" t="s">
        <v>1436</v>
      </c>
      <c r="D1099" s="434" t="s">
        <v>93</v>
      </c>
      <c r="E1099" s="434" t="s">
        <v>1359</v>
      </c>
      <c r="F1099" s="434" t="s">
        <v>488</v>
      </c>
      <c r="G1099" s="593">
        <v>1509100</v>
      </c>
      <c r="H1099" s="434" t="s">
        <v>1441</v>
      </c>
      <c r="I1099" s="434" t="s">
        <v>1438</v>
      </c>
    </row>
    <row r="1100" spans="1:9" hidden="1" x14ac:dyDescent="0.4">
      <c r="A1100" s="434">
        <v>3</v>
      </c>
      <c r="B1100" s="434" t="s">
        <v>1660</v>
      </c>
      <c r="C1100" s="434" t="s">
        <v>1436</v>
      </c>
      <c r="D1100" s="434" t="s">
        <v>94</v>
      </c>
      <c r="E1100" s="434" t="s">
        <v>1360</v>
      </c>
      <c r="F1100" s="434" t="s">
        <v>489</v>
      </c>
      <c r="G1100" s="593">
        <v>5030800</v>
      </c>
      <c r="H1100" s="434" t="s">
        <v>1441</v>
      </c>
      <c r="I1100" s="434" t="s">
        <v>1438</v>
      </c>
    </row>
    <row r="1101" spans="1:9" hidden="1" x14ac:dyDescent="0.4">
      <c r="A1101" s="434">
        <v>3</v>
      </c>
      <c r="B1101" s="434" t="s">
        <v>1660</v>
      </c>
      <c r="C1101" s="434" t="s">
        <v>1436</v>
      </c>
      <c r="D1101" s="434" t="s">
        <v>96</v>
      </c>
      <c r="E1101" s="434" t="s">
        <v>1361</v>
      </c>
      <c r="F1101" s="434" t="s">
        <v>490</v>
      </c>
      <c r="G1101" s="593">
        <v>503000</v>
      </c>
      <c r="H1101" s="434" t="s">
        <v>1441</v>
      </c>
      <c r="I1101" s="434" t="s">
        <v>1438</v>
      </c>
    </row>
    <row r="1102" spans="1:9" hidden="1" x14ac:dyDescent="0.4">
      <c r="A1102" s="434">
        <v>3</v>
      </c>
      <c r="B1102" s="434" t="s">
        <v>1660</v>
      </c>
      <c r="C1102" s="434" t="s">
        <v>1436</v>
      </c>
      <c r="D1102" s="434" t="s">
        <v>510</v>
      </c>
      <c r="E1102" s="434" t="s">
        <v>1362</v>
      </c>
      <c r="F1102" s="434" t="s">
        <v>491</v>
      </c>
      <c r="G1102" s="593">
        <v>5453400</v>
      </c>
      <c r="H1102" s="434" t="s">
        <v>1441</v>
      </c>
      <c r="I1102" s="434" t="s">
        <v>1438</v>
      </c>
    </row>
    <row r="1103" spans="1:9" hidden="1" x14ac:dyDescent="0.4">
      <c r="A1103" s="434">
        <v>3</v>
      </c>
      <c r="B1103" s="434" t="s">
        <v>1660</v>
      </c>
      <c r="C1103" s="434" t="s">
        <v>1436</v>
      </c>
      <c r="D1103" s="434" t="s">
        <v>100</v>
      </c>
      <c r="E1103" s="434" t="s">
        <v>1363</v>
      </c>
      <c r="F1103" s="434" t="s">
        <v>491</v>
      </c>
      <c r="G1103" s="593">
        <v>3018600</v>
      </c>
      <c r="H1103" s="434" t="s">
        <v>1441</v>
      </c>
      <c r="I1103" s="434" t="s">
        <v>1438</v>
      </c>
    </row>
    <row r="1104" spans="1:9" hidden="1" x14ac:dyDescent="0.4">
      <c r="A1104" s="434">
        <v>3</v>
      </c>
      <c r="B1104" s="434" t="s">
        <v>1660</v>
      </c>
      <c r="C1104" s="434" t="s">
        <v>1436</v>
      </c>
      <c r="D1104" s="434" t="s">
        <v>101</v>
      </c>
      <c r="E1104" s="434" t="s">
        <v>1364</v>
      </c>
      <c r="F1104" s="434" t="s">
        <v>1135</v>
      </c>
      <c r="G1104" s="593">
        <v>1509100</v>
      </c>
      <c r="H1104" s="434" t="s">
        <v>1441</v>
      </c>
      <c r="I1104" s="434" t="s">
        <v>1438</v>
      </c>
    </row>
    <row r="1105" spans="1:9" hidden="1" x14ac:dyDescent="0.4">
      <c r="A1105" s="434">
        <v>3</v>
      </c>
      <c r="B1105" s="434" t="s">
        <v>1660</v>
      </c>
      <c r="C1105" s="434" t="s">
        <v>1439</v>
      </c>
      <c r="D1105" s="434" t="s">
        <v>160</v>
      </c>
      <c r="E1105" s="434" t="s">
        <v>1391</v>
      </c>
      <c r="F1105" s="434" t="s">
        <v>1449</v>
      </c>
      <c r="G1105" s="593">
        <v>690300</v>
      </c>
      <c r="H1105" s="434" t="s">
        <v>534</v>
      </c>
      <c r="I1105" s="434" t="s">
        <v>534</v>
      </c>
    </row>
    <row r="1106" spans="1:9" hidden="1" x14ac:dyDescent="0.4">
      <c r="A1106" s="434">
        <v>3</v>
      </c>
      <c r="B1106" s="434" t="s">
        <v>1662</v>
      </c>
      <c r="C1106" s="434" t="s">
        <v>1436</v>
      </c>
      <c r="D1106" s="434" t="s">
        <v>72</v>
      </c>
      <c r="E1106" s="434" t="s">
        <v>1348</v>
      </c>
      <c r="F1106" s="434" t="s">
        <v>1437</v>
      </c>
      <c r="G1106" s="593">
        <v>288000</v>
      </c>
      <c r="H1106" s="434" t="s">
        <v>1441</v>
      </c>
      <c r="I1106" s="434" t="s">
        <v>1438</v>
      </c>
    </row>
    <row r="1107" spans="1:9" hidden="1" x14ac:dyDescent="0.4">
      <c r="A1107" s="434">
        <v>3</v>
      </c>
      <c r="B1107" s="434" t="s">
        <v>1662</v>
      </c>
      <c r="C1107" s="434" t="s">
        <v>1436</v>
      </c>
      <c r="D1107" s="434" t="s">
        <v>73</v>
      </c>
      <c r="E1107" s="434" t="s">
        <v>1349</v>
      </c>
      <c r="F1107" s="434" t="s">
        <v>1564</v>
      </c>
      <c r="G1107" s="593">
        <v>45428500</v>
      </c>
      <c r="H1107" s="434" t="s">
        <v>1441</v>
      </c>
      <c r="I1107" s="434" t="s">
        <v>1438</v>
      </c>
    </row>
    <row r="1108" spans="1:9" hidden="1" x14ac:dyDescent="0.4">
      <c r="A1108" s="434">
        <v>3</v>
      </c>
      <c r="B1108" s="434" t="s">
        <v>1662</v>
      </c>
      <c r="C1108" s="434" t="s">
        <v>1436</v>
      </c>
      <c r="D1108" s="434" t="s">
        <v>76</v>
      </c>
      <c r="E1108" s="434" t="s">
        <v>1352</v>
      </c>
      <c r="F1108" s="434" t="s">
        <v>1056</v>
      </c>
      <c r="G1108" s="593">
        <v>2000000</v>
      </c>
      <c r="H1108" s="434" t="s">
        <v>1441</v>
      </c>
      <c r="I1108" s="434" t="s">
        <v>1438</v>
      </c>
    </row>
    <row r="1109" spans="1:9" hidden="1" x14ac:dyDescent="0.4">
      <c r="A1109" s="434">
        <v>3</v>
      </c>
      <c r="B1109" s="434" t="s">
        <v>1662</v>
      </c>
      <c r="C1109" s="434" t="s">
        <v>1436</v>
      </c>
      <c r="D1109" s="434" t="s">
        <v>80</v>
      </c>
      <c r="E1109" s="434" t="s">
        <v>1332</v>
      </c>
      <c r="F1109" s="434" t="s">
        <v>481</v>
      </c>
      <c r="G1109" s="593">
        <v>2498700</v>
      </c>
      <c r="H1109" s="434" t="s">
        <v>1441</v>
      </c>
      <c r="I1109" s="434" t="s">
        <v>1438</v>
      </c>
    </row>
    <row r="1110" spans="1:9" hidden="1" x14ac:dyDescent="0.4">
      <c r="A1110" s="434">
        <v>3</v>
      </c>
      <c r="B1110" s="434" t="s">
        <v>1662</v>
      </c>
      <c r="C1110" s="434" t="s">
        <v>1436</v>
      </c>
      <c r="D1110" s="434" t="s">
        <v>82</v>
      </c>
      <c r="E1110" s="434" t="s">
        <v>1333</v>
      </c>
      <c r="F1110" s="434" t="s">
        <v>482</v>
      </c>
      <c r="G1110" s="593">
        <v>8972100</v>
      </c>
      <c r="H1110" s="434" t="s">
        <v>1441</v>
      </c>
      <c r="I1110" s="434" t="s">
        <v>1438</v>
      </c>
    </row>
    <row r="1111" spans="1:9" hidden="1" x14ac:dyDescent="0.4">
      <c r="A1111" s="434">
        <v>3</v>
      </c>
      <c r="B1111" s="434" t="s">
        <v>1662</v>
      </c>
      <c r="C1111" s="434" t="s">
        <v>1436</v>
      </c>
      <c r="D1111" s="434" t="s">
        <v>84</v>
      </c>
      <c r="E1111" s="434" t="s">
        <v>1355</v>
      </c>
      <c r="F1111" s="434" t="s">
        <v>483</v>
      </c>
      <c r="G1111" s="593">
        <v>5340400</v>
      </c>
      <c r="H1111" s="434" t="s">
        <v>1441</v>
      </c>
      <c r="I1111" s="434" t="s">
        <v>1438</v>
      </c>
    </row>
    <row r="1112" spans="1:9" hidden="1" x14ac:dyDescent="0.4">
      <c r="A1112" s="434">
        <v>3</v>
      </c>
      <c r="B1112" s="434" t="s">
        <v>1662</v>
      </c>
      <c r="C1112" s="434" t="s">
        <v>1436</v>
      </c>
      <c r="D1112" s="434" t="s">
        <v>86</v>
      </c>
      <c r="E1112" s="434" t="s">
        <v>1356</v>
      </c>
      <c r="F1112" s="434" t="s">
        <v>484</v>
      </c>
      <c r="G1112" s="593">
        <v>4898200</v>
      </c>
      <c r="H1112" s="434" t="s">
        <v>1441</v>
      </c>
      <c r="I1112" s="434" t="s">
        <v>1438</v>
      </c>
    </row>
    <row r="1113" spans="1:9" hidden="1" x14ac:dyDescent="0.4">
      <c r="A1113" s="434">
        <v>3</v>
      </c>
      <c r="B1113" s="434" t="s">
        <v>1662</v>
      </c>
      <c r="C1113" s="434" t="s">
        <v>1436</v>
      </c>
      <c r="D1113" s="434" t="s">
        <v>90</v>
      </c>
      <c r="E1113" s="434" t="s">
        <v>1357</v>
      </c>
      <c r="F1113" s="434" t="s">
        <v>486</v>
      </c>
      <c r="G1113" s="593">
        <v>5927900</v>
      </c>
      <c r="H1113" s="434" t="s">
        <v>1441</v>
      </c>
      <c r="I1113" s="434" t="s">
        <v>1438</v>
      </c>
    </row>
    <row r="1114" spans="1:9" hidden="1" x14ac:dyDescent="0.4">
      <c r="A1114" s="434">
        <v>3</v>
      </c>
      <c r="B1114" s="434" t="s">
        <v>1662</v>
      </c>
      <c r="C1114" s="434" t="s">
        <v>1436</v>
      </c>
      <c r="D1114" s="434" t="s">
        <v>92</v>
      </c>
      <c r="E1114" s="434" t="s">
        <v>1358</v>
      </c>
      <c r="F1114" s="434" t="s">
        <v>487</v>
      </c>
      <c r="G1114" s="593">
        <v>320400</v>
      </c>
      <c r="H1114" s="434" t="s">
        <v>1441</v>
      </c>
      <c r="I1114" s="434" t="s">
        <v>1438</v>
      </c>
    </row>
    <row r="1115" spans="1:9" hidden="1" x14ac:dyDescent="0.4">
      <c r="A1115" s="434">
        <v>3</v>
      </c>
      <c r="B1115" s="434" t="s">
        <v>1662</v>
      </c>
      <c r="C1115" s="434" t="s">
        <v>1436</v>
      </c>
      <c r="D1115" s="434" t="s">
        <v>93</v>
      </c>
      <c r="E1115" s="434" t="s">
        <v>1359</v>
      </c>
      <c r="F1115" s="434" t="s">
        <v>1663</v>
      </c>
      <c r="G1115" s="593">
        <v>961300</v>
      </c>
      <c r="H1115" s="434" t="s">
        <v>1441</v>
      </c>
      <c r="I1115" s="434" t="s">
        <v>1438</v>
      </c>
    </row>
    <row r="1116" spans="1:9" hidden="1" x14ac:dyDescent="0.4">
      <c r="A1116" s="434">
        <v>3</v>
      </c>
      <c r="B1116" s="434" t="s">
        <v>1662</v>
      </c>
      <c r="C1116" s="434" t="s">
        <v>1436</v>
      </c>
      <c r="D1116" s="434" t="s">
        <v>94</v>
      </c>
      <c r="E1116" s="434" t="s">
        <v>1360</v>
      </c>
      <c r="F1116" s="434" t="s">
        <v>489</v>
      </c>
      <c r="G1116" s="593">
        <v>3204300</v>
      </c>
      <c r="H1116" s="434" t="s">
        <v>1441</v>
      </c>
      <c r="I1116" s="434" t="s">
        <v>1438</v>
      </c>
    </row>
    <row r="1117" spans="1:9" hidden="1" x14ac:dyDescent="0.4">
      <c r="A1117" s="434">
        <v>3</v>
      </c>
      <c r="B1117" s="434" t="s">
        <v>1662</v>
      </c>
      <c r="C1117" s="434" t="s">
        <v>1436</v>
      </c>
      <c r="D1117" s="434" t="s">
        <v>96</v>
      </c>
      <c r="E1117" s="434" t="s">
        <v>1361</v>
      </c>
      <c r="F1117" s="434" t="s">
        <v>490</v>
      </c>
      <c r="G1117" s="593">
        <v>320400</v>
      </c>
      <c r="H1117" s="434" t="s">
        <v>1441</v>
      </c>
      <c r="I1117" s="434" t="s">
        <v>1438</v>
      </c>
    </row>
    <row r="1118" spans="1:9" hidden="1" x14ac:dyDescent="0.4">
      <c r="A1118" s="434">
        <v>3</v>
      </c>
      <c r="B1118" s="434" t="s">
        <v>1662</v>
      </c>
      <c r="C1118" s="434" t="s">
        <v>1436</v>
      </c>
      <c r="D1118" s="434" t="s">
        <v>510</v>
      </c>
      <c r="E1118" s="434" t="s">
        <v>1362</v>
      </c>
      <c r="F1118" s="434" t="s">
        <v>491</v>
      </c>
      <c r="G1118" s="593">
        <v>3473400</v>
      </c>
      <c r="H1118" s="434" t="s">
        <v>1441</v>
      </c>
      <c r="I1118" s="434" t="s">
        <v>1438</v>
      </c>
    </row>
    <row r="1119" spans="1:9" hidden="1" x14ac:dyDescent="0.4">
      <c r="A1119" s="434">
        <v>3</v>
      </c>
      <c r="B1119" s="434" t="s">
        <v>1662</v>
      </c>
      <c r="C1119" s="434" t="s">
        <v>1436</v>
      </c>
      <c r="D1119" s="434" t="s">
        <v>100</v>
      </c>
      <c r="E1119" s="434" t="s">
        <v>1363</v>
      </c>
      <c r="F1119" s="434" t="s">
        <v>491</v>
      </c>
      <c r="G1119" s="593">
        <v>1922600</v>
      </c>
      <c r="H1119" s="434" t="s">
        <v>1441</v>
      </c>
      <c r="I1119" s="434" t="s">
        <v>1438</v>
      </c>
    </row>
    <row r="1120" spans="1:9" hidden="1" x14ac:dyDescent="0.4">
      <c r="A1120" s="434">
        <v>3</v>
      </c>
      <c r="B1120" s="434" t="s">
        <v>1662</v>
      </c>
      <c r="C1120" s="434" t="s">
        <v>1436</v>
      </c>
      <c r="D1120" s="434" t="s">
        <v>101</v>
      </c>
      <c r="E1120" s="434" t="s">
        <v>1364</v>
      </c>
      <c r="F1120" s="434" t="s">
        <v>1135</v>
      </c>
      <c r="G1120" s="593">
        <v>961300</v>
      </c>
      <c r="H1120" s="434" t="s">
        <v>1441</v>
      </c>
      <c r="I1120" s="434" t="s">
        <v>1438</v>
      </c>
    </row>
    <row r="1121" spans="1:9" hidden="1" x14ac:dyDescent="0.4">
      <c r="A1121" s="434">
        <v>3</v>
      </c>
      <c r="B1121" s="434" t="s">
        <v>1662</v>
      </c>
      <c r="C1121" s="434" t="s">
        <v>1439</v>
      </c>
      <c r="D1121" s="434" t="s">
        <v>160</v>
      </c>
      <c r="E1121" s="434" t="s">
        <v>1391</v>
      </c>
      <c r="F1121" s="434" t="s">
        <v>1449</v>
      </c>
      <c r="G1121" s="593">
        <v>442200</v>
      </c>
      <c r="H1121" s="434" t="s">
        <v>534</v>
      </c>
      <c r="I1121" s="434" t="s">
        <v>534</v>
      </c>
    </row>
    <row r="1122" spans="1:9" hidden="1" x14ac:dyDescent="0.4">
      <c r="A1122" s="434">
        <v>3</v>
      </c>
      <c r="B1122" s="434" t="s">
        <v>1662</v>
      </c>
      <c r="C1122" s="434" t="s">
        <v>1498</v>
      </c>
      <c r="D1122" s="434" t="s">
        <v>197</v>
      </c>
      <c r="E1122" s="434" t="s">
        <v>1406</v>
      </c>
      <c r="F1122" s="434"/>
      <c r="G1122" s="593">
        <v>320000</v>
      </c>
      <c r="H1122" s="434" t="s">
        <v>1441</v>
      </c>
      <c r="I1122" s="434" t="s">
        <v>1438</v>
      </c>
    </row>
    <row r="1123" spans="1:9" hidden="1" x14ac:dyDescent="0.4">
      <c r="A1123" s="434">
        <v>3</v>
      </c>
      <c r="B1123" s="434" t="s">
        <v>1662</v>
      </c>
      <c r="C1123" s="434" t="s">
        <v>1498</v>
      </c>
      <c r="D1123" s="434" t="s">
        <v>218</v>
      </c>
      <c r="E1123" s="434" t="s">
        <v>1410</v>
      </c>
      <c r="F1123" s="434"/>
      <c r="G1123" s="593">
        <v>42000</v>
      </c>
      <c r="H1123" s="434" t="s">
        <v>1441</v>
      </c>
      <c r="I1123" s="434" t="s">
        <v>1438</v>
      </c>
    </row>
    <row r="1124" spans="1:9" hidden="1" x14ac:dyDescent="0.4">
      <c r="A1124" s="434">
        <v>3</v>
      </c>
      <c r="B1124" s="434" t="s">
        <v>1664</v>
      </c>
      <c r="C1124" s="434" t="s">
        <v>1436</v>
      </c>
      <c r="D1124" s="434" t="s">
        <v>73</v>
      </c>
      <c r="E1124" s="434" t="s">
        <v>1349</v>
      </c>
      <c r="F1124" s="434" t="s">
        <v>1564</v>
      </c>
      <c r="G1124" s="593">
        <v>151500</v>
      </c>
      <c r="H1124" s="434" t="s">
        <v>1441</v>
      </c>
      <c r="I1124" s="434" t="s">
        <v>1438</v>
      </c>
    </row>
    <row r="1125" spans="1:9" hidden="1" x14ac:dyDescent="0.4">
      <c r="A1125" s="434">
        <v>3</v>
      </c>
      <c r="B1125" s="434" t="s">
        <v>1664</v>
      </c>
      <c r="C1125" s="434" t="s">
        <v>1436</v>
      </c>
      <c r="D1125" s="434" t="s">
        <v>82</v>
      </c>
      <c r="E1125" s="434" t="s">
        <v>1333</v>
      </c>
      <c r="F1125" s="434" t="s">
        <v>482</v>
      </c>
      <c r="G1125" s="593">
        <v>7400</v>
      </c>
      <c r="H1125" s="434" t="s">
        <v>1441</v>
      </c>
      <c r="I1125" s="434" t="s">
        <v>1438</v>
      </c>
    </row>
    <row r="1126" spans="1:9" hidden="1" x14ac:dyDescent="0.4">
      <c r="A1126" s="434">
        <v>3</v>
      </c>
      <c r="B1126" s="434" t="s">
        <v>1664</v>
      </c>
      <c r="C1126" s="434" t="s">
        <v>1436</v>
      </c>
      <c r="D1126" s="434" t="s">
        <v>84</v>
      </c>
      <c r="E1126" s="434" t="s">
        <v>1355</v>
      </c>
      <c r="F1126" s="434" t="s">
        <v>483</v>
      </c>
      <c r="G1126" s="593">
        <v>14300</v>
      </c>
      <c r="H1126" s="434" t="s">
        <v>1441</v>
      </c>
      <c r="I1126" s="434" t="s">
        <v>1438</v>
      </c>
    </row>
    <row r="1127" spans="1:9" hidden="1" x14ac:dyDescent="0.4">
      <c r="A1127" s="434">
        <v>3</v>
      </c>
      <c r="B1127" s="434" t="s">
        <v>1664</v>
      </c>
      <c r="C1127" s="434" t="s">
        <v>1436</v>
      </c>
      <c r="D1127" s="434" t="s">
        <v>86</v>
      </c>
      <c r="E1127" s="434" t="s">
        <v>1356</v>
      </c>
      <c r="F1127" s="434" t="s">
        <v>484</v>
      </c>
      <c r="G1127" s="593">
        <v>13200</v>
      </c>
      <c r="H1127" s="434" t="s">
        <v>1441</v>
      </c>
      <c r="I1127" s="434" t="s">
        <v>1438</v>
      </c>
    </row>
    <row r="1128" spans="1:9" hidden="1" x14ac:dyDescent="0.4">
      <c r="A1128" s="434">
        <v>3</v>
      </c>
      <c r="B1128" s="434" t="s">
        <v>1664</v>
      </c>
      <c r="C1128" s="434" t="s">
        <v>1436</v>
      </c>
      <c r="D1128" s="434" t="s">
        <v>90</v>
      </c>
      <c r="E1128" s="434" t="s">
        <v>1357</v>
      </c>
      <c r="F1128" s="434" t="s">
        <v>486</v>
      </c>
      <c r="G1128" s="593">
        <v>15900</v>
      </c>
      <c r="H1128" s="434" t="s">
        <v>1441</v>
      </c>
      <c r="I1128" s="434" t="s">
        <v>1438</v>
      </c>
    </row>
    <row r="1129" spans="1:9" hidden="1" x14ac:dyDescent="0.4">
      <c r="A1129" s="434">
        <v>3</v>
      </c>
      <c r="B1129" s="434" t="s">
        <v>1664</v>
      </c>
      <c r="C1129" s="434" t="s">
        <v>1436</v>
      </c>
      <c r="D1129" s="434" t="s">
        <v>92</v>
      </c>
      <c r="E1129" s="434" t="s">
        <v>1358</v>
      </c>
      <c r="F1129" s="434" t="s">
        <v>487</v>
      </c>
      <c r="G1129" s="593">
        <v>900</v>
      </c>
      <c r="H1129" s="434" t="s">
        <v>1441</v>
      </c>
      <c r="I1129" s="434" t="s">
        <v>1438</v>
      </c>
    </row>
    <row r="1130" spans="1:9" hidden="1" x14ac:dyDescent="0.4">
      <c r="A1130" s="434">
        <v>3</v>
      </c>
      <c r="B1130" s="434" t="s">
        <v>1664</v>
      </c>
      <c r="C1130" s="434" t="s">
        <v>1436</v>
      </c>
      <c r="D1130" s="434" t="s">
        <v>93</v>
      </c>
      <c r="E1130" s="434" t="s">
        <v>1359</v>
      </c>
      <c r="F1130" s="434" t="s">
        <v>488</v>
      </c>
      <c r="G1130" s="593">
        <v>2600</v>
      </c>
      <c r="H1130" s="434" t="s">
        <v>1441</v>
      </c>
      <c r="I1130" s="434" t="s">
        <v>1438</v>
      </c>
    </row>
    <row r="1131" spans="1:9" hidden="1" x14ac:dyDescent="0.4">
      <c r="A1131" s="434">
        <v>3</v>
      </c>
      <c r="B1131" s="434" t="s">
        <v>1664</v>
      </c>
      <c r="C1131" s="434" t="s">
        <v>1436</v>
      </c>
      <c r="D1131" s="434" t="s">
        <v>94</v>
      </c>
      <c r="E1131" s="434" t="s">
        <v>1360</v>
      </c>
      <c r="F1131" s="434" t="s">
        <v>489</v>
      </c>
      <c r="G1131" s="593">
        <v>8600</v>
      </c>
      <c r="H1131" s="434" t="s">
        <v>1441</v>
      </c>
      <c r="I1131" s="434" t="s">
        <v>1438</v>
      </c>
    </row>
    <row r="1132" spans="1:9" hidden="1" x14ac:dyDescent="0.4">
      <c r="A1132" s="434">
        <v>3</v>
      </c>
      <c r="B1132" s="434" t="s">
        <v>1664</v>
      </c>
      <c r="C1132" s="434" t="s">
        <v>1436</v>
      </c>
      <c r="D1132" s="434" t="s">
        <v>96</v>
      </c>
      <c r="E1132" s="434" t="s">
        <v>1361</v>
      </c>
      <c r="F1132" s="434" t="s">
        <v>490</v>
      </c>
      <c r="G1132" s="593">
        <v>900</v>
      </c>
      <c r="H1132" s="434" t="s">
        <v>1441</v>
      </c>
      <c r="I1132" s="434" t="s">
        <v>1438</v>
      </c>
    </row>
    <row r="1133" spans="1:9" hidden="1" x14ac:dyDescent="0.4">
      <c r="A1133" s="434">
        <v>3</v>
      </c>
      <c r="B1133" s="434" t="s">
        <v>1664</v>
      </c>
      <c r="C1133" s="434" t="s">
        <v>1436</v>
      </c>
      <c r="D1133" s="434" t="s">
        <v>510</v>
      </c>
      <c r="E1133" s="434" t="s">
        <v>1362</v>
      </c>
      <c r="F1133" s="434" t="s">
        <v>491</v>
      </c>
      <c r="G1133" s="593">
        <v>9300</v>
      </c>
      <c r="H1133" s="434" t="s">
        <v>1441</v>
      </c>
      <c r="I1133" s="434" t="s">
        <v>1438</v>
      </c>
    </row>
    <row r="1134" spans="1:9" hidden="1" x14ac:dyDescent="0.4">
      <c r="A1134" s="434">
        <v>3</v>
      </c>
      <c r="B1134" s="434" t="s">
        <v>1664</v>
      </c>
      <c r="C1134" s="434" t="s">
        <v>1436</v>
      </c>
      <c r="D1134" s="434" t="s">
        <v>100</v>
      </c>
      <c r="E1134" s="434" t="s">
        <v>1363</v>
      </c>
      <c r="F1134" s="434" t="s">
        <v>491</v>
      </c>
      <c r="G1134" s="593">
        <v>5100</v>
      </c>
      <c r="H1134" s="434" t="s">
        <v>1441</v>
      </c>
      <c r="I1134" s="434" t="s">
        <v>1438</v>
      </c>
    </row>
    <row r="1135" spans="1:9" hidden="1" x14ac:dyDescent="0.4">
      <c r="A1135" s="434">
        <v>3</v>
      </c>
      <c r="B1135" s="434" t="s">
        <v>1664</v>
      </c>
      <c r="C1135" s="434" t="s">
        <v>1436</v>
      </c>
      <c r="D1135" s="434" t="s">
        <v>101</v>
      </c>
      <c r="E1135" s="434" t="s">
        <v>1364</v>
      </c>
      <c r="F1135" s="434" t="s">
        <v>1135</v>
      </c>
      <c r="G1135" s="593">
        <v>2600</v>
      </c>
      <c r="H1135" s="434" t="s">
        <v>1441</v>
      </c>
      <c r="I1135" s="434" t="s">
        <v>1438</v>
      </c>
    </row>
    <row r="1136" spans="1:9" x14ac:dyDescent="0.4">
      <c r="A1136" s="434">
        <v>3</v>
      </c>
      <c r="B1136" s="434" t="s">
        <v>1664</v>
      </c>
      <c r="C1136" s="434" t="s">
        <v>1439</v>
      </c>
      <c r="D1136" s="434" t="s">
        <v>326</v>
      </c>
      <c r="E1136" s="434" t="s">
        <v>1373</v>
      </c>
      <c r="F1136" s="434" t="s">
        <v>1455</v>
      </c>
      <c r="G1136" s="593">
        <v>18300</v>
      </c>
      <c r="H1136" s="434" t="s">
        <v>534</v>
      </c>
      <c r="I1136" s="434" t="s">
        <v>534</v>
      </c>
    </row>
    <row r="1137" spans="1:9" hidden="1" x14ac:dyDescent="0.4">
      <c r="A1137" s="434">
        <v>3</v>
      </c>
      <c r="B1137" s="434" t="s">
        <v>1664</v>
      </c>
      <c r="C1137" s="434" t="s">
        <v>1439</v>
      </c>
      <c r="D1137" s="434" t="s">
        <v>160</v>
      </c>
      <c r="E1137" s="434" t="s">
        <v>1391</v>
      </c>
      <c r="F1137" s="434" t="s">
        <v>1449</v>
      </c>
      <c r="G1137" s="593">
        <v>1200</v>
      </c>
      <c r="H1137" s="434" t="s">
        <v>534</v>
      </c>
      <c r="I1137" s="434" t="s">
        <v>534</v>
      </c>
    </row>
    <row r="1138" spans="1:9" hidden="1" x14ac:dyDescent="0.4">
      <c r="A1138" s="434">
        <v>3</v>
      </c>
      <c r="B1138" s="434" t="s">
        <v>1665</v>
      </c>
      <c r="C1138" s="434" t="s">
        <v>1436</v>
      </c>
      <c r="D1138" s="434" t="s">
        <v>72</v>
      </c>
      <c r="E1138" s="434" t="s">
        <v>1348</v>
      </c>
      <c r="F1138" s="434" t="s">
        <v>1437</v>
      </c>
      <c r="G1138" s="593">
        <v>89970700</v>
      </c>
      <c r="H1138" s="434" t="s">
        <v>1441</v>
      </c>
      <c r="I1138" s="434" t="s">
        <v>1438</v>
      </c>
    </row>
    <row r="1139" spans="1:9" hidden="1" x14ac:dyDescent="0.4">
      <c r="A1139" s="434">
        <v>3</v>
      </c>
      <c r="B1139" s="434" t="s">
        <v>1665</v>
      </c>
      <c r="C1139" s="434" t="s">
        <v>1436</v>
      </c>
      <c r="D1139" s="434" t="s">
        <v>73</v>
      </c>
      <c r="E1139" s="434" t="s">
        <v>1349</v>
      </c>
      <c r="F1139" s="434" t="s">
        <v>1564</v>
      </c>
      <c r="G1139" s="593">
        <v>3450000</v>
      </c>
      <c r="H1139" s="434" t="s">
        <v>1441</v>
      </c>
      <c r="I1139" s="434" t="s">
        <v>1438</v>
      </c>
    </row>
    <row r="1140" spans="1:9" hidden="1" x14ac:dyDescent="0.4">
      <c r="A1140" s="434">
        <v>3</v>
      </c>
      <c r="B1140" s="434" t="s">
        <v>1665</v>
      </c>
      <c r="C1140" s="434" t="s">
        <v>1436</v>
      </c>
      <c r="D1140" s="434" t="s">
        <v>80</v>
      </c>
      <c r="E1140" s="434" t="s">
        <v>1332</v>
      </c>
      <c r="F1140" s="434" t="s">
        <v>481</v>
      </c>
      <c r="G1140" s="593">
        <v>4621900</v>
      </c>
      <c r="H1140" s="434" t="s">
        <v>1441</v>
      </c>
      <c r="I1140" s="434" t="s">
        <v>1438</v>
      </c>
    </row>
    <row r="1141" spans="1:9" hidden="1" x14ac:dyDescent="0.4">
      <c r="A1141" s="434">
        <v>3</v>
      </c>
      <c r="B1141" s="434" t="s">
        <v>1665</v>
      </c>
      <c r="C1141" s="434" t="s">
        <v>1436</v>
      </c>
      <c r="D1141" s="434" t="s">
        <v>82</v>
      </c>
      <c r="E1141" s="434" t="s">
        <v>1333</v>
      </c>
      <c r="F1141" s="434" t="s">
        <v>482</v>
      </c>
      <c r="G1141" s="593">
        <v>6286000</v>
      </c>
      <c r="H1141" s="434" t="s">
        <v>1441</v>
      </c>
      <c r="I1141" s="434" t="s">
        <v>1438</v>
      </c>
    </row>
    <row r="1142" spans="1:9" hidden="1" x14ac:dyDescent="0.4">
      <c r="A1142" s="434">
        <v>3</v>
      </c>
      <c r="B1142" s="434" t="s">
        <v>1665</v>
      </c>
      <c r="C1142" s="434" t="s">
        <v>1436</v>
      </c>
      <c r="D1142" s="434" t="s">
        <v>84</v>
      </c>
      <c r="E1142" s="434" t="s">
        <v>1355</v>
      </c>
      <c r="F1142" s="434" t="s">
        <v>483</v>
      </c>
      <c r="G1142" s="593">
        <v>9477200</v>
      </c>
      <c r="H1142" s="434" t="s">
        <v>1441</v>
      </c>
      <c r="I1142" s="434" t="s">
        <v>1438</v>
      </c>
    </row>
    <row r="1143" spans="1:9" hidden="1" x14ac:dyDescent="0.4">
      <c r="A1143" s="434">
        <v>3</v>
      </c>
      <c r="B1143" s="434" t="s">
        <v>1665</v>
      </c>
      <c r="C1143" s="434" t="s">
        <v>1436</v>
      </c>
      <c r="D1143" s="434" t="s">
        <v>86</v>
      </c>
      <c r="E1143" s="434" t="s">
        <v>1356</v>
      </c>
      <c r="F1143" s="434" t="s">
        <v>484</v>
      </c>
      <c r="G1143" s="593">
        <v>8525300</v>
      </c>
      <c r="H1143" s="434" t="s">
        <v>1441</v>
      </c>
      <c r="I1143" s="434" t="s">
        <v>1438</v>
      </c>
    </row>
    <row r="1144" spans="1:9" hidden="1" x14ac:dyDescent="0.4">
      <c r="A1144" s="434">
        <v>3</v>
      </c>
      <c r="B1144" s="434" t="s">
        <v>1665</v>
      </c>
      <c r="C1144" s="434" t="s">
        <v>1436</v>
      </c>
      <c r="D1144" s="434" t="s">
        <v>87</v>
      </c>
      <c r="E1144" s="434" t="s">
        <v>1334</v>
      </c>
      <c r="F1144" s="434" t="s">
        <v>485</v>
      </c>
      <c r="G1144" s="593">
        <v>872800</v>
      </c>
      <c r="H1144" s="434" t="s">
        <v>1441</v>
      </c>
      <c r="I1144" s="434" t="s">
        <v>1438</v>
      </c>
    </row>
    <row r="1145" spans="1:9" hidden="1" x14ac:dyDescent="0.4">
      <c r="A1145" s="434">
        <v>3</v>
      </c>
      <c r="B1145" s="434" t="s">
        <v>1665</v>
      </c>
      <c r="C1145" s="434" t="s">
        <v>1436</v>
      </c>
      <c r="D1145" s="434" t="s">
        <v>90</v>
      </c>
      <c r="E1145" s="434" t="s">
        <v>1357</v>
      </c>
      <c r="F1145" s="434" t="s">
        <v>486</v>
      </c>
      <c r="G1145" s="593">
        <v>10519700</v>
      </c>
      <c r="H1145" s="434" t="s">
        <v>1441</v>
      </c>
      <c r="I1145" s="434" t="s">
        <v>1438</v>
      </c>
    </row>
    <row r="1146" spans="1:9" hidden="1" x14ac:dyDescent="0.4">
      <c r="A1146" s="434">
        <v>3</v>
      </c>
      <c r="B1146" s="434" t="s">
        <v>1665</v>
      </c>
      <c r="C1146" s="434" t="s">
        <v>1436</v>
      </c>
      <c r="D1146" s="434" t="s">
        <v>92</v>
      </c>
      <c r="E1146" s="434" t="s">
        <v>1358</v>
      </c>
      <c r="F1146" s="434" t="s">
        <v>487</v>
      </c>
      <c r="G1146" s="593">
        <v>568600</v>
      </c>
      <c r="H1146" s="434" t="s">
        <v>1441</v>
      </c>
      <c r="I1146" s="434" t="s">
        <v>1438</v>
      </c>
    </row>
    <row r="1147" spans="1:9" hidden="1" x14ac:dyDescent="0.4">
      <c r="A1147" s="434">
        <v>3</v>
      </c>
      <c r="B1147" s="434" t="s">
        <v>1665</v>
      </c>
      <c r="C1147" s="434" t="s">
        <v>1436</v>
      </c>
      <c r="D1147" s="434" t="s">
        <v>93</v>
      </c>
      <c r="E1147" s="434" t="s">
        <v>1359</v>
      </c>
      <c r="F1147" s="434" t="s">
        <v>488</v>
      </c>
      <c r="G1147" s="593">
        <v>1705900</v>
      </c>
      <c r="H1147" s="434" t="s">
        <v>1441</v>
      </c>
      <c r="I1147" s="434" t="s">
        <v>1438</v>
      </c>
    </row>
    <row r="1148" spans="1:9" hidden="1" x14ac:dyDescent="0.4">
      <c r="A1148" s="434">
        <v>3</v>
      </c>
      <c r="B1148" s="434" t="s">
        <v>1665</v>
      </c>
      <c r="C1148" s="434" t="s">
        <v>1436</v>
      </c>
      <c r="D1148" s="434" t="s">
        <v>94</v>
      </c>
      <c r="E1148" s="434" t="s">
        <v>1360</v>
      </c>
      <c r="F1148" s="434" t="s">
        <v>489</v>
      </c>
      <c r="G1148" s="593">
        <v>5686300</v>
      </c>
      <c r="H1148" s="434" t="s">
        <v>1441</v>
      </c>
      <c r="I1148" s="434" t="s">
        <v>1438</v>
      </c>
    </row>
    <row r="1149" spans="1:9" hidden="1" x14ac:dyDescent="0.4">
      <c r="A1149" s="434">
        <v>3</v>
      </c>
      <c r="B1149" s="434" t="s">
        <v>1665</v>
      </c>
      <c r="C1149" s="434" t="s">
        <v>1436</v>
      </c>
      <c r="D1149" s="434" t="s">
        <v>96</v>
      </c>
      <c r="E1149" s="434" t="s">
        <v>1361</v>
      </c>
      <c r="F1149" s="434" t="s">
        <v>490</v>
      </c>
      <c r="G1149" s="593">
        <v>568600</v>
      </c>
      <c r="H1149" s="434" t="s">
        <v>1441</v>
      </c>
      <c r="I1149" s="434" t="s">
        <v>1438</v>
      </c>
    </row>
    <row r="1150" spans="1:9" hidden="1" x14ac:dyDescent="0.4">
      <c r="A1150" s="434">
        <v>3</v>
      </c>
      <c r="B1150" s="434" t="s">
        <v>1665</v>
      </c>
      <c r="C1150" s="434" t="s">
        <v>1436</v>
      </c>
      <c r="D1150" s="434" t="s">
        <v>510</v>
      </c>
      <c r="E1150" s="434" t="s">
        <v>1362</v>
      </c>
      <c r="F1150" s="434" t="s">
        <v>1666</v>
      </c>
      <c r="G1150" s="593">
        <v>6164000</v>
      </c>
      <c r="H1150" s="434" t="s">
        <v>1441</v>
      </c>
      <c r="I1150" s="434" t="s">
        <v>1438</v>
      </c>
    </row>
    <row r="1151" spans="1:9" hidden="1" x14ac:dyDescent="0.4">
      <c r="A1151" s="434">
        <v>3</v>
      </c>
      <c r="B1151" s="434" t="s">
        <v>1665</v>
      </c>
      <c r="C1151" s="434" t="s">
        <v>1436</v>
      </c>
      <c r="D1151" s="434" t="s">
        <v>100</v>
      </c>
      <c r="E1151" s="434" t="s">
        <v>1363</v>
      </c>
      <c r="F1151" s="434" t="s">
        <v>491</v>
      </c>
      <c r="G1151" s="593">
        <v>3411800</v>
      </c>
      <c r="H1151" s="434" t="s">
        <v>1441</v>
      </c>
      <c r="I1151" s="434" t="s">
        <v>1438</v>
      </c>
    </row>
    <row r="1152" spans="1:9" hidden="1" x14ac:dyDescent="0.4">
      <c r="A1152" s="434">
        <v>3</v>
      </c>
      <c r="B1152" s="434" t="s">
        <v>1665</v>
      </c>
      <c r="C1152" s="434" t="s">
        <v>1436</v>
      </c>
      <c r="D1152" s="434" t="s">
        <v>101</v>
      </c>
      <c r="E1152" s="434" t="s">
        <v>1364</v>
      </c>
      <c r="F1152" s="434" t="s">
        <v>1135</v>
      </c>
      <c r="G1152" s="593">
        <v>1705900</v>
      </c>
      <c r="H1152" s="434" t="s">
        <v>1441</v>
      </c>
      <c r="I1152" s="434" t="s">
        <v>1438</v>
      </c>
    </row>
    <row r="1153" spans="1:9" hidden="1" x14ac:dyDescent="0.4">
      <c r="A1153" s="434">
        <v>3</v>
      </c>
      <c r="B1153" s="434" t="s">
        <v>1665</v>
      </c>
      <c r="C1153" s="434" t="s">
        <v>1439</v>
      </c>
      <c r="D1153" s="434" t="s">
        <v>160</v>
      </c>
      <c r="E1153" s="434" t="s">
        <v>1391</v>
      </c>
      <c r="F1153" s="434" t="s">
        <v>1449</v>
      </c>
      <c r="G1153" s="593">
        <v>1059400</v>
      </c>
      <c r="H1153" s="434" t="s">
        <v>534</v>
      </c>
      <c r="I1153" s="434" t="s">
        <v>534</v>
      </c>
    </row>
    <row r="1154" spans="1:9" hidden="1" x14ac:dyDescent="0.4">
      <c r="A1154" s="434">
        <v>3</v>
      </c>
      <c r="B1154" s="434" t="s">
        <v>1667</v>
      </c>
      <c r="C1154" s="434" t="s">
        <v>1436</v>
      </c>
      <c r="D1154" s="434" t="s">
        <v>72</v>
      </c>
      <c r="E1154" s="434" t="s">
        <v>1348</v>
      </c>
      <c r="F1154" s="434" t="s">
        <v>1437</v>
      </c>
      <c r="G1154" s="593">
        <v>33567700</v>
      </c>
      <c r="H1154" s="434" t="s">
        <v>1441</v>
      </c>
      <c r="I1154" s="434" t="s">
        <v>1438</v>
      </c>
    </row>
    <row r="1155" spans="1:9" hidden="1" x14ac:dyDescent="0.4">
      <c r="A1155" s="434">
        <v>3</v>
      </c>
      <c r="B1155" s="434" t="s">
        <v>1667</v>
      </c>
      <c r="C1155" s="434" t="s">
        <v>1436</v>
      </c>
      <c r="D1155" s="434" t="s">
        <v>80</v>
      </c>
      <c r="E1155" s="434" t="s">
        <v>1332</v>
      </c>
      <c r="F1155" s="434" t="s">
        <v>481</v>
      </c>
      <c r="G1155" s="593">
        <v>3230200</v>
      </c>
      <c r="H1155" s="434" t="s">
        <v>1441</v>
      </c>
      <c r="I1155" s="434" t="s">
        <v>1438</v>
      </c>
    </row>
    <row r="1156" spans="1:9" hidden="1" x14ac:dyDescent="0.4">
      <c r="A1156" s="434">
        <v>3</v>
      </c>
      <c r="B1156" s="434" t="s">
        <v>1667</v>
      </c>
      <c r="C1156" s="434" t="s">
        <v>1436</v>
      </c>
      <c r="D1156" s="434" t="s">
        <v>82</v>
      </c>
      <c r="E1156" s="434" t="s">
        <v>1333</v>
      </c>
      <c r="F1156" s="434" t="s">
        <v>482</v>
      </c>
      <c r="G1156" s="593">
        <v>5706000</v>
      </c>
      <c r="H1156" s="434" t="s">
        <v>1441</v>
      </c>
      <c r="I1156" s="434" t="s">
        <v>1438</v>
      </c>
    </row>
    <row r="1157" spans="1:9" hidden="1" x14ac:dyDescent="0.4">
      <c r="A1157" s="434">
        <v>3</v>
      </c>
      <c r="B1157" s="434" t="s">
        <v>1667</v>
      </c>
      <c r="C1157" s="434" t="s">
        <v>1436</v>
      </c>
      <c r="D1157" s="434" t="s">
        <v>84</v>
      </c>
      <c r="E1157" s="434" t="s">
        <v>1355</v>
      </c>
      <c r="F1157" s="434" t="s">
        <v>483</v>
      </c>
      <c r="G1157" s="593">
        <v>3839300</v>
      </c>
      <c r="H1157" s="434" t="s">
        <v>1441</v>
      </c>
      <c r="I1157" s="434" t="s">
        <v>1438</v>
      </c>
    </row>
    <row r="1158" spans="1:9" hidden="1" x14ac:dyDescent="0.4">
      <c r="A1158" s="434">
        <v>3</v>
      </c>
      <c r="B1158" s="434" t="s">
        <v>1667</v>
      </c>
      <c r="C1158" s="434" t="s">
        <v>1436</v>
      </c>
      <c r="D1158" s="434" t="s">
        <v>86</v>
      </c>
      <c r="E1158" s="434" t="s">
        <v>1356</v>
      </c>
      <c r="F1158" s="434" t="s">
        <v>484</v>
      </c>
      <c r="G1158" s="593">
        <v>3567300</v>
      </c>
      <c r="H1158" s="434" t="s">
        <v>1441</v>
      </c>
      <c r="I1158" s="434" t="s">
        <v>1438</v>
      </c>
    </row>
    <row r="1159" spans="1:9" hidden="1" x14ac:dyDescent="0.4">
      <c r="A1159" s="434">
        <v>3</v>
      </c>
      <c r="B1159" s="434" t="s">
        <v>1667</v>
      </c>
      <c r="C1159" s="434" t="s">
        <v>1436</v>
      </c>
      <c r="D1159" s="434" t="s">
        <v>90</v>
      </c>
      <c r="E1159" s="434" t="s">
        <v>1357</v>
      </c>
      <c r="F1159" s="434" t="s">
        <v>486</v>
      </c>
      <c r="G1159" s="593">
        <v>4261600</v>
      </c>
      <c r="H1159" s="434" t="s">
        <v>1441</v>
      </c>
      <c r="I1159" s="434" t="s">
        <v>1438</v>
      </c>
    </row>
    <row r="1160" spans="1:9" hidden="1" x14ac:dyDescent="0.4">
      <c r="A1160" s="434">
        <v>3</v>
      </c>
      <c r="B1160" s="434" t="s">
        <v>1667</v>
      </c>
      <c r="C1160" s="434" t="s">
        <v>1436</v>
      </c>
      <c r="D1160" s="434" t="s">
        <v>92</v>
      </c>
      <c r="E1160" s="434" t="s">
        <v>1358</v>
      </c>
      <c r="F1160" s="434" t="s">
        <v>487</v>
      </c>
      <c r="G1160" s="593">
        <v>230400</v>
      </c>
      <c r="H1160" s="434" t="s">
        <v>1441</v>
      </c>
      <c r="I1160" s="434" t="s">
        <v>1438</v>
      </c>
    </row>
    <row r="1161" spans="1:9" hidden="1" x14ac:dyDescent="0.4">
      <c r="A1161" s="434">
        <v>3</v>
      </c>
      <c r="B1161" s="434" t="s">
        <v>1667</v>
      </c>
      <c r="C1161" s="434" t="s">
        <v>1436</v>
      </c>
      <c r="D1161" s="434" t="s">
        <v>93</v>
      </c>
      <c r="E1161" s="434" t="s">
        <v>1359</v>
      </c>
      <c r="F1161" s="434" t="s">
        <v>488</v>
      </c>
      <c r="G1161" s="593">
        <v>691100</v>
      </c>
      <c r="H1161" s="434" t="s">
        <v>1441</v>
      </c>
      <c r="I1161" s="434" t="s">
        <v>1438</v>
      </c>
    </row>
    <row r="1162" spans="1:9" hidden="1" x14ac:dyDescent="0.4">
      <c r="A1162" s="434">
        <v>3</v>
      </c>
      <c r="B1162" s="434" t="s">
        <v>1667</v>
      </c>
      <c r="C1162" s="434" t="s">
        <v>1436</v>
      </c>
      <c r="D1162" s="434" t="s">
        <v>94</v>
      </c>
      <c r="E1162" s="434" t="s">
        <v>1360</v>
      </c>
      <c r="F1162" s="434" t="s">
        <v>489</v>
      </c>
      <c r="G1162" s="593">
        <v>2303600</v>
      </c>
      <c r="H1162" s="434" t="s">
        <v>1441</v>
      </c>
      <c r="I1162" s="434" t="s">
        <v>1438</v>
      </c>
    </row>
    <row r="1163" spans="1:9" hidden="1" x14ac:dyDescent="0.4">
      <c r="A1163" s="434">
        <v>3</v>
      </c>
      <c r="B1163" s="434" t="s">
        <v>1667</v>
      </c>
      <c r="C1163" s="434" t="s">
        <v>1436</v>
      </c>
      <c r="D1163" s="434" t="s">
        <v>96</v>
      </c>
      <c r="E1163" s="434" t="s">
        <v>1361</v>
      </c>
      <c r="F1163" s="434" t="s">
        <v>490</v>
      </c>
      <c r="G1163" s="593">
        <v>230400</v>
      </c>
      <c r="H1163" s="434" t="s">
        <v>1441</v>
      </c>
      <c r="I1163" s="434" t="s">
        <v>1438</v>
      </c>
    </row>
    <row r="1164" spans="1:9" hidden="1" x14ac:dyDescent="0.4">
      <c r="A1164" s="434">
        <v>3</v>
      </c>
      <c r="B1164" s="434" t="s">
        <v>1667</v>
      </c>
      <c r="C1164" s="434" t="s">
        <v>1436</v>
      </c>
      <c r="D1164" s="434" t="s">
        <v>510</v>
      </c>
      <c r="E1164" s="434" t="s">
        <v>1362</v>
      </c>
      <c r="F1164" s="434" t="s">
        <v>491</v>
      </c>
      <c r="G1164" s="593">
        <v>2497100</v>
      </c>
      <c r="H1164" s="434" t="s">
        <v>1441</v>
      </c>
      <c r="I1164" s="434" t="s">
        <v>1438</v>
      </c>
    </row>
    <row r="1165" spans="1:9" hidden="1" x14ac:dyDescent="0.4">
      <c r="A1165" s="434">
        <v>3</v>
      </c>
      <c r="B1165" s="434" t="s">
        <v>1667</v>
      </c>
      <c r="C1165" s="434" t="s">
        <v>1436</v>
      </c>
      <c r="D1165" s="434" t="s">
        <v>100</v>
      </c>
      <c r="E1165" s="434" t="s">
        <v>1363</v>
      </c>
      <c r="F1165" s="434" t="s">
        <v>491</v>
      </c>
      <c r="G1165" s="593">
        <v>1382100</v>
      </c>
      <c r="H1165" s="434" t="s">
        <v>1441</v>
      </c>
      <c r="I1165" s="434" t="s">
        <v>1438</v>
      </c>
    </row>
    <row r="1166" spans="1:9" hidden="1" x14ac:dyDescent="0.4">
      <c r="A1166" s="434">
        <v>3</v>
      </c>
      <c r="B1166" s="434" t="s">
        <v>1667</v>
      </c>
      <c r="C1166" s="434" t="s">
        <v>1436</v>
      </c>
      <c r="D1166" s="434" t="s">
        <v>101</v>
      </c>
      <c r="E1166" s="434" t="s">
        <v>1364</v>
      </c>
      <c r="F1166" s="434" t="s">
        <v>1135</v>
      </c>
      <c r="G1166" s="593">
        <v>691100</v>
      </c>
      <c r="H1166" s="434" t="s">
        <v>1441</v>
      </c>
      <c r="I1166" s="434" t="s">
        <v>1438</v>
      </c>
    </row>
    <row r="1167" spans="1:9" hidden="1" x14ac:dyDescent="0.4">
      <c r="A1167" s="434">
        <v>3</v>
      </c>
      <c r="B1167" s="434" t="s">
        <v>1667</v>
      </c>
      <c r="C1167" s="434" t="s">
        <v>1439</v>
      </c>
      <c r="D1167" s="434" t="s">
        <v>106</v>
      </c>
      <c r="E1167" s="434" t="s">
        <v>1366</v>
      </c>
      <c r="F1167" s="434" t="s">
        <v>1459</v>
      </c>
      <c r="G1167" s="593">
        <v>5944200</v>
      </c>
      <c r="H1167" s="434" t="s">
        <v>1441</v>
      </c>
      <c r="I1167" s="434" t="s">
        <v>1438</v>
      </c>
    </row>
    <row r="1168" spans="1:9" hidden="1" x14ac:dyDescent="0.4">
      <c r="A1168" s="434">
        <v>3</v>
      </c>
      <c r="B1168" s="434" t="s">
        <v>1667</v>
      </c>
      <c r="C1168" s="434" t="s">
        <v>1439</v>
      </c>
      <c r="D1168" s="434" t="s">
        <v>116</v>
      </c>
      <c r="E1168" s="434" t="s">
        <v>1370</v>
      </c>
      <c r="F1168" s="434" t="s">
        <v>1442</v>
      </c>
      <c r="G1168" s="593">
        <v>241000</v>
      </c>
      <c r="H1168" s="434" t="s">
        <v>1441</v>
      </c>
      <c r="I1168" s="434" t="s">
        <v>1438</v>
      </c>
    </row>
    <row r="1169" spans="1:9" hidden="1" x14ac:dyDescent="0.4">
      <c r="A1169" s="434">
        <v>3</v>
      </c>
      <c r="B1169" s="434" t="s">
        <v>1667</v>
      </c>
      <c r="C1169" s="434" t="s">
        <v>1439</v>
      </c>
      <c r="D1169" s="434" t="s">
        <v>118</v>
      </c>
      <c r="E1169" s="434" t="s">
        <v>1371</v>
      </c>
      <c r="F1169" s="434" t="s">
        <v>1443</v>
      </c>
      <c r="G1169" s="593">
        <v>852300</v>
      </c>
      <c r="H1169" s="434" t="s">
        <v>1441</v>
      </c>
      <c r="I1169" s="434" t="s">
        <v>1438</v>
      </c>
    </row>
    <row r="1170" spans="1:9" x14ac:dyDescent="0.4">
      <c r="A1170" s="434">
        <v>3</v>
      </c>
      <c r="B1170" s="434" t="s">
        <v>1667</v>
      </c>
      <c r="C1170" s="434" t="s">
        <v>1439</v>
      </c>
      <c r="D1170" s="434" t="s">
        <v>326</v>
      </c>
      <c r="E1170" s="434" t="s">
        <v>1373</v>
      </c>
      <c r="F1170" s="434" t="s">
        <v>1444</v>
      </c>
      <c r="G1170" s="593">
        <v>368800</v>
      </c>
      <c r="H1170" s="434" t="s">
        <v>534</v>
      </c>
      <c r="I1170" s="434" t="s">
        <v>534</v>
      </c>
    </row>
    <row r="1171" spans="1:9" hidden="1" x14ac:dyDescent="0.4">
      <c r="A1171" s="434">
        <v>3</v>
      </c>
      <c r="B1171" s="434" t="s">
        <v>1667</v>
      </c>
      <c r="C1171" s="434" t="s">
        <v>1439</v>
      </c>
      <c r="D1171" s="434" t="s">
        <v>145</v>
      </c>
      <c r="E1171" s="434" t="s">
        <v>1385</v>
      </c>
      <c r="F1171" s="434" t="s">
        <v>1448</v>
      </c>
      <c r="G1171" s="593">
        <v>1748700</v>
      </c>
      <c r="H1171" s="434" t="s">
        <v>534</v>
      </c>
      <c r="I1171" s="434" t="s">
        <v>534</v>
      </c>
    </row>
    <row r="1172" spans="1:9" hidden="1" x14ac:dyDescent="0.4">
      <c r="A1172" s="434">
        <v>3</v>
      </c>
      <c r="B1172" s="434" t="s">
        <v>1667</v>
      </c>
      <c r="C1172" s="434" t="s">
        <v>1439</v>
      </c>
      <c r="D1172" s="434" t="s">
        <v>151</v>
      </c>
      <c r="E1172" s="434" t="s">
        <v>1387</v>
      </c>
      <c r="F1172" s="434" t="s">
        <v>1668</v>
      </c>
      <c r="G1172" s="593">
        <v>100000</v>
      </c>
      <c r="H1172" s="434" t="s">
        <v>534</v>
      </c>
      <c r="I1172" s="434" t="s">
        <v>534</v>
      </c>
    </row>
    <row r="1173" spans="1:9" hidden="1" x14ac:dyDescent="0.4">
      <c r="A1173" s="434">
        <v>3</v>
      </c>
      <c r="B1173" s="434" t="s">
        <v>1667</v>
      </c>
      <c r="C1173" s="434" t="s">
        <v>1439</v>
      </c>
      <c r="D1173" s="434" t="s">
        <v>153</v>
      </c>
      <c r="E1173" s="434" t="s">
        <v>1388</v>
      </c>
      <c r="F1173" s="434" t="s">
        <v>1668</v>
      </c>
      <c r="G1173" s="593">
        <v>500000</v>
      </c>
      <c r="H1173" s="434" t="s">
        <v>534</v>
      </c>
      <c r="I1173" s="434" t="s">
        <v>534</v>
      </c>
    </row>
    <row r="1174" spans="1:9" hidden="1" x14ac:dyDescent="0.4">
      <c r="A1174" s="434">
        <v>3</v>
      </c>
      <c r="B1174" s="434" t="s">
        <v>1667</v>
      </c>
      <c r="C1174" s="434" t="s">
        <v>1439</v>
      </c>
      <c r="D1174" s="434" t="s">
        <v>155</v>
      </c>
      <c r="E1174" s="434" t="s">
        <v>1389</v>
      </c>
      <c r="F1174" s="434" t="s">
        <v>1669</v>
      </c>
      <c r="G1174" s="593">
        <v>1000000</v>
      </c>
      <c r="H1174" s="434" t="s">
        <v>534</v>
      </c>
      <c r="I1174" s="434" t="s">
        <v>534</v>
      </c>
    </row>
    <row r="1175" spans="1:9" hidden="1" x14ac:dyDescent="0.4">
      <c r="A1175" s="434">
        <v>3</v>
      </c>
      <c r="B1175" s="434" t="s">
        <v>1667</v>
      </c>
      <c r="C1175" s="434" t="s">
        <v>1439</v>
      </c>
      <c r="D1175" s="434" t="s">
        <v>157</v>
      </c>
      <c r="E1175" s="434" t="s">
        <v>1390</v>
      </c>
      <c r="F1175" s="434" t="s">
        <v>1669</v>
      </c>
      <c r="G1175" s="593">
        <v>1500000</v>
      </c>
      <c r="H1175" s="434" t="s">
        <v>534</v>
      </c>
      <c r="I1175" s="434" t="s">
        <v>534</v>
      </c>
    </row>
    <row r="1176" spans="1:9" hidden="1" x14ac:dyDescent="0.4">
      <c r="A1176" s="434">
        <v>3</v>
      </c>
      <c r="B1176" s="434" t="s">
        <v>1667</v>
      </c>
      <c r="C1176" s="434" t="s">
        <v>1439</v>
      </c>
      <c r="D1176" s="434" t="s">
        <v>160</v>
      </c>
      <c r="E1176" s="434" t="s">
        <v>1391</v>
      </c>
      <c r="F1176" s="434" t="s">
        <v>1449</v>
      </c>
      <c r="G1176" s="593">
        <v>317900</v>
      </c>
      <c r="H1176" s="434" t="s">
        <v>534</v>
      </c>
      <c r="I1176" s="434" t="s">
        <v>534</v>
      </c>
    </row>
    <row r="1177" spans="1:9" hidden="1" x14ac:dyDescent="0.4">
      <c r="A1177" s="434">
        <v>3</v>
      </c>
      <c r="B1177" s="434" t="s">
        <v>1667</v>
      </c>
      <c r="C1177" s="434" t="s">
        <v>1439</v>
      </c>
      <c r="D1177" s="434" t="s">
        <v>164</v>
      </c>
      <c r="E1177" s="434" t="s">
        <v>1392</v>
      </c>
      <c r="F1177" s="434" t="s">
        <v>1670</v>
      </c>
      <c r="G1177" s="593">
        <v>1000000</v>
      </c>
      <c r="H1177" s="434" t="s">
        <v>534</v>
      </c>
      <c r="I1177" s="434" t="s">
        <v>534</v>
      </c>
    </row>
    <row r="1178" spans="1:9" hidden="1" x14ac:dyDescent="0.4">
      <c r="A1178" s="434">
        <v>3</v>
      </c>
      <c r="B1178" s="434" t="s">
        <v>1667</v>
      </c>
      <c r="C1178" s="434" t="s">
        <v>1498</v>
      </c>
      <c r="D1178" s="434" t="s">
        <v>197</v>
      </c>
      <c r="E1178" s="434" t="s">
        <v>1406</v>
      </c>
      <c r="F1178" s="434"/>
      <c r="G1178" s="593">
        <v>320000</v>
      </c>
      <c r="H1178" s="434" t="s">
        <v>1441</v>
      </c>
      <c r="I1178" s="434" t="s">
        <v>1438</v>
      </c>
    </row>
    <row r="1179" spans="1:9" hidden="1" x14ac:dyDescent="0.4">
      <c r="A1179" s="434">
        <v>3</v>
      </c>
      <c r="B1179" s="434" t="s">
        <v>1667</v>
      </c>
      <c r="C1179" s="434" t="s">
        <v>1498</v>
      </c>
      <c r="D1179" s="434" t="s">
        <v>218</v>
      </c>
      <c r="E1179" s="434" t="s">
        <v>1410</v>
      </c>
      <c r="F1179" s="434"/>
      <c r="G1179" s="593">
        <v>42000</v>
      </c>
      <c r="H1179" s="434" t="s">
        <v>1441</v>
      </c>
      <c r="I1179" s="434" t="s">
        <v>1438</v>
      </c>
    </row>
    <row r="1180" spans="1:9" hidden="1" x14ac:dyDescent="0.4">
      <c r="A1180" s="434">
        <v>3</v>
      </c>
      <c r="B1180" s="434" t="s">
        <v>1671</v>
      </c>
      <c r="C1180" s="434" t="s">
        <v>1436</v>
      </c>
      <c r="D1180" s="434" t="s">
        <v>73</v>
      </c>
      <c r="E1180" s="434" t="s">
        <v>1349</v>
      </c>
      <c r="F1180" s="434" t="s">
        <v>1564</v>
      </c>
      <c r="G1180" s="593">
        <v>1591600</v>
      </c>
      <c r="H1180" s="434" t="s">
        <v>1626</v>
      </c>
      <c r="I1180" s="434" t="s">
        <v>1626</v>
      </c>
    </row>
    <row r="1181" spans="1:9" hidden="1" x14ac:dyDescent="0.4">
      <c r="A1181" s="434">
        <v>3</v>
      </c>
      <c r="B1181" s="434" t="s">
        <v>1671</v>
      </c>
      <c r="C1181" s="434" t="s">
        <v>1436</v>
      </c>
      <c r="D1181" s="434" t="s">
        <v>76</v>
      </c>
      <c r="E1181" s="434" t="s">
        <v>1352</v>
      </c>
      <c r="F1181" s="434" t="s">
        <v>1056</v>
      </c>
      <c r="G1181" s="593">
        <v>5969700</v>
      </c>
      <c r="H1181" s="434" t="s">
        <v>1626</v>
      </c>
      <c r="I1181" s="434" t="s">
        <v>1626</v>
      </c>
    </row>
    <row r="1182" spans="1:9" hidden="1" x14ac:dyDescent="0.4">
      <c r="A1182" s="434">
        <v>3</v>
      </c>
      <c r="B1182" s="434" t="s">
        <v>1671</v>
      </c>
      <c r="C1182" s="434" t="s">
        <v>1436</v>
      </c>
      <c r="D1182" s="434" t="s">
        <v>84</v>
      </c>
      <c r="E1182" s="434" t="s">
        <v>1355</v>
      </c>
      <c r="F1182" s="434" t="s">
        <v>483</v>
      </c>
      <c r="G1182" s="593">
        <v>661700</v>
      </c>
      <c r="H1182" s="434" t="s">
        <v>1626</v>
      </c>
      <c r="I1182" s="434" t="s">
        <v>1626</v>
      </c>
    </row>
    <row r="1183" spans="1:9" hidden="1" x14ac:dyDescent="0.4">
      <c r="A1183" s="434">
        <v>3</v>
      </c>
      <c r="B1183" s="434" t="s">
        <v>1671</v>
      </c>
      <c r="C1183" s="434" t="s">
        <v>1436</v>
      </c>
      <c r="D1183" s="434" t="s">
        <v>86</v>
      </c>
      <c r="E1183" s="434" t="s">
        <v>1356</v>
      </c>
      <c r="F1183" s="434" t="s">
        <v>484</v>
      </c>
      <c r="G1183" s="593">
        <v>381200</v>
      </c>
      <c r="H1183" s="434" t="s">
        <v>1626</v>
      </c>
      <c r="I1183" s="434" t="s">
        <v>1626</v>
      </c>
    </row>
    <row r="1184" spans="1:9" hidden="1" x14ac:dyDescent="0.4">
      <c r="A1184" s="434">
        <v>3</v>
      </c>
      <c r="B1184" s="434" t="s">
        <v>1671</v>
      </c>
      <c r="C1184" s="434" t="s">
        <v>1436</v>
      </c>
      <c r="D1184" s="434" t="s">
        <v>90</v>
      </c>
      <c r="E1184" s="434" t="s">
        <v>1357</v>
      </c>
      <c r="F1184" s="434" t="s">
        <v>486</v>
      </c>
      <c r="G1184" s="593">
        <v>734700</v>
      </c>
      <c r="H1184" s="434" t="s">
        <v>1626</v>
      </c>
      <c r="I1184" s="434" t="s">
        <v>1626</v>
      </c>
    </row>
    <row r="1185" spans="1:11" hidden="1" x14ac:dyDescent="0.4">
      <c r="A1185" s="434">
        <v>3</v>
      </c>
      <c r="B1185" s="434" t="s">
        <v>1671</v>
      </c>
      <c r="C1185" s="434" t="s">
        <v>1436</v>
      </c>
      <c r="D1185" s="434" t="s">
        <v>92</v>
      </c>
      <c r="E1185" s="434" t="s">
        <v>1358</v>
      </c>
      <c r="F1185" s="434" t="s">
        <v>487</v>
      </c>
      <c r="G1185" s="593">
        <v>39700</v>
      </c>
      <c r="H1185" s="434" t="s">
        <v>1626</v>
      </c>
      <c r="I1185" s="434" t="s">
        <v>1626</v>
      </c>
    </row>
    <row r="1186" spans="1:11" hidden="1" x14ac:dyDescent="0.4">
      <c r="A1186" s="434">
        <v>3</v>
      </c>
      <c r="B1186" s="434" t="s">
        <v>1671</v>
      </c>
      <c r="C1186" s="434" t="s">
        <v>1436</v>
      </c>
      <c r="D1186" s="434" t="s">
        <v>93</v>
      </c>
      <c r="E1186" s="434" t="s">
        <v>1359</v>
      </c>
      <c r="F1186" s="434" t="s">
        <v>1663</v>
      </c>
      <c r="G1186" s="593">
        <v>119100</v>
      </c>
      <c r="H1186" s="434" t="s">
        <v>1626</v>
      </c>
      <c r="I1186" s="434" t="s">
        <v>1626</v>
      </c>
    </row>
    <row r="1187" spans="1:11" hidden="1" x14ac:dyDescent="0.4">
      <c r="A1187" s="434">
        <v>3</v>
      </c>
      <c r="B1187" s="434" t="s">
        <v>1671</v>
      </c>
      <c r="C1187" s="434" t="s">
        <v>1436</v>
      </c>
      <c r="D1187" s="434" t="s">
        <v>94</v>
      </c>
      <c r="E1187" s="434" t="s">
        <v>1360</v>
      </c>
      <c r="F1187" s="434" t="s">
        <v>489</v>
      </c>
      <c r="G1187" s="593">
        <v>397100</v>
      </c>
      <c r="H1187" s="434" t="s">
        <v>1626</v>
      </c>
      <c r="I1187" s="434" t="s">
        <v>1626</v>
      </c>
    </row>
    <row r="1188" spans="1:11" hidden="1" x14ac:dyDescent="0.4">
      <c r="A1188" s="434">
        <v>3</v>
      </c>
      <c r="B1188" s="434" t="s">
        <v>1671</v>
      </c>
      <c r="C1188" s="434" t="s">
        <v>1436</v>
      </c>
      <c r="D1188" s="434" t="s">
        <v>96</v>
      </c>
      <c r="E1188" s="434" t="s">
        <v>1361</v>
      </c>
      <c r="F1188" s="434" t="s">
        <v>490</v>
      </c>
      <c r="G1188" s="593">
        <v>39700</v>
      </c>
      <c r="H1188" s="434" t="s">
        <v>1626</v>
      </c>
      <c r="I1188" s="434" t="s">
        <v>1626</v>
      </c>
    </row>
    <row r="1189" spans="1:11" hidden="1" x14ac:dyDescent="0.4">
      <c r="A1189" s="434">
        <v>3</v>
      </c>
      <c r="B1189" s="434" t="s">
        <v>1671</v>
      </c>
      <c r="C1189" s="434" t="s">
        <v>1436</v>
      </c>
      <c r="D1189" s="434" t="s">
        <v>510</v>
      </c>
      <c r="E1189" s="434" t="s">
        <v>1362</v>
      </c>
      <c r="F1189" s="434" t="s">
        <v>491</v>
      </c>
      <c r="G1189" s="593">
        <v>430500</v>
      </c>
      <c r="H1189" s="434" t="s">
        <v>1626</v>
      </c>
      <c r="I1189" s="434" t="s">
        <v>1626</v>
      </c>
    </row>
    <row r="1190" spans="1:11" hidden="1" x14ac:dyDescent="0.4">
      <c r="A1190" s="434">
        <v>3</v>
      </c>
      <c r="B1190" s="434" t="s">
        <v>1671</v>
      </c>
      <c r="C1190" s="434" t="s">
        <v>1436</v>
      </c>
      <c r="D1190" s="434" t="s">
        <v>100</v>
      </c>
      <c r="E1190" s="434" t="s">
        <v>1363</v>
      </c>
      <c r="F1190" s="434" t="s">
        <v>491</v>
      </c>
      <c r="G1190" s="593">
        <v>238300</v>
      </c>
      <c r="H1190" s="434" t="s">
        <v>1626</v>
      </c>
      <c r="I1190" s="434" t="s">
        <v>1626</v>
      </c>
    </row>
    <row r="1191" spans="1:11" hidden="1" x14ac:dyDescent="0.4">
      <c r="A1191" s="434">
        <v>3</v>
      </c>
      <c r="B1191" s="434" t="s">
        <v>1671</v>
      </c>
      <c r="C1191" s="434" t="s">
        <v>1436</v>
      </c>
      <c r="D1191" s="434" t="s">
        <v>101</v>
      </c>
      <c r="E1191" s="434" t="s">
        <v>1364</v>
      </c>
      <c r="F1191" s="434" t="s">
        <v>1135</v>
      </c>
      <c r="G1191" s="593">
        <v>119100</v>
      </c>
      <c r="H1191" s="434" t="s">
        <v>1626</v>
      </c>
      <c r="I1191" s="434" t="s">
        <v>1626</v>
      </c>
    </row>
    <row r="1192" spans="1:11" hidden="1" x14ac:dyDescent="0.4">
      <c r="A1192" s="434">
        <v>3</v>
      </c>
      <c r="B1192" s="434" t="s">
        <v>1671</v>
      </c>
      <c r="C1192" s="434" t="s">
        <v>1439</v>
      </c>
      <c r="D1192" s="434" t="s">
        <v>153</v>
      </c>
      <c r="E1192" s="434" t="s">
        <v>1388</v>
      </c>
      <c r="F1192" s="434" t="s">
        <v>1672</v>
      </c>
      <c r="G1192" s="593">
        <v>500000</v>
      </c>
      <c r="H1192" s="434" t="s">
        <v>1626</v>
      </c>
      <c r="I1192" s="434" t="s">
        <v>1626</v>
      </c>
    </row>
    <row r="1193" spans="1:11" hidden="1" x14ac:dyDescent="0.4">
      <c r="A1193" s="434">
        <v>3</v>
      </c>
      <c r="B1193" s="434" t="s">
        <v>1671</v>
      </c>
      <c r="C1193" s="434" t="s">
        <v>1439</v>
      </c>
      <c r="D1193" s="434" t="s">
        <v>160</v>
      </c>
      <c r="E1193" s="434" t="s">
        <v>1391</v>
      </c>
      <c r="F1193" s="434" t="s">
        <v>1449</v>
      </c>
      <c r="G1193" s="593">
        <v>54800</v>
      </c>
      <c r="H1193" s="434" t="s">
        <v>1626</v>
      </c>
      <c r="I1193" s="434" t="s">
        <v>1626</v>
      </c>
    </row>
    <row r="1194" spans="1:11" hidden="1" x14ac:dyDescent="0.4">
      <c r="A1194" s="434">
        <v>3</v>
      </c>
      <c r="B1194" s="434" t="s">
        <v>1671</v>
      </c>
      <c r="C1194" s="434" t="s">
        <v>1439</v>
      </c>
      <c r="D1194" s="434" t="s">
        <v>164</v>
      </c>
      <c r="E1194" s="434" t="s">
        <v>1392</v>
      </c>
      <c r="F1194" s="434" t="s">
        <v>1673</v>
      </c>
      <c r="G1194" s="593">
        <v>720000</v>
      </c>
      <c r="H1194" s="434" t="s">
        <v>1626</v>
      </c>
      <c r="I1194" s="434" t="s">
        <v>1626</v>
      </c>
    </row>
    <row r="1195" spans="1:11" hidden="1" x14ac:dyDescent="0.4">
      <c r="A1195" s="434">
        <v>3</v>
      </c>
      <c r="B1195" s="434" t="s">
        <v>1671</v>
      </c>
      <c r="C1195" s="434" t="s">
        <v>1513</v>
      </c>
      <c r="D1195" s="434" t="s">
        <v>411</v>
      </c>
      <c r="E1195" s="434" t="s">
        <v>1424</v>
      </c>
      <c r="F1195" s="434"/>
      <c r="G1195" s="593">
        <v>6469196.0999999996</v>
      </c>
      <c r="H1195" s="434" t="s">
        <v>1626</v>
      </c>
      <c r="I1195" s="434" t="s">
        <v>1626</v>
      </c>
    </row>
    <row r="1196" spans="1:11" hidden="1" x14ac:dyDescent="0.4">
      <c r="A1196" s="434">
        <v>3</v>
      </c>
      <c r="B1196" s="434" t="s">
        <v>1674</v>
      </c>
      <c r="C1196" s="434" t="s">
        <v>1436</v>
      </c>
      <c r="D1196" s="434" t="s">
        <v>73</v>
      </c>
      <c r="E1196" s="434" t="s">
        <v>1349</v>
      </c>
      <c r="F1196" s="434" t="s">
        <v>1564</v>
      </c>
      <c r="G1196" s="593">
        <v>459092600</v>
      </c>
      <c r="H1196" s="434" t="s">
        <v>1626</v>
      </c>
      <c r="I1196" s="434" t="s">
        <v>1626</v>
      </c>
      <c r="J1196" s="1444">
        <v>465532200</v>
      </c>
      <c r="K1196" s="1444">
        <f>+J1196-G1196</f>
        <v>6439600</v>
      </c>
    </row>
    <row r="1197" spans="1:11" hidden="1" x14ac:dyDescent="0.4">
      <c r="A1197" s="434">
        <v>3</v>
      </c>
      <c r="B1197" s="434" t="s">
        <v>1674</v>
      </c>
      <c r="C1197" s="434" t="s">
        <v>1436</v>
      </c>
      <c r="D1197" s="434" t="s">
        <v>76</v>
      </c>
      <c r="E1197" s="434" t="s">
        <v>1352</v>
      </c>
      <c r="F1197" s="434" t="s">
        <v>1056</v>
      </c>
      <c r="G1197" s="593">
        <v>45000000</v>
      </c>
      <c r="H1197" s="434" t="s">
        <v>1626</v>
      </c>
      <c r="I1197" s="434" t="s">
        <v>1626</v>
      </c>
      <c r="J1197" s="1444">
        <v>48500000</v>
      </c>
      <c r="K1197" s="1444">
        <f t="shared" ref="K1197:K1209" si="1">+J1197-G1197</f>
        <v>3500000</v>
      </c>
    </row>
    <row r="1198" spans="1:11" hidden="1" x14ac:dyDescent="0.4">
      <c r="A1198" s="434">
        <v>3</v>
      </c>
      <c r="B1198" s="434" t="s">
        <v>1674</v>
      </c>
      <c r="C1198" s="434" t="s">
        <v>1436</v>
      </c>
      <c r="D1198" s="434" t="s">
        <v>80</v>
      </c>
      <c r="E1198" s="434" t="s">
        <v>1332</v>
      </c>
      <c r="F1198" s="434" t="s">
        <v>1675</v>
      </c>
      <c r="G1198" s="593">
        <v>4416500</v>
      </c>
      <c r="H1198" s="434" t="s">
        <v>1626</v>
      </c>
      <c r="I1198" s="434" t="s">
        <v>1626</v>
      </c>
      <c r="J1198" s="1444">
        <v>4416400</v>
      </c>
      <c r="K1198" s="1444">
        <f t="shared" si="1"/>
        <v>-100</v>
      </c>
    </row>
    <row r="1199" spans="1:11" hidden="1" x14ac:dyDescent="0.4">
      <c r="A1199" s="434">
        <v>3</v>
      </c>
      <c r="B1199" s="434" t="s">
        <v>1674</v>
      </c>
      <c r="C1199" s="434" t="s">
        <v>1436</v>
      </c>
      <c r="D1199" s="434" t="s">
        <v>82</v>
      </c>
      <c r="E1199" s="434" t="s">
        <v>1333</v>
      </c>
      <c r="F1199" s="434" t="s">
        <v>1676</v>
      </c>
      <c r="G1199" s="593">
        <v>5563500</v>
      </c>
      <c r="H1199" s="434" t="s">
        <v>1626</v>
      </c>
      <c r="I1199" s="434" t="s">
        <v>1626</v>
      </c>
      <c r="J1199" s="1444">
        <v>5563400</v>
      </c>
      <c r="K1199" s="1444">
        <f t="shared" si="1"/>
        <v>-100</v>
      </c>
    </row>
    <row r="1200" spans="1:11" hidden="1" x14ac:dyDescent="0.4">
      <c r="A1200" s="434">
        <v>3</v>
      </c>
      <c r="B1200" s="434" t="s">
        <v>1674</v>
      </c>
      <c r="C1200" s="434" t="s">
        <v>1436</v>
      </c>
      <c r="D1200" s="434" t="s">
        <v>84</v>
      </c>
      <c r="E1200" s="434" t="s">
        <v>1355</v>
      </c>
      <c r="F1200" s="434" t="s">
        <v>483</v>
      </c>
      <c r="G1200" s="593">
        <v>46232800</v>
      </c>
      <c r="H1200" s="434" t="s">
        <v>1626</v>
      </c>
      <c r="I1200" s="434" t="s">
        <v>1626</v>
      </c>
      <c r="J1200" s="1444">
        <v>47117800</v>
      </c>
      <c r="K1200" s="1444">
        <f t="shared" si="1"/>
        <v>885000</v>
      </c>
    </row>
    <row r="1201" spans="1:12" hidden="1" x14ac:dyDescent="0.4">
      <c r="A1201" s="434">
        <v>3</v>
      </c>
      <c r="B1201" s="434" t="s">
        <v>1674</v>
      </c>
      <c r="C1201" s="434" t="s">
        <v>1436</v>
      </c>
      <c r="D1201" s="434" t="s">
        <v>86</v>
      </c>
      <c r="E1201" s="434" t="s">
        <v>1356</v>
      </c>
      <c r="F1201" s="434" t="s">
        <v>484</v>
      </c>
      <c r="G1201" s="593">
        <v>40740400</v>
      </c>
      <c r="H1201" s="434" t="s">
        <v>1626</v>
      </c>
      <c r="I1201" s="434" t="s">
        <v>1626</v>
      </c>
      <c r="J1201" s="1444">
        <v>41422600</v>
      </c>
      <c r="K1201" s="1444">
        <f t="shared" si="1"/>
        <v>682200</v>
      </c>
    </row>
    <row r="1202" spans="1:12" hidden="1" x14ac:dyDescent="0.4">
      <c r="A1202" s="434">
        <v>3</v>
      </c>
      <c r="B1202" s="434" t="s">
        <v>1674</v>
      </c>
      <c r="C1202" s="434" t="s">
        <v>1436</v>
      </c>
      <c r="D1202" s="434" t="s">
        <v>90</v>
      </c>
      <c r="E1202" s="434" t="s">
        <v>1357</v>
      </c>
      <c r="F1202" s="434" t="s">
        <v>486</v>
      </c>
      <c r="G1202" s="593">
        <v>51320200</v>
      </c>
      <c r="H1202" s="434" t="s">
        <v>1626</v>
      </c>
      <c r="I1202" s="434" t="s">
        <v>1626</v>
      </c>
      <c r="J1202" s="1444">
        <v>52302800</v>
      </c>
      <c r="K1202" s="1444">
        <f t="shared" si="1"/>
        <v>982600</v>
      </c>
    </row>
    <row r="1203" spans="1:12" hidden="1" x14ac:dyDescent="0.4">
      <c r="A1203" s="434">
        <v>3</v>
      </c>
      <c r="B1203" s="434" t="s">
        <v>1674</v>
      </c>
      <c r="C1203" s="434" t="s">
        <v>1436</v>
      </c>
      <c r="D1203" s="434" t="s">
        <v>92</v>
      </c>
      <c r="E1203" s="434" t="s">
        <v>1358</v>
      </c>
      <c r="F1203" s="434" t="s">
        <v>487</v>
      </c>
      <c r="G1203" s="593">
        <v>2774100</v>
      </c>
      <c r="H1203" s="434" t="s">
        <v>1626</v>
      </c>
      <c r="I1203" s="434" t="s">
        <v>1626</v>
      </c>
      <c r="J1203" s="1444">
        <v>2827200</v>
      </c>
      <c r="K1203" s="1444">
        <f t="shared" si="1"/>
        <v>53100</v>
      </c>
    </row>
    <row r="1204" spans="1:12" hidden="1" x14ac:dyDescent="0.4">
      <c r="A1204" s="434">
        <v>3</v>
      </c>
      <c r="B1204" s="434" t="s">
        <v>1674</v>
      </c>
      <c r="C1204" s="434" t="s">
        <v>1436</v>
      </c>
      <c r="D1204" s="434" t="s">
        <v>93</v>
      </c>
      <c r="E1204" s="434" t="s">
        <v>1359</v>
      </c>
      <c r="F1204" s="434" t="s">
        <v>488</v>
      </c>
      <c r="G1204" s="593">
        <v>8322200</v>
      </c>
      <c r="H1204" s="434" t="s">
        <v>1626</v>
      </c>
      <c r="I1204" s="434" t="s">
        <v>1626</v>
      </c>
      <c r="J1204" s="1444">
        <v>8481600</v>
      </c>
      <c r="K1204" s="1444">
        <f t="shared" si="1"/>
        <v>159400</v>
      </c>
    </row>
    <row r="1205" spans="1:12" hidden="1" x14ac:dyDescent="0.4">
      <c r="A1205" s="434">
        <v>3</v>
      </c>
      <c r="B1205" s="434" t="s">
        <v>1674</v>
      </c>
      <c r="C1205" s="434" t="s">
        <v>1436</v>
      </c>
      <c r="D1205" s="434" t="s">
        <v>94</v>
      </c>
      <c r="E1205" s="434" t="s">
        <v>1360</v>
      </c>
      <c r="F1205" s="434" t="s">
        <v>489</v>
      </c>
      <c r="G1205" s="593">
        <v>27740700</v>
      </c>
      <c r="H1205" s="434" t="s">
        <v>1626</v>
      </c>
      <c r="I1205" s="434" t="s">
        <v>1626</v>
      </c>
      <c r="J1205" s="1444">
        <v>28271800</v>
      </c>
      <c r="K1205" s="1444">
        <f t="shared" si="1"/>
        <v>531100</v>
      </c>
    </row>
    <row r="1206" spans="1:12" hidden="1" x14ac:dyDescent="0.4">
      <c r="A1206" s="434">
        <v>3</v>
      </c>
      <c r="B1206" s="434" t="s">
        <v>1674</v>
      </c>
      <c r="C1206" s="434" t="s">
        <v>1436</v>
      </c>
      <c r="D1206" s="434" t="s">
        <v>96</v>
      </c>
      <c r="E1206" s="434" t="s">
        <v>1361</v>
      </c>
      <c r="F1206" s="434" t="s">
        <v>490</v>
      </c>
      <c r="G1206" s="593">
        <v>2774100</v>
      </c>
      <c r="H1206" s="434" t="s">
        <v>1626</v>
      </c>
      <c r="I1206" s="434" t="s">
        <v>1626</v>
      </c>
      <c r="J1206" s="1444">
        <v>2827200</v>
      </c>
      <c r="K1206" s="1444">
        <f t="shared" si="1"/>
        <v>53100</v>
      </c>
    </row>
    <row r="1207" spans="1:12" hidden="1" x14ac:dyDescent="0.4">
      <c r="A1207" s="434">
        <v>3</v>
      </c>
      <c r="B1207" s="434" t="s">
        <v>1674</v>
      </c>
      <c r="C1207" s="434" t="s">
        <v>1436</v>
      </c>
      <c r="D1207" s="434" t="s">
        <v>510</v>
      </c>
      <c r="E1207" s="434" t="s">
        <v>1362</v>
      </c>
      <c r="F1207" s="434" t="s">
        <v>491</v>
      </c>
      <c r="G1207" s="593">
        <v>30070800</v>
      </c>
      <c r="H1207" s="434" t="s">
        <v>1626</v>
      </c>
      <c r="I1207" s="434" t="s">
        <v>1626</v>
      </c>
      <c r="J1207" s="1444">
        <v>30646600</v>
      </c>
      <c r="K1207" s="1444">
        <f t="shared" si="1"/>
        <v>575800</v>
      </c>
    </row>
    <row r="1208" spans="1:12" hidden="1" x14ac:dyDescent="0.4">
      <c r="A1208" s="434">
        <v>3</v>
      </c>
      <c r="B1208" s="434" t="s">
        <v>1674</v>
      </c>
      <c r="C1208" s="434" t="s">
        <v>1436</v>
      </c>
      <c r="D1208" s="434" t="s">
        <v>100</v>
      </c>
      <c r="E1208" s="434" t="s">
        <v>1363</v>
      </c>
      <c r="F1208" s="434" t="s">
        <v>491</v>
      </c>
      <c r="G1208" s="593">
        <v>16644300</v>
      </c>
      <c r="H1208" s="434" t="s">
        <v>1626</v>
      </c>
      <c r="I1208" s="434" t="s">
        <v>1626</v>
      </c>
      <c r="J1208" s="1444">
        <v>16963000</v>
      </c>
      <c r="K1208" s="1444">
        <f t="shared" si="1"/>
        <v>318700</v>
      </c>
    </row>
    <row r="1209" spans="1:12" hidden="1" x14ac:dyDescent="0.4">
      <c r="A1209" s="434">
        <v>3</v>
      </c>
      <c r="B1209" s="434" t="s">
        <v>1674</v>
      </c>
      <c r="C1209" s="434" t="s">
        <v>1436</v>
      </c>
      <c r="D1209" s="434" t="s">
        <v>101</v>
      </c>
      <c r="E1209" s="434" t="s">
        <v>1364</v>
      </c>
      <c r="F1209" s="434" t="s">
        <v>1135</v>
      </c>
      <c r="G1209" s="593">
        <v>8322200</v>
      </c>
      <c r="H1209" s="434" t="s">
        <v>1626</v>
      </c>
      <c r="I1209" s="434" t="s">
        <v>1626</v>
      </c>
      <c r="J1209" s="1444">
        <v>8481600</v>
      </c>
      <c r="K1209" s="1444">
        <f t="shared" si="1"/>
        <v>159400</v>
      </c>
    </row>
    <row r="1210" spans="1:12" s="1437" customFormat="1" hidden="1" x14ac:dyDescent="0.4">
      <c r="A1210" s="434">
        <v>3</v>
      </c>
      <c r="B1210" s="1437" t="s">
        <v>1674</v>
      </c>
      <c r="C1210" s="1437" t="s">
        <v>1436</v>
      </c>
      <c r="D1210" s="434" t="s">
        <v>73</v>
      </c>
      <c r="E1210" s="1437" t="s">
        <v>1349</v>
      </c>
      <c r="F1210" s="1437" t="s">
        <v>1746</v>
      </c>
      <c r="G1210" s="1438">
        <v>6439600</v>
      </c>
      <c r="H1210" s="1437" t="s">
        <v>1626</v>
      </c>
      <c r="I1210" s="1437" t="s">
        <v>1626</v>
      </c>
      <c r="J1210" s="1445"/>
      <c r="K1210" s="1445"/>
      <c r="L1210" s="1445"/>
    </row>
    <row r="1211" spans="1:12" s="1437" customFormat="1" hidden="1" x14ac:dyDescent="0.4">
      <c r="A1211" s="434">
        <v>3</v>
      </c>
      <c r="B1211" s="1437" t="s">
        <v>1674</v>
      </c>
      <c r="C1211" s="1437" t="s">
        <v>1436</v>
      </c>
      <c r="D1211" s="434" t="s">
        <v>76</v>
      </c>
      <c r="E1211" s="1437" t="s">
        <v>1352</v>
      </c>
      <c r="F1211" s="1437" t="s">
        <v>1746</v>
      </c>
      <c r="G1211" s="1438">
        <v>3500000</v>
      </c>
      <c r="H1211" s="1437" t="s">
        <v>1626</v>
      </c>
      <c r="I1211" s="1437" t="s">
        <v>1626</v>
      </c>
      <c r="J1211" s="1445"/>
      <c r="K1211" s="1445"/>
      <c r="L1211" s="1445"/>
    </row>
    <row r="1212" spans="1:12" s="1437" customFormat="1" hidden="1" x14ac:dyDescent="0.4">
      <c r="A1212" s="434">
        <v>3</v>
      </c>
      <c r="B1212" s="1437" t="s">
        <v>1674</v>
      </c>
      <c r="C1212" s="1437" t="s">
        <v>1436</v>
      </c>
      <c r="D1212" s="434" t="s">
        <v>80</v>
      </c>
      <c r="E1212" s="1437" t="s">
        <v>1332</v>
      </c>
      <c r="F1212" s="1437" t="s">
        <v>1746</v>
      </c>
      <c r="G1212" s="1438">
        <v>-100</v>
      </c>
      <c r="H1212" s="1437" t="s">
        <v>1626</v>
      </c>
      <c r="I1212" s="1437" t="s">
        <v>1626</v>
      </c>
      <c r="J1212" s="1445"/>
      <c r="K1212" s="1445"/>
      <c r="L1212" s="1445"/>
    </row>
    <row r="1213" spans="1:12" s="1437" customFormat="1" hidden="1" x14ac:dyDescent="0.4">
      <c r="A1213" s="434">
        <v>3</v>
      </c>
      <c r="B1213" s="1437" t="s">
        <v>1674</v>
      </c>
      <c r="C1213" s="1437" t="s">
        <v>1436</v>
      </c>
      <c r="D1213" s="434" t="s">
        <v>82</v>
      </c>
      <c r="E1213" s="1437" t="s">
        <v>1333</v>
      </c>
      <c r="F1213" s="1437" t="s">
        <v>1746</v>
      </c>
      <c r="G1213" s="1438">
        <v>-100</v>
      </c>
      <c r="H1213" s="1437" t="s">
        <v>1626</v>
      </c>
      <c r="I1213" s="1437" t="s">
        <v>1626</v>
      </c>
      <c r="J1213" s="1445"/>
      <c r="K1213" s="1445"/>
      <c r="L1213" s="1445"/>
    </row>
    <row r="1214" spans="1:12" s="1437" customFormat="1" hidden="1" x14ac:dyDescent="0.4">
      <c r="A1214" s="434">
        <v>3</v>
      </c>
      <c r="B1214" s="1437" t="s">
        <v>1674</v>
      </c>
      <c r="C1214" s="1437" t="s">
        <v>1436</v>
      </c>
      <c r="D1214" s="434" t="s">
        <v>84</v>
      </c>
      <c r="E1214" s="1437" t="s">
        <v>1355</v>
      </c>
      <c r="F1214" s="1437" t="s">
        <v>1746</v>
      </c>
      <c r="G1214" s="1438">
        <v>885000</v>
      </c>
      <c r="H1214" s="1437" t="s">
        <v>1626</v>
      </c>
      <c r="I1214" s="1437" t="s">
        <v>1626</v>
      </c>
      <c r="J1214" s="1445"/>
      <c r="K1214" s="1445"/>
      <c r="L1214" s="1445"/>
    </row>
    <row r="1215" spans="1:12" s="1437" customFormat="1" hidden="1" x14ac:dyDescent="0.4">
      <c r="A1215" s="434">
        <v>3</v>
      </c>
      <c r="B1215" s="1437" t="s">
        <v>1674</v>
      </c>
      <c r="C1215" s="1437" t="s">
        <v>1436</v>
      </c>
      <c r="D1215" s="434" t="s">
        <v>86</v>
      </c>
      <c r="E1215" s="1437" t="s">
        <v>1356</v>
      </c>
      <c r="F1215" s="1437" t="s">
        <v>1746</v>
      </c>
      <c r="G1215" s="1438">
        <v>682200</v>
      </c>
      <c r="H1215" s="1437" t="s">
        <v>1626</v>
      </c>
      <c r="I1215" s="1437" t="s">
        <v>1626</v>
      </c>
      <c r="J1215" s="1445"/>
      <c r="K1215" s="1445"/>
      <c r="L1215" s="1445"/>
    </row>
    <row r="1216" spans="1:12" s="1437" customFormat="1" hidden="1" x14ac:dyDescent="0.4">
      <c r="A1216" s="434">
        <v>3</v>
      </c>
      <c r="B1216" s="1437" t="s">
        <v>1674</v>
      </c>
      <c r="C1216" s="1437" t="s">
        <v>1436</v>
      </c>
      <c r="D1216" s="434" t="s">
        <v>90</v>
      </c>
      <c r="E1216" s="1437" t="s">
        <v>1357</v>
      </c>
      <c r="F1216" s="1437" t="s">
        <v>1746</v>
      </c>
      <c r="G1216" s="1438">
        <v>982600</v>
      </c>
      <c r="H1216" s="1437" t="s">
        <v>1626</v>
      </c>
      <c r="I1216" s="1437" t="s">
        <v>1626</v>
      </c>
      <c r="J1216" s="1445"/>
      <c r="K1216" s="1445"/>
      <c r="L1216" s="1445"/>
    </row>
    <row r="1217" spans="1:12" s="1437" customFormat="1" hidden="1" x14ac:dyDescent="0.4">
      <c r="A1217" s="434">
        <v>3</v>
      </c>
      <c r="B1217" s="1437" t="s">
        <v>1674</v>
      </c>
      <c r="C1217" s="1437" t="s">
        <v>1436</v>
      </c>
      <c r="D1217" s="434" t="s">
        <v>92</v>
      </c>
      <c r="E1217" s="1437" t="s">
        <v>1358</v>
      </c>
      <c r="F1217" s="1437" t="s">
        <v>1746</v>
      </c>
      <c r="G1217" s="1438">
        <v>53100</v>
      </c>
      <c r="H1217" s="1437" t="s">
        <v>1626</v>
      </c>
      <c r="I1217" s="1437" t="s">
        <v>1626</v>
      </c>
      <c r="J1217" s="1445"/>
      <c r="K1217" s="1445"/>
      <c r="L1217" s="1445"/>
    </row>
    <row r="1218" spans="1:12" s="1437" customFormat="1" hidden="1" x14ac:dyDescent="0.4">
      <c r="A1218" s="434">
        <v>3</v>
      </c>
      <c r="B1218" s="1437" t="s">
        <v>1674</v>
      </c>
      <c r="C1218" s="1437" t="s">
        <v>1436</v>
      </c>
      <c r="D1218" s="434" t="s">
        <v>93</v>
      </c>
      <c r="E1218" s="1437" t="s">
        <v>1359</v>
      </c>
      <c r="F1218" s="1437" t="s">
        <v>1746</v>
      </c>
      <c r="G1218" s="1438">
        <v>159400</v>
      </c>
      <c r="H1218" s="1437" t="s">
        <v>1626</v>
      </c>
      <c r="I1218" s="1437" t="s">
        <v>1626</v>
      </c>
      <c r="J1218" s="1445"/>
      <c r="K1218" s="1445"/>
      <c r="L1218" s="1445"/>
    </row>
    <row r="1219" spans="1:12" s="1437" customFormat="1" hidden="1" x14ac:dyDescent="0.4">
      <c r="A1219" s="434">
        <v>3</v>
      </c>
      <c r="B1219" s="1437" t="s">
        <v>1674</v>
      </c>
      <c r="C1219" s="1437" t="s">
        <v>1436</v>
      </c>
      <c r="D1219" s="434" t="s">
        <v>94</v>
      </c>
      <c r="E1219" s="1437" t="s">
        <v>1360</v>
      </c>
      <c r="F1219" s="1437" t="s">
        <v>1746</v>
      </c>
      <c r="G1219" s="1438">
        <v>531100</v>
      </c>
      <c r="H1219" s="1437" t="s">
        <v>1626</v>
      </c>
      <c r="I1219" s="1437" t="s">
        <v>1626</v>
      </c>
      <c r="J1219" s="1445"/>
      <c r="K1219" s="1445"/>
      <c r="L1219" s="1445"/>
    </row>
    <row r="1220" spans="1:12" s="1437" customFormat="1" hidden="1" x14ac:dyDescent="0.4">
      <c r="A1220" s="434">
        <v>3</v>
      </c>
      <c r="B1220" s="1437" t="s">
        <v>1674</v>
      </c>
      <c r="C1220" s="1437" t="s">
        <v>1436</v>
      </c>
      <c r="D1220" s="434" t="s">
        <v>96</v>
      </c>
      <c r="E1220" s="1437" t="s">
        <v>1361</v>
      </c>
      <c r="F1220" s="1437" t="s">
        <v>1746</v>
      </c>
      <c r="G1220" s="1438">
        <v>53100</v>
      </c>
      <c r="H1220" s="1437" t="s">
        <v>1626</v>
      </c>
      <c r="I1220" s="1437" t="s">
        <v>1626</v>
      </c>
      <c r="J1220" s="1445"/>
      <c r="K1220" s="1445"/>
      <c r="L1220" s="1445"/>
    </row>
    <row r="1221" spans="1:12" s="1437" customFormat="1" hidden="1" x14ac:dyDescent="0.4">
      <c r="A1221" s="434">
        <v>3</v>
      </c>
      <c r="B1221" s="1437" t="s">
        <v>1674</v>
      </c>
      <c r="C1221" s="1437" t="s">
        <v>1436</v>
      </c>
      <c r="D1221" s="434" t="s">
        <v>510</v>
      </c>
      <c r="E1221" s="1437" t="s">
        <v>1362</v>
      </c>
      <c r="F1221" s="1437" t="s">
        <v>1746</v>
      </c>
      <c r="G1221" s="1438">
        <v>575800</v>
      </c>
      <c r="H1221" s="1437" t="s">
        <v>1626</v>
      </c>
      <c r="I1221" s="1437" t="s">
        <v>1626</v>
      </c>
      <c r="J1221" s="1445"/>
      <c r="K1221" s="1445"/>
      <c r="L1221" s="1445"/>
    </row>
    <row r="1222" spans="1:12" s="1437" customFormat="1" hidden="1" x14ac:dyDescent="0.4">
      <c r="A1222" s="434">
        <v>3</v>
      </c>
      <c r="B1222" s="1437" t="s">
        <v>1674</v>
      </c>
      <c r="C1222" s="1437" t="s">
        <v>1436</v>
      </c>
      <c r="D1222" s="434" t="s">
        <v>100</v>
      </c>
      <c r="E1222" s="1437" t="s">
        <v>1363</v>
      </c>
      <c r="F1222" s="1437" t="s">
        <v>1746</v>
      </c>
      <c r="G1222" s="1438">
        <v>318700</v>
      </c>
      <c r="H1222" s="1437" t="s">
        <v>1626</v>
      </c>
      <c r="I1222" s="1437" t="s">
        <v>1626</v>
      </c>
      <c r="J1222" s="1445"/>
      <c r="K1222" s="1445"/>
      <c r="L1222" s="1445"/>
    </row>
    <row r="1223" spans="1:12" s="1437" customFormat="1" hidden="1" x14ac:dyDescent="0.4">
      <c r="A1223" s="434">
        <v>3</v>
      </c>
      <c r="B1223" s="1437" t="s">
        <v>1674</v>
      </c>
      <c r="C1223" s="1437" t="s">
        <v>1436</v>
      </c>
      <c r="D1223" s="434" t="s">
        <v>101</v>
      </c>
      <c r="E1223" s="1437" t="s">
        <v>1364</v>
      </c>
      <c r="F1223" s="1437" t="s">
        <v>1746</v>
      </c>
      <c r="G1223" s="1438">
        <v>159400</v>
      </c>
      <c r="H1223" s="1437" t="s">
        <v>1626</v>
      </c>
      <c r="I1223" s="1437" t="s">
        <v>1626</v>
      </c>
      <c r="J1223" s="1445"/>
      <c r="K1223" s="1445"/>
      <c r="L1223" s="1445"/>
    </row>
    <row r="1224" spans="1:12" hidden="1" x14ac:dyDescent="0.4">
      <c r="A1224" s="434">
        <v>3</v>
      </c>
      <c r="B1224" s="434" t="s">
        <v>1674</v>
      </c>
      <c r="C1224" s="434" t="s">
        <v>1439</v>
      </c>
      <c r="D1224" s="434" t="s">
        <v>106</v>
      </c>
      <c r="E1224" s="434" t="s">
        <v>1366</v>
      </c>
      <c r="F1224" s="434" t="s">
        <v>1440</v>
      </c>
      <c r="G1224" s="593">
        <v>10172600</v>
      </c>
      <c r="H1224" s="434" t="s">
        <v>1626</v>
      </c>
      <c r="I1224" s="434" t="s">
        <v>1626</v>
      </c>
    </row>
    <row r="1225" spans="1:12" hidden="1" x14ac:dyDescent="0.4">
      <c r="A1225" s="434">
        <v>3</v>
      </c>
      <c r="B1225" s="434" t="s">
        <v>1674</v>
      </c>
      <c r="C1225" s="434" t="s">
        <v>1439</v>
      </c>
      <c r="D1225" s="434" t="s">
        <v>108</v>
      </c>
      <c r="E1225" s="434" t="s">
        <v>1367</v>
      </c>
      <c r="F1225" s="434" t="s">
        <v>1677</v>
      </c>
      <c r="G1225" s="593">
        <v>106000000</v>
      </c>
      <c r="H1225" s="434" t="s">
        <v>1626</v>
      </c>
      <c r="I1225" s="434" t="s">
        <v>1626</v>
      </c>
    </row>
    <row r="1226" spans="1:12" hidden="1" x14ac:dyDescent="0.4">
      <c r="A1226" s="434">
        <v>3</v>
      </c>
      <c r="B1226" s="434" t="s">
        <v>1674</v>
      </c>
      <c r="C1226" s="434" t="s">
        <v>1439</v>
      </c>
      <c r="D1226" s="434" t="s">
        <v>116</v>
      </c>
      <c r="E1226" s="434" t="s">
        <v>1370</v>
      </c>
      <c r="F1226" s="434" t="s">
        <v>1442</v>
      </c>
      <c r="G1226" s="593">
        <v>412400</v>
      </c>
      <c r="H1226" s="434" t="s">
        <v>1626</v>
      </c>
      <c r="I1226" s="434" t="s">
        <v>1626</v>
      </c>
    </row>
    <row r="1227" spans="1:12" hidden="1" x14ac:dyDescent="0.4">
      <c r="A1227" s="434">
        <v>3</v>
      </c>
      <c r="B1227" s="434" t="s">
        <v>1674</v>
      </c>
      <c r="C1227" s="434" t="s">
        <v>1439</v>
      </c>
      <c r="D1227" s="434" t="s">
        <v>118</v>
      </c>
      <c r="E1227" s="434" t="s">
        <v>1371</v>
      </c>
      <c r="F1227" s="434" t="s">
        <v>1678</v>
      </c>
      <c r="G1227" s="593">
        <v>1458700</v>
      </c>
      <c r="H1227" s="434" t="s">
        <v>1626</v>
      </c>
      <c r="I1227" s="434" t="s">
        <v>1626</v>
      </c>
    </row>
    <row r="1228" spans="1:12" x14ac:dyDescent="0.4">
      <c r="A1228" s="434">
        <v>3</v>
      </c>
      <c r="B1228" s="434" t="s">
        <v>1674</v>
      </c>
      <c r="C1228" s="434" t="s">
        <v>1439</v>
      </c>
      <c r="D1228" s="434" t="s">
        <v>326</v>
      </c>
      <c r="E1228" s="434" t="s">
        <v>1373</v>
      </c>
      <c r="F1228" s="434" t="s">
        <v>1455</v>
      </c>
      <c r="G1228" s="593">
        <v>9881200</v>
      </c>
      <c r="H1228" s="434" t="s">
        <v>1626</v>
      </c>
      <c r="I1228" s="434" t="s">
        <v>1626</v>
      </c>
    </row>
    <row r="1229" spans="1:12" hidden="1" x14ac:dyDescent="0.4">
      <c r="A1229" s="434">
        <v>3</v>
      </c>
      <c r="B1229" s="434" t="s">
        <v>1674</v>
      </c>
      <c r="C1229" s="434" t="s">
        <v>1439</v>
      </c>
      <c r="D1229" s="434" t="s">
        <v>131</v>
      </c>
      <c r="E1229" s="434" t="s">
        <v>1377</v>
      </c>
      <c r="F1229" s="434" t="s">
        <v>1679</v>
      </c>
      <c r="G1229" s="593">
        <v>4000000</v>
      </c>
      <c r="H1229" s="434" t="s">
        <v>1626</v>
      </c>
      <c r="I1229" s="434" t="s">
        <v>1626</v>
      </c>
    </row>
    <row r="1230" spans="1:12" hidden="1" x14ac:dyDescent="0.4">
      <c r="A1230" s="434">
        <v>3</v>
      </c>
      <c r="B1230" s="434" t="s">
        <v>1674</v>
      </c>
      <c r="C1230" s="434" t="s">
        <v>1439</v>
      </c>
      <c r="D1230" s="434" t="s">
        <v>133</v>
      </c>
      <c r="E1230" s="434" t="s">
        <v>1378</v>
      </c>
      <c r="F1230" s="434" t="s">
        <v>1680</v>
      </c>
      <c r="G1230" s="593">
        <v>8500000</v>
      </c>
      <c r="H1230" s="434" t="s">
        <v>1626</v>
      </c>
      <c r="I1230" s="434" t="s">
        <v>1626</v>
      </c>
    </row>
    <row r="1231" spans="1:12" hidden="1" x14ac:dyDescent="0.4">
      <c r="A1231" s="434">
        <v>3</v>
      </c>
      <c r="B1231" s="434" t="s">
        <v>1674</v>
      </c>
      <c r="C1231" s="434" t="s">
        <v>1439</v>
      </c>
      <c r="D1231" s="434" t="s">
        <v>145</v>
      </c>
      <c r="E1231" s="434" t="s">
        <v>1385</v>
      </c>
      <c r="F1231" s="434" t="s">
        <v>1681</v>
      </c>
      <c r="G1231" s="593">
        <v>6442700</v>
      </c>
      <c r="H1231" s="434" t="s">
        <v>1626</v>
      </c>
      <c r="I1231" s="434" t="s">
        <v>1626</v>
      </c>
    </row>
    <row r="1232" spans="1:12" hidden="1" x14ac:dyDescent="0.4">
      <c r="A1232" s="434">
        <v>3</v>
      </c>
      <c r="B1232" s="434" t="s">
        <v>1674</v>
      </c>
      <c r="C1232" s="434" t="s">
        <v>1439</v>
      </c>
      <c r="D1232" s="434" t="s">
        <v>151</v>
      </c>
      <c r="E1232" s="434" t="s">
        <v>1387</v>
      </c>
      <c r="F1232" s="434" t="s">
        <v>1682</v>
      </c>
      <c r="G1232" s="593">
        <v>2500000</v>
      </c>
      <c r="H1232" s="434" t="s">
        <v>1626</v>
      </c>
      <c r="I1232" s="434" t="s">
        <v>1626</v>
      </c>
    </row>
    <row r="1233" spans="1:9" hidden="1" x14ac:dyDescent="0.4">
      <c r="A1233" s="434">
        <v>3</v>
      </c>
      <c r="B1233" s="434" t="s">
        <v>1674</v>
      </c>
      <c r="C1233" s="434" t="s">
        <v>1439</v>
      </c>
      <c r="D1233" s="434" t="s">
        <v>153</v>
      </c>
      <c r="E1233" s="434" t="s">
        <v>1388</v>
      </c>
      <c r="F1233" s="434" t="s">
        <v>1683</v>
      </c>
      <c r="G1233" s="593">
        <v>333847200</v>
      </c>
      <c r="H1233" s="434" t="s">
        <v>1626</v>
      </c>
      <c r="I1233" s="434" t="s">
        <v>1626</v>
      </c>
    </row>
    <row r="1234" spans="1:9" hidden="1" x14ac:dyDescent="0.4">
      <c r="A1234" s="434">
        <v>3</v>
      </c>
      <c r="B1234" s="434" t="s">
        <v>1674</v>
      </c>
      <c r="C1234" s="434" t="s">
        <v>1439</v>
      </c>
      <c r="D1234" s="434" t="s">
        <v>155</v>
      </c>
      <c r="E1234" s="434" t="s">
        <v>1389</v>
      </c>
      <c r="F1234" s="434" t="s">
        <v>1684</v>
      </c>
      <c r="G1234" s="593">
        <v>1500000</v>
      </c>
      <c r="H1234" s="434" t="s">
        <v>1626</v>
      </c>
      <c r="I1234" s="434" t="s">
        <v>1626</v>
      </c>
    </row>
    <row r="1235" spans="1:9" hidden="1" x14ac:dyDescent="0.4">
      <c r="A1235" s="434">
        <v>3</v>
      </c>
      <c r="B1235" s="434" t="s">
        <v>1674</v>
      </c>
      <c r="C1235" s="434" t="s">
        <v>1439</v>
      </c>
      <c r="D1235" s="434" t="s">
        <v>157</v>
      </c>
      <c r="E1235" s="434" t="s">
        <v>1390</v>
      </c>
      <c r="F1235" s="434" t="s">
        <v>1684</v>
      </c>
      <c r="G1235" s="593">
        <v>5000000</v>
      </c>
      <c r="H1235" s="434" t="s">
        <v>1626</v>
      </c>
      <c r="I1235" s="434" t="s">
        <v>1626</v>
      </c>
    </row>
    <row r="1236" spans="1:9" hidden="1" x14ac:dyDescent="0.4">
      <c r="A1236" s="434">
        <v>3</v>
      </c>
      <c r="B1236" s="434" t="s">
        <v>1674</v>
      </c>
      <c r="C1236" s="434" t="s">
        <v>1439</v>
      </c>
      <c r="D1236" s="434" t="s">
        <v>160</v>
      </c>
      <c r="E1236" s="434" t="s">
        <v>1391</v>
      </c>
      <c r="F1236" s="434" t="s">
        <v>1449</v>
      </c>
      <c r="G1236" s="593">
        <v>3828200</v>
      </c>
      <c r="H1236" s="434" t="s">
        <v>1626</v>
      </c>
      <c r="I1236" s="434" t="s">
        <v>1626</v>
      </c>
    </row>
    <row r="1237" spans="1:9" hidden="1" x14ac:dyDescent="0.4">
      <c r="A1237" s="434">
        <v>3</v>
      </c>
      <c r="B1237" s="434" t="s">
        <v>1674</v>
      </c>
      <c r="C1237" s="434" t="s">
        <v>1439</v>
      </c>
      <c r="D1237" s="434" t="s">
        <v>176</v>
      </c>
      <c r="E1237" s="434" t="s">
        <v>1395</v>
      </c>
      <c r="F1237" s="434" t="s">
        <v>1685</v>
      </c>
      <c r="G1237" s="593">
        <v>24580000</v>
      </c>
      <c r="H1237" s="434" t="s">
        <v>1626</v>
      </c>
      <c r="I1237" s="434" t="s">
        <v>1626</v>
      </c>
    </row>
    <row r="1238" spans="1:9" hidden="1" x14ac:dyDescent="0.4">
      <c r="A1238" s="434">
        <v>3</v>
      </c>
      <c r="B1238" s="434" t="s">
        <v>1674</v>
      </c>
      <c r="C1238" s="434" t="s">
        <v>1498</v>
      </c>
      <c r="D1238" s="434" t="s">
        <v>193</v>
      </c>
      <c r="E1238" s="434" t="s">
        <v>1404</v>
      </c>
      <c r="F1238" s="1471" t="s">
        <v>1686</v>
      </c>
      <c r="G1238" s="593">
        <v>40000005.359999999</v>
      </c>
      <c r="H1238" s="434" t="s">
        <v>1626</v>
      </c>
      <c r="I1238" s="434" t="s">
        <v>1626</v>
      </c>
    </row>
    <row r="1239" spans="1:9" hidden="1" x14ac:dyDescent="0.4">
      <c r="A1239" s="434">
        <v>3</v>
      </c>
      <c r="B1239" s="434" t="s">
        <v>1674</v>
      </c>
      <c r="C1239" s="434" t="s">
        <v>1498</v>
      </c>
      <c r="D1239" s="434" t="s">
        <v>195</v>
      </c>
      <c r="E1239" s="434" t="s">
        <v>1405</v>
      </c>
      <c r="F1239" s="434" t="s">
        <v>1687</v>
      </c>
      <c r="G1239" s="593">
        <v>484000</v>
      </c>
      <c r="H1239" s="434" t="s">
        <v>1626</v>
      </c>
      <c r="I1239" s="434" t="s">
        <v>1626</v>
      </c>
    </row>
    <row r="1240" spans="1:9" hidden="1" x14ac:dyDescent="0.4">
      <c r="A1240" s="434">
        <v>3</v>
      </c>
      <c r="B1240" s="434" t="s">
        <v>1674</v>
      </c>
      <c r="C1240" s="434" t="s">
        <v>1498</v>
      </c>
      <c r="D1240" s="434" t="s">
        <v>206</v>
      </c>
      <c r="E1240" s="434" t="s">
        <v>1407</v>
      </c>
      <c r="F1240" s="434" t="s">
        <v>1687</v>
      </c>
      <c r="G1240" s="593">
        <v>2000000</v>
      </c>
      <c r="H1240" s="434" t="s">
        <v>1626</v>
      </c>
      <c r="I1240" s="434" t="s">
        <v>1626</v>
      </c>
    </row>
    <row r="1241" spans="1:9" hidden="1" x14ac:dyDescent="0.4">
      <c r="A1241" s="434">
        <v>3</v>
      </c>
      <c r="B1241" s="434" t="s">
        <v>1674</v>
      </c>
      <c r="C1241" s="434" t="s">
        <v>1498</v>
      </c>
      <c r="D1241" s="434" t="s">
        <v>218</v>
      </c>
      <c r="E1241" s="434" t="s">
        <v>1410</v>
      </c>
      <c r="F1241" s="434" t="s">
        <v>1688</v>
      </c>
      <c r="G1241" s="593">
        <v>3877500</v>
      </c>
      <c r="H1241" s="434" t="s">
        <v>1626</v>
      </c>
      <c r="I1241" s="434" t="s">
        <v>1626</v>
      </c>
    </row>
    <row r="1242" spans="1:9" hidden="1" x14ac:dyDescent="0.4">
      <c r="A1242" s="434">
        <v>3</v>
      </c>
      <c r="B1242" s="434" t="s">
        <v>1674</v>
      </c>
      <c r="C1242" s="434" t="s">
        <v>1498</v>
      </c>
      <c r="D1242" s="434" t="s">
        <v>221</v>
      </c>
      <c r="E1242" s="434" t="s">
        <v>1411</v>
      </c>
      <c r="F1242" s="434"/>
      <c r="G1242" s="593">
        <v>450000</v>
      </c>
      <c r="H1242" s="434" t="s">
        <v>1626</v>
      </c>
      <c r="I1242" s="434" t="s">
        <v>1626</v>
      </c>
    </row>
    <row r="1243" spans="1:9" hidden="1" x14ac:dyDescent="0.4">
      <c r="A1243" s="434">
        <v>3</v>
      </c>
      <c r="B1243" s="434" t="s">
        <v>1674</v>
      </c>
      <c r="C1243" s="434" t="s">
        <v>1498</v>
      </c>
      <c r="D1243" s="434" t="s">
        <v>224</v>
      </c>
      <c r="E1243" s="434" t="s">
        <v>1413</v>
      </c>
      <c r="F1243" s="434" t="s">
        <v>1689</v>
      </c>
      <c r="G1243" s="593">
        <v>300000</v>
      </c>
      <c r="H1243" s="434" t="s">
        <v>1626</v>
      </c>
      <c r="I1243" s="434" t="s">
        <v>1626</v>
      </c>
    </row>
    <row r="1244" spans="1:9" hidden="1" x14ac:dyDescent="0.4">
      <c r="A1244" s="434">
        <v>3</v>
      </c>
      <c r="B1244" s="434" t="s">
        <v>1674</v>
      </c>
      <c r="C1244" s="434" t="s">
        <v>1498</v>
      </c>
      <c r="D1244" s="434" t="s">
        <v>226</v>
      </c>
      <c r="E1244" s="434" t="s">
        <v>1414</v>
      </c>
      <c r="F1244" s="434" t="s">
        <v>1689</v>
      </c>
      <c r="G1244" s="593">
        <v>310000</v>
      </c>
      <c r="H1244" s="434" t="s">
        <v>1626</v>
      </c>
      <c r="I1244" s="434" t="s">
        <v>1626</v>
      </c>
    </row>
    <row r="1245" spans="1:9" hidden="1" x14ac:dyDescent="0.4">
      <c r="A1245" s="434">
        <v>3</v>
      </c>
      <c r="B1245" s="434" t="s">
        <v>1674</v>
      </c>
      <c r="C1245" s="434" t="s">
        <v>1513</v>
      </c>
      <c r="D1245" s="434" t="s">
        <v>411</v>
      </c>
      <c r="E1245" s="434" t="s">
        <v>1424</v>
      </c>
      <c r="F1245" s="434"/>
      <c r="G1245" s="593">
        <v>3436067.9</v>
      </c>
      <c r="H1245" s="434" t="s">
        <v>1626</v>
      </c>
      <c r="I1245" s="434" t="s">
        <v>1626</v>
      </c>
    </row>
    <row r="1246" spans="1:9" hidden="1" x14ac:dyDescent="0.4">
      <c r="A1246" s="434">
        <v>3</v>
      </c>
      <c r="B1246" s="434" t="s">
        <v>1690</v>
      </c>
      <c r="C1246" s="434" t="s">
        <v>1436</v>
      </c>
      <c r="D1246" s="434" t="s">
        <v>73</v>
      </c>
      <c r="E1246" s="434" t="s">
        <v>1349</v>
      </c>
      <c r="F1246" s="434" t="s">
        <v>1564</v>
      </c>
      <c r="G1246" s="593">
        <v>12932200</v>
      </c>
      <c r="H1246" s="434" t="s">
        <v>1626</v>
      </c>
      <c r="I1246" s="434" t="s">
        <v>1626</v>
      </c>
    </row>
    <row r="1247" spans="1:9" hidden="1" x14ac:dyDescent="0.4">
      <c r="A1247" s="434">
        <v>3</v>
      </c>
      <c r="B1247" s="434" t="s">
        <v>1690</v>
      </c>
      <c r="C1247" s="434" t="s">
        <v>1436</v>
      </c>
      <c r="D1247" s="434" t="s">
        <v>76</v>
      </c>
      <c r="E1247" s="434" t="s">
        <v>1352</v>
      </c>
      <c r="F1247" s="434" t="s">
        <v>1056</v>
      </c>
      <c r="G1247" s="593">
        <v>5100000</v>
      </c>
      <c r="H1247" s="434" t="s">
        <v>1626</v>
      </c>
      <c r="I1247" s="434" t="s">
        <v>1626</v>
      </c>
    </row>
    <row r="1248" spans="1:9" hidden="1" x14ac:dyDescent="0.4">
      <c r="A1248" s="434">
        <v>3</v>
      </c>
      <c r="B1248" s="434" t="s">
        <v>1690</v>
      </c>
      <c r="C1248" s="434" t="s">
        <v>1436</v>
      </c>
      <c r="D1248" s="434" t="s">
        <v>80</v>
      </c>
      <c r="E1248" s="434" t="s">
        <v>1332</v>
      </c>
      <c r="F1248" s="434" t="s">
        <v>481</v>
      </c>
      <c r="G1248" s="593">
        <v>4416500</v>
      </c>
      <c r="H1248" s="434" t="s">
        <v>1626</v>
      </c>
      <c r="I1248" s="434" t="s">
        <v>1626</v>
      </c>
    </row>
    <row r="1249" spans="1:9" hidden="1" x14ac:dyDescent="0.4">
      <c r="A1249" s="434">
        <v>3</v>
      </c>
      <c r="B1249" s="434" t="s">
        <v>1690</v>
      </c>
      <c r="C1249" s="434" t="s">
        <v>1436</v>
      </c>
      <c r="D1249" s="434" t="s">
        <v>82</v>
      </c>
      <c r="E1249" s="434" t="s">
        <v>1333</v>
      </c>
      <c r="F1249" s="434" t="s">
        <v>482</v>
      </c>
      <c r="G1249" s="593">
        <v>5563500</v>
      </c>
      <c r="H1249" s="434" t="s">
        <v>1626</v>
      </c>
      <c r="I1249" s="434" t="s">
        <v>1626</v>
      </c>
    </row>
    <row r="1250" spans="1:9" hidden="1" x14ac:dyDescent="0.4">
      <c r="A1250" s="434">
        <v>3</v>
      </c>
      <c r="B1250" s="434" t="s">
        <v>1690</v>
      </c>
      <c r="C1250" s="434" t="s">
        <v>1436</v>
      </c>
      <c r="D1250" s="434" t="s">
        <v>84</v>
      </c>
      <c r="E1250" s="434" t="s">
        <v>1355</v>
      </c>
      <c r="F1250" s="434" t="s">
        <v>483</v>
      </c>
      <c r="G1250" s="593">
        <v>2520400</v>
      </c>
      <c r="H1250" s="434" t="s">
        <v>1626</v>
      </c>
      <c r="I1250" s="434" t="s">
        <v>1626</v>
      </c>
    </row>
    <row r="1251" spans="1:9" hidden="1" x14ac:dyDescent="0.4">
      <c r="A1251" s="434">
        <v>3</v>
      </c>
      <c r="B1251" s="434" t="s">
        <v>1690</v>
      </c>
      <c r="C1251" s="434" t="s">
        <v>1436</v>
      </c>
      <c r="D1251" s="434" t="s">
        <v>86</v>
      </c>
      <c r="E1251" s="434" t="s">
        <v>1356</v>
      </c>
      <c r="F1251" s="434" t="s">
        <v>484</v>
      </c>
      <c r="G1251" s="593">
        <v>2235000</v>
      </c>
      <c r="H1251" s="434" t="s">
        <v>1626</v>
      </c>
      <c r="I1251" s="434" t="s">
        <v>1626</v>
      </c>
    </row>
    <row r="1252" spans="1:9" hidden="1" x14ac:dyDescent="0.4">
      <c r="A1252" s="434">
        <v>3</v>
      </c>
      <c r="B1252" s="434" t="s">
        <v>1690</v>
      </c>
      <c r="C1252" s="434" t="s">
        <v>1436</v>
      </c>
      <c r="D1252" s="434" t="s">
        <v>90</v>
      </c>
      <c r="E1252" s="434" t="s">
        <v>1357</v>
      </c>
      <c r="F1252" s="434" t="s">
        <v>486</v>
      </c>
      <c r="G1252" s="593">
        <v>2797900</v>
      </c>
      <c r="H1252" s="434" t="s">
        <v>1626</v>
      </c>
      <c r="I1252" s="434" t="s">
        <v>1626</v>
      </c>
    </row>
    <row r="1253" spans="1:9" hidden="1" x14ac:dyDescent="0.4">
      <c r="A1253" s="434">
        <v>3</v>
      </c>
      <c r="B1253" s="434" t="s">
        <v>1690</v>
      </c>
      <c r="C1253" s="434" t="s">
        <v>1436</v>
      </c>
      <c r="D1253" s="434" t="s">
        <v>92</v>
      </c>
      <c r="E1253" s="434" t="s">
        <v>1358</v>
      </c>
      <c r="F1253" s="434" t="s">
        <v>487</v>
      </c>
      <c r="G1253" s="593">
        <v>151200</v>
      </c>
      <c r="H1253" s="434" t="s">
        <v>1626</v>
      </c>
      <c r="I1253" s="434" t="s">
        <v>1626</v>
      </c>
    </row>
    <row r="1254" spans="1:9" hidden="1" x14ac:dyDescent="0.4">
      <c r="A1254" s="434">
        <v>3</v>
      </c>
      <c r="B1254" s="434" t="s">
        <v>1690</v>
      </c>
      <c r="C1254" s="434" t="s">
        <v>1436</v>
      </c>
      <c r="D1254" s="434" t="s">
        <v>93</v>
      </c>
      <c r="E1254" s="434" t="s">
        <v>1359</v>
      </c>
      <c r="F1254" s="434" t="s">
        <v>488</v>
      </c>
      <c r="G1254" s="593">
        <v>453700</v>
      </c>
      <c r="H1254" s="434" t="s">
        <v>1626</v>
      </c>
      <c r="I1254" s="434" t="s">
        <v>1626</v>
      </c>
    </row>
    <row r="1255" spans="1:9" hidden="1" x14ac:dyDescent="0.4">
      <c r="A1255" s="434">
        <v>3</v>
      </c>
      <c r="B1255" s="434" t="s">
        <v>1690</v>
      </c>
      <c r="C1255" s="434" t="s">
        <v>1436</v>
      </c>
      <c r="D1255" s="434" t="s">
        <v>94</v>
      </c>
      <c r="E1255" s="434" t="s">
        <v>1360</v>
      </c>
      <c r="F1255" s="434" t="s">
        <v>489</v>
      </c>
      <c r="G1255" s="593">
        <v>1512400</v>
      </c>
      <c r="H1255" s="434" t="s">
        <v>1626</v>
      </c>
      <c r="I1255" s="434" t="s">
        <v>1626</v>
      </c>
    </row>
    <row r="1256" spans="1:9" hidden="1" x14ac:dyDescent="0.4">
      <c r="A1256" s="434">
        <v>3</v>
      </c>
      <c r="B1256" s="434" t="s">
        <v>1690</v>
      </c>
      <c r="C1256" s="434" t="s">
        <v>1436</v>
      </c>
      <c r="D1256" s="434" t="s">
        <v>96</v>
      </c>
      <c r="E1256" s="434" t="s">
        <v>1361</v>
      </c>
      <c r="F1256" s="434" t="s">
        <v>490</v>
      </c>
      <c r="G1256" s="593">
        <v>151200</v>
      </c>
      <c r="H1256" s="434" t="s">
        <v>1626</v>
      </c>
      <c r="I1256" s="434" t="s">
        <v>1626</v>
      </c>
    </row>
    <row r="1257" spans="1:9" hidden="1" x14ac:dyDescent="0.4">
      <c r="A1257" s="434">
        <v>3</v>
      </c>
      <c r="B1257" s="434" t="s">
        <v>1690</v>
      </c>
      <c r="C1257" s="434" t="s">
        <v>1436</v>
      </c>
      <c r="D1257" s="434" t="s">
        <v>510</v>
      </c>
      <c r="E1257" s="434" t="s">
        <v>1362</v>
      </c>
      <c r="F1257" s="434" t="s">
        <v>491</v>
      </c>
      <c r="G1257" s="593">
        <v>1639400</v>
      </c>
      <c r="H1257" s="434" t="s">
        <v>1626</v>
      </c>
      <c r="I1257" s="434" t="s">
        <v>1626</v>
      </c>
    </row>
    <row r="1258" spans="1:9" hidden="1" x14ac:dyDescent="0.4">
      <c r="A1258" s="434">
        <v>3</v>
      </c>
      <c r="B1258" s="434" t="s">
        <v>1690</v>
      </c>
      <c r="C1258" s="434" t="s">
        <v>1436</v>
      </c>
      <c r="D1258" s="434" t="s">
        <v>100</v>
      </c>
      <c r="E1258" s="434" t="s">
        <v>1363</v>
      </c>
      <c r="F1258" s="434" t="s">
        <v>491</v>
      </c>
      <c r="G1258" s="593">
        <v>907400</v>
      </c>
      <c r="H1258" s="434" t="s">
        <v>1626</v>
      </c>
      <c r="I1258" s="434" t="s">
        <v>1626</v>
      </c>
    </row>
    <row r="1259" spans="1:9" hidden="1" x14ac:dyDescent="0.4">
      <c r="A1259" s="434">
        <v>3</v>
      </c>
      <c r="B1259" s="434" t="s">
        <v>1690</v>
      </c>
      <c r="C1259" s="434" t="s">
        <v>1436</v>
      </c>
      <c r="D1259" s="434" t="s">
        <v>101</v>
      </c>
      <c r="E1259" s="434" t="s">
        <v>1364</v>
      </c>
      <c r="F1259" s="434" t="s">
        <v>1135</v>
      </c>
      <c r="G1259" s="593">
        <v>453700</v>
      </c>
      <c r="H1259" s="434" t="s">
        <v>1626</v>
      </c>
      <c r="I1259" s="434" t="s">
        <v>1626</v>
      </c>
    </row>
    <row r="1260" spans="1:9" hidden="1" x14ac:dyDescent="0.4">
      <c r="A1260" s="434">
        <v>3</v>
      </c>
      <c r="B1260" s="434" t="s">
        <v>1690</v>
      </c>
      <c r="C1260" s="434" t="s">
        <v>1439</v>
      </c>
      <c r="D1260" s="434" t="s">
        <v>106</v>
      </c>
      <c r="E1260" s="434" t="s">
        <v>1366</v>
      </c>
      <c r="F1260" s="434" t="s">
        <v>1440</v>
      </c>
      <c r="G1260" s="593">
        <v>5276600</v>
      </c>
      <c r="H1260" s="434" t="s">
        <v>1626</v>
      </c>
      <c r="I1260" s="434" t="s">
        <v>1626</v>
      </c>
    </row>
    <row r="1261" spans="1:9" hidden="1" x14ac:dyDescent="0.4">
      <c r="A1261" s="434">
        <v>3</v>
      </c>
      <c r="B1261" s="434" t="s">
        <v>1690</v>
      </c>
      <c r="C1261" s="434" t="s">
        <v>1439</v>
      </c>
      <c r="D1261" s="434" t="s">
        <v>116</v>
      </c>
      <c r="E1261" s="434" t="s">
        <v>1370</v>
      </c>
      <c r="F1261" s="434" t="s">
        <v>1442</v>
      </c>
      <c r="G1261" s="593">
        <v>213900</v>
      </c>
      <c r="H1261" s="434" t="s">
        <v>1626</v>
      </c>
      <c r="I1261" s="434" t="s">
        <v>1626</v>
      </c>
    </row>
    <row r="1262" spans="1:9" hidden="1" x14ac:dyDescent="0.4">
      <c r="A1262" s="434">
        <v>3</v>
      </c>
      <c r="B1262" s="434" t="s">
        <v>1690</v>
      </c>
      <c r="C1262" s="434" t="s">
        <v>1439</v>
      </c>
      <c r="D1262" s="434" t="s">
        <v>118</v>
      </c>
      <c r="E1262" s="434" t="s">
        <v>1371</v>
      </c>
      <c r="F1262" s="434" t="s">
        <v>1443</v>
      </c>
      <c r="G1262" s="593">
        <v>756600</v>
      </c>
      <c r="H1262" s="434" t="s">
        <v>1626</v>
      </c>
      <c r="I1262" s="434" t="s">
        <v>1626</v>
      </c>
    </row>
    <row r="1263" spans="1:9" x14ac:dyDescent="0.4">
      <c r="A1263" s="434">
        <v>3</v>
      </c>
      <c r="B1263" s="434" t="s">
        <v>1690</v>
      </c>
      <c r="C1263" s="434" t="s">
        <v>1439</v>
      </c>
      <c r="D1263" s="434" t="s">
        <v>326</v>
      </c>
      <c r="E1263" s="434" t="s">
        <v>1373</v>
      </c>
      <c r="F1263" s="434" t="s">
        <v>1691</v>
      </c>
      <c r="G1263" s="593">
        <v>1827400</v>
      </c>
      <c r="H1263" s="434" t="s">
        <v>1626</v>
      </c>
      <c r="I1263" s="434" t="s">
        <v>1626</v>
      </c>
    </row>
    <row r="1264" spans="1:9" hidden="1" x14ac:dyDescent="0.4">
      <c r="A1264" s="434">
        <v>3</v>
      </c>
      <c r="B1264" s="434" t="s">
        <v>1690</v>
      </c>
      <c r="C1264" s="434" t="s">
        <v>1439</v>
      </c>
      <c r="D1264" s="434" t="s">
        <v>133</v>
      </c>
      <c r="E1264" s="434" t="s">
        <v>1378</v>
      </c>
      <c r="F1264" s="434" t="s">
        <v>1692</v>
      </c>
      <c r="G1264" s="593">
        <v>210000</v>
      </c>
      <c r="H1264" s="434" t="s">
        <v>1626</v>
      </c>
      <c r="I1264" s="434" t="s">
        <v>1626</v>
      </c>
    </row>
    <row r="1265" spans="1:9" hidden="1" x14ac:dyDescent="0.4">
      <c r="A1265" s="434">
        <v>3</v>
      </c>
      <c r="B1265" s="434" t="s">
        <v>1690</v>
      </c>
      <c r="C1265" s="434" t="s">
        <v>1439</v>
      </c>
      <c r="D1265" s="434" t="s">
        <v>145</v>
      </c>
      <c r="E1265" s="434" t="s">
        <v>1385</v>
      </c>
      <c r="F1265" s="434" t="s">
        <v>1448</v>
      </c>
      <c r="G1265" s="593">
        <v>1552300</v>
      </c>
      <c r="H1265" s="434" t="s">
        <v>1626</v>
      </c>
      <c r="I1265" s="434" t="s">
        <v>1626</v>
      </c>
    </row>
    <row r="1266" spans="1:9" hidden="1" x14ac:dyDescent="0.4">
      <c r="A1266" s="434">
        <v>3</v>
      </c>
      <c r="B1266" s="434" t="s">
        <v>1690</v>
      </c>
      <c r="C1266" s="434" t="s">
        <v>1439</v>
      </c>
      <c r="D1266" s="434" t="s">
        <v>151</v>
      </c>
      <c r="E1266" s="434" t="s">
        <v>1387</v>
      </c>
      <c r="F1266" s="434" t="s">
        <v>1640</v>
      </c>
      <c r="G1266" s="593">
        <v>5000000</v>
      </c>
      <c r="H1266" s="434" t="s">
        <v>1626</v>
      </c>
      <c r="I1266" s="434" t="s">
        <v>1626</v>
      </c>
    </row>
    <row r="1267" spans="1:9" hidden="1" x14ac:dyDescent="0.4">
      <c r="A1267" s="434">
        <v>3</v>
      </c>
      <c r="B1267" s="434" t="s">
        <v>1690</v>
      </c>
      <c r="C1267" s="434" t="s">
        <v>1439</v>
      </c>
      <c r="D1267" s="434" t="s">
        <v>153</v>
      </c>
      <c r="E1267" s="434" t="s">
        <v>1388</v>
      </c>
      <c r="F1267" s="434" t="s">
        <v>1693</v>
      </c>
      <c r="G1267" s="593">
        <v>26500000</v>
      </c>
      <c r="H1267" s="434" t="s">
        <v>1626</v>
      </c>
      <c r="I1267" s="434" t="s">
        <v>1626</v>
      </c>
    </row>
    <row r="1268" spans="1:9" hidden="1" x14ac:dyDescent="0.4">
      <c r="A1268" s="1437">
        <v>3</v>
      </c>
      <c r="B1268" s="1437" t="s">
        <v>1674</v>
      </c>
      <c r="C1268" s="1437" t="s">
        <v>1439</v>
      </c>
      <c r="D1268" s="1437" t="s">
        <v>160</v>
      </c>
      <c r="E1268" s="1437" t="s">
        <v>1391</v>
      </c>
      <c r="F1268" s="1437" t="s">
        <v>1449</v>
      </c>
      <c r="G1268" s="1438">
        <v>900000</v>
      </c>
      <c r="H1268" s="434" t="s">
        <v>1626</v>
      </c>
      <c r="I1268" s="434" t="s">
        <v>1626</v>
      </c>
    </row>
    <row r="1269" spans="1:9" hidden="1" x14ac:dyDescent="0.4">
      <c r="A1269" s="434">
        <v>3</v>
      </c>
      <c r="B1269" s="434" t="s">
        <v>1690</v>
      </c>
      <c r="C1269" s="434" t="s">
        <v>1439</v>
      </c>
      <c r="D1269" s="434" t="s">
        <v>160</v>
      </c>
      <c r="E1269" s="434" t="s">
        <v>1391</v>
      </c>
      <c r="F1269" s="434" t="s">
        <v>1694</v>
      </c>
      <c r="G1269" s="593">
        <v>3208700</v>
      </c>
      <c r="H1269" s="434" t="s">
        <v>1626</v>
      </c>
      <c r="I1269" s="434" t="s">
        <v>1626</v>
      </c>
    </row>
    <row r="1270" spans="1:9" hidden="1" x14ac:dyDescent="0.4">
      <c r="A1270" s="434">
        <v>3</v>
      </c>
      <c r="B1270" s="434" t="s">
        <v>1690</v>
      </c>
      <c r="C1270" s="434" t="s">
        <v>1439</v>
      </c>
      <c r="D1270" s="434" t="s">
        <v>176</v>
      </c>
      <c r="E1270" s="434" t="s">
        <v>1395</v>
      </c>
      <c r="F1270" s="434" t="s">
        <v>1695</v>
      </c>
      <c r="G1270" s="593">
        <v>2680000</v>
      </c>
      <c r="H1270" s="434" t="s">
        <v>1626</v>
      </c>
      <c r="I1270" s="434" t="s">
        <v>1626</v>
      </c>
    </row>
    <row r="1271" spans="1:9" hidden="1" x14ac:dyDescent="0.4">
      <c r="A1271" s="434">
        <v>3</v>
      </c>
      <c r="B1271" s="434" t="s">
        <v>1690</v>
      </c>
      <c r="C1271" s="434" t="s">
        <v>1498</v>
      </c>
      <c r="D1271" s="434" t="s">
        <v>193</v>
      </c>
      <c r="E1271" s="434" t="s">
        <v>1404</v>
      </c>
      <c r="F1271" s="1471" t="s">
        <v>1686</v>
      </c>
      <c r="G1271" s="593">
        <v>4000001.6</v>
      </c>
      <c r="H1271" s="434" t="s">
        <v>1626</v>
      </c>
      <c r="I1271" s="434" t="s">
        <v>1626</v>
      </c>
    </row>
    <row r="1272" spans="1:9" hidden="1" x14ac:dyDescent="0.4">
      <c r="A1272" s="434">
        <v>3</v>
      </c>
      <c r="B1272" s="434" t="s">
        <v>1690</v>
      </c>
      <c r="C1272" s="434" t="s">
        <v>1498</v>
      </c>
      <c r="D1272" s="434" t="s">
        <v>195</v>
      </c>
      <c r="E1272" s="434" t="s">
        <v>1405</v>
      </c>
      <c r="F1272" s="434" t="s">
        <v>1696</v>
      </c>
      <c r="G1272" s="593">
        <v>88500</v>
      </c>
      <c r="H1272" s="434" t="s">
        <v>1626</v>
      </c>
      <c r="I1272" s="434" t="s">
        <v>1626</v>
      </c>
    </row>
    <row r="1273" spans="1:9" hidden="1" x14ac:dyDescent="0.4">
      <c r="A1273" s="434">
        <v>3</v>
      </c>
      <c r="B1273" s="434" t="s">
        <v>1690</v>
      </c>
      <c r="C1273" s="434" t="s">
        <v>1498</v>
      </c>
      <c r="D1273" s="434" t="s">
        <v>218</v>
      </c>
      <c r="E1273" s="434" t="s">
        <v>1410</v>
      </c>
      <c r="F1273" s="434" t="s">
        <v>1697</v>
      </c>
      <c r="G1273" s="593">
        <v>373750</v>
      </c>
      <c r="H1273" s="434" t="s">
        <v>1626</v>
      </c>
      <c r="I1273" s="434" t="s">
        <v>1626</v>
      </c>
    </row>
    <row r="1274" spans="1:9" hidden="1" x14ac:dyDescent="0.4">
      <c r="A1274" s="434">
        <v>3</v>
      </c>
      <c r="B1274" s="434" t="s">
        <v>1690</v>
      </c>
      <c r="C1274" s="434" t="s">
        <v>1498</v>
      </c>
      <c r="D1274" s="434" t="s">
        <v>228</v>
      </c>
      <c r="E1274" s="434" t="s">
        <v>1415</v>
      </c>
      <c r="F1274" s="434" t="s">
        <v>1698</v>
      </c>
      <c r="G1274" s="593">
        <v>49500</v>
      </c>
      <c r="H1274" s="434" t="s">
        <v>1626</v>
      </c>
      <c r="I1274" s="434" t="s">
        <v>1626</v>
      </c>
    </row>
    <row r="1275" spans="1:9" hidden="1" x14ac:dyDescent="0.4">
      <c r="A1275" s="434">
        <v>3</v>
      </c>
      <c r="B1275" s="434" t="s">
        <v>1699</v>
      </c>
      <c r="C1275" s="434" t="s">
        <v>1436</v>
      </c>
      <c r="D1275" s="434" t="s">
        <v>72</v>
      </c>
      <c r="E1275" s="434" t="s">
        <v>1348</v>
      </c>
      <c r="F1275" s="434" t="s">
        <v>1437</v>
      </c>
      <c r="G1275" s="593">
        <v>60909300</v>
      </c>
      <c r="H1275" s="434" t="s">
        <v>1441</v>
      </c>
      <c r="I1275" s="434" t="s">
        <v>1438</v>
      </c>
    </row>
    <row r="1276" spans="1:9" hidden="1" x14ac:dyDescent="0.4">
      <c r="A1276" s="434">
        <v>3</v>
      </c>
      <c r="B1276" s="434" t="s">
        <v>1699</v>
      </c>
      <c r="C1276" s="434" t="s">
        <v>1436</v>
      </c>
      <c r="D1276" s="434" t="s">
        <v>76</v>
      </c>
      <c r="E1276" s="434" t="s">
        <v>1352</v>
      </c>
      <c r="F1276" s="434" t="s">
        <v>1056</v>
      </c>
      <c r="G1276" s="593">
        <v>4585300</v>
      </c>
      <c r="H1276" s="434" t="s">
        <v>1441</v>
      </c>
      <c r="I1276" s="434" t="s">
        <v>1438</v>
      </c>
    </row>
    <row r="1277" spans="1:9" hidden="1" x14ac:dyDescent="0.4">
      <c r="A1277" s="434">
        <v>3</v>
      </c>
      <c r="B1277" s="434" t="s">
        <v>1699</v>
      </c>
      <c r="C1277" s="434" t="s">
        <v>1436</v>
      </c>
      <c r="D1277" s="434" t="s">
        <v>80</v>
      </c>
      <c r="E1277" s="434" t="s">
        <v>1332</v>
      </c>
      <c r="F1277" s="434" t="s">
        <v>481</v>
      </c>
      <c r="G1277" s="593">
        <v>4479600</v>
      </c>
      <c r="H1277" s="434" t="s">
        <v>1441</v>
      </c>
      <c r="I1277" s="434" t="s">
        <v>1438</v>
      </c>
    </row>
    <row r="1278" spans="1:9" hidden="1" x14ac:dyDescent="0.4">
      <c r="A1278" s="434">
        <v>3</v>
      </c>
      <c r="B1278" s="434" t="s">
        <v>1699</v>
      </c>
      <c r="C1278" s="434" t="s">
        <v>1436</v>
      </c>
      <c r="D1278" s="434" t="s">
        <v>82</v>
      </c>
      <c r="E1278" s="434" t="s">
        <v>1333</v>
      </c>
      <c r="F1278" s="434" t="s">
        <v>482</v>
      </c>
      <c r="G1278" s="593">
        <v>13975500</v>
      </c>
      <c r="H1278" s="434" t="s">
        <v>1441</v>
      </c>
      <c r="I1278" s="434" t="s">
        <v>1438</v>
      </c>
    </row>
    <row r="1279" spans="1:9" hidden="1" x14ac:dyDescent="0.4">
      <c r="A1279" s="434">
        <v>3</v>
      </c>
      <c r="B1279" s="434" t="s">
        <v>1699</v>
      </c>
      <c r="C1279" s="434" t="s">
        <v>1436</v>
      </c>
      <c r="D1279" s="434" t="s">
        <v>84</v>
      </c>
      <c r="E1279" s="434" t="s">
        <v>1355</v>
      </c>
      <c r="F1279" s="434" t="s">
        <v>483</v>
      </c>
      <c r="G1279" s="593">
        <v>7562400</v>
      </c>
      <c r="H1279" s="434" t="s">
        <v>1441</v>
      </c>
      <c r="I1279" s="434" t="s">
        <v>1438</v>
      </c>
    </row>
    <row r="1280" spans="1:9" hidden="1" x14ac:dyDescent="0.4">
      <c r="A1280" s="434">
        <v>3</v>
      </c>
      <c r="B1280" s="434" t="s">
        <v>1699</v>
      </c>
      <c r="C1280" s="434" t="s">
        <v>1436</v>
      </c>
      <c r="D1280" s="434" t="s">
        <v>86</v>
      </c>
      <c r="E1280" s="434" t="s">
        <v>1356</v>
      </c>
      <c r="F1280" s="434" t="s">
        <v>484</v>
      </c>
      <c r="G1280" s="593">
        <v>6801200</v>
      </c>
      <c r="H1280" s="434" t="s">
        <v>1441</v>
      </c>
      <c r="I1280" s="434" t="s">
        <v>1438</v>
      </c>
    </row>
    <row r="1281" spans="1:9" hidden="1" x14ac:dyDescent="0.4">
      <c r="A1281" s="434">
        <v>3</v>
      </c>
      <c r="B1281" s="434" t="s">
        <v>1699</v>
      </c>
      <c r="C1281" s="434" t="s">
        <v>1436</v>
      </c>
      <c r="D1281" s="434" t="s">
        <v>90</v>
      </c>
      <c r="E1281" s="434" t="s">
        <v>1357</v>
      </c>
      <c r="F1281" s="434" t="s">
        <v>486</v>
      </c>
      <c r="G1281" s="593">
        <v>8394400</v>
      </c>
      <c r="H1281" s="434" t="s">
        <v>1441</v>
      </c>
      <c r="I1281" s="434" t="s">
        <v>1438</v>
      </c>
    </row>
    <row r="1282" spans="1:9" hidden="1" x14ac:dyDescent="0.4">
      <c r="A1282" s="434">
        <v>3</v>
      </c>
      <c r="B1282" s="434" t="s">
        <v>1699</v>
      </c>
      <c r="C1282" s="434" t="s">
        <v>1436</v>
      </c>
      <c r="D1282" s="434" t="s">
        <v>92</v>
      </c>
      <c r="E1282" s="434" t="s">
        <v>1358</v>
      </c>
      <c r="F1282" s="434" t="s">
        <v>487</v>
      </c>
      <c r="G1282" s="593">
        <v>453800</v>
      </c>
      <c r="H1282" s="434" t="s">
        <v>1441</v>
      </c>
      <c r="I1282" s="434" t="s">
        <v>1438</v>
      </c>
    </row>
    <row r="1283" spans="1:9" hidden="1" x14ac:dyDescent="0.4">
      <c r="A1283" s="434">
        <v>3</v>
      </c>
      <c r="B1283" s="434" t="s">
        <v>1699</v>
      </c>
      <c r="C1283" s="434" t="s">
        <v>1436</v>
      </c>
      <c r="D1283" s="434" t="s">
        <v>93</v>
      </c>
      <c r="E1283" s="434" t="s">
        <v>1359</v>
      </c>
      <c r="F1283" s="434" t="s">
        <v>488</v>
      </c>
      <c r="G1283" s="593">
        <v>1361300</v>
      </c>
      <c r="H1283" s="434" t="s">
        <v>1441</v>
      </c>
      <c r="I1283" s="434" t="s">
        <v>1438</v>
      </c>
    </row>
    <row r="1284" spans="1:9" hidden="1" x14ac:dyDescent="0.4">
      <c r="A1284" s="434">
        <v>3</v>
      </c>
      <c r="B1284" s="434" t="s">
        <v>1699</v>
      </c>
      <c r="C1284" s="434" t="s">
        <v>1436</v>
      </c>
      <c r="D1284" s="434" t="s">
        <v>94</v>
      </c>
      <c r="E1284" s="434" t="s">
        <v>1360</v>
      </c>
      <c r="F1284" s="434" t="s">
        <v>489</v>
      </c>
      <c r="G1284" s="593">
        <v>4537600</v>
      </c>
      <c r="H1284" s="434" t="s">
        <v>1441</v>
      </c>
      <c r="I1284" s="434" t="s">
        <v>1438</v>
      </c>
    </row>
    <row r="1285" spans="1:9" hidden="1" x14ac:dyDescent="0.4">
      <c r="A1285" s="434">
        <v>3</v>
      </c>
      <c r="B1285" s="434" t="s">
        <v>1699</v>
      </c>
      <c r="C1285" s="434" t="s">
        <v>1436</v>
      </c>
      <c r="D1285" s="434" t="s">
        <v>96</v>
      </c>
      <c r="E1285" s="434" t="s">
        <v>1361</v>
      </c>
      <c r="F1285" s="434" t="s">
        <v>490</v>
      </c>
      <c r="G1285" s="593">
        <v>453800</v>
      </c>
      <c r="H1285" s="434" t="s">
        <v>1441</v>
      </c>
      <c r="I1285" s="434" t="s">
        <v>1438</v>
      </c>
    </row>
    <row r="1286" spans="1:9" hidden="1" x14ac:dyDescent="0.4">
      <c r="A1286" s="434">
        <v>3</v>
      </c>
      <c r="B1286" s="434" t="s">
        <v>1699</v>
      </c>
      <c r="C1286" s="434" t="s">
        <v>1436</v>
      </c>
      <c r="D1286" s="434" t="s">
        <v>510</v>
      </c>
      <c r="E1286" s="434" t="s">
        <v>1362</v>
      </c>
      <c r="F1286" s="434" t="s">
        <v>491</v>
      </c>
      <c r="G1286" s="593">
        <v>4918700</v>
      </c>
      <c r="H1286" s="434" t="s">
        <v>1441</v>
      </c>
      <c r="I1286" s="434" t="s">
        <v>1438</v>
      </c>
    </row>
    <row r="1287" spans="1:9" hidden="1" x14ac:dyDescent="0.4">
      <c r="A1287" s="434">
        <v>3</v>
      </c>
      <c r="B1287" s="434" t="s">
        <v>1699</v>
      </c>
      <c r="C1287" s="434" t="s">
        <v>1436</v>
      </c>
      <c r="D1287" s="434" t="s">
        <v>100</v>
      </c>
      <c r="E1287" s="434" t="s">
        <v>1363</v>
      </c>
      <c r="F1287" s="434" t="s">
        <v>491</v>
      </c>
      <c r="G1287" s="593">
        <v>2722500</v>
      </c>
      <c r="H1287" s="434" t="s">
        <v>1441</v>
      </c>
      <c r="I1287" s="434" t="s">
        <v>1438</v>
      </c>
    </row>
    <row r="1288" spans="1:9" hidden="1" x14ac:dyDescent="0.4">
      <c r="A1288" s="434">
        <v>3</v>
      </c>
      <c r="B1288" s="434" t="s">
        <v>1699</v>
      </c>
      <c r="C1288" s="434" t="s">
        <v>1436</v>
      </c>
      <c r="D1288" s="434" t="s">
        <v>101</v>
      </c>
      <c r="E1288" s="434" t="s">
        <v>1364</v>
      </c>
      <c r="F1288" s="434" t="s">
        <v>1135</v>
      </c>
      <c r="G1288" s="593">
        <v>1361300</v>
      </c>
      <c r="H1288" s="434" t="s">
        <v>1441</v>
      </c>
      <c r="I1288" s="434" t="s">
        <v>1438</v>
      </c>
    </row>
    <row r="1289" spans="1:9" hidden="1" x14ac:dyDescent="0.4">
      <c r="A1289" s="434">
        <v>3</v>
      </c>
      <c r="B1289" s="434" t="s">
        <v>1699</v>
      </c>
      <c r="C1289" s="434" t="s">
        <v>1439</v>
      </c>
      <c r="D1289" s="434" t="s">
        <v>160</v>
      </c>
      <c r="E1289" s="434" t="s">
        <v>1391</v>
      </c>
      <c r="F1289" s="434" t="s">
        <v>1449</v>
      </c>
      <c r="G1289" s="593">
        <v>626200</v>
      </c>
      <c r="H1289" s="434" t="s">
        <v>534</v>
      </c>
      <c r="I1289" s="434" t="s">
        <v>534</v>
      </c>
    </row>
    <row r="1290" spans="1:9" hidden="1" x14ac:dyDescent="0.4">
      <c r="A1290" s="434">
        <v>4</v>
      </c>
      <c r="B1290" s="434" t="s">
        <v>1700</v>
      </c>
      <c r="C1290" s="434" t="s">
        <v>1436</v>
      </c>
      <c r="D1290" s="434" t="s">
        <v>72</v>
      </c>
      <c r="E1290" s="434" t="s">
        <v>1348</v>
      </c>
      <c r="F1290" s="434" t="s">
        <v>1437</v>
      </c>
      <c r="G1290" s="593">
        <v>28211100</v>
      </c>
      <c r="H1290" s="434" t="s">
        <v>1438</v>
      </c>
      <c r="I1290" s="434" t="s">
        <v>1438</v>
      </c>
    </row>
    <row r="1291" spans="1:9" hidden="1" x14ac:dyDescent="0.4">
      <c r="A1291" s="434">
        <v>4</v>
      </c>
      <c r="B1291" s="434" t="s">
        <v>1700</v>
      </c>
      <c r="C1291" s="434" t="s">
        <v>1436</v>
      </c>
      <c r="D1291" s="434" t="s">
        <v>73</v>
      </c>
      <c r="E1291" s="434" t="s">
        <v>1349</v>
      </c>
      <c r="F1291" s="434" t="s">
        <v>1564</v>
      </c>
      <c r="G1291" s="593">
        <v>994200</v>
      </c>
      <c r="H1291" s="434" t="s">
        <v>1438</v>
      </c>
      <c r="I1291" s="434" t="s">
        <v>1438</v>
      </c>
    </row>
    <row r="1292" spans="1:9" hidden="1" x14ac:dyDescent="0.4">
      <c r="A1292" s="434">
        <v>4</v>
      </c>
      <c r="B1292" s="434" t="s">
        <v>1700</v>
      </c>
      <c r="C1292" s="434" t="s">
        <v>1436</v>
      </c>
      <c r="D1292" s="434" t="s">
        <v>76</v>
      </c>
      <c r="E1292" s="434" t="s">
        <v>1352</v>
      </c>
      <c r="F1292" s="434" t="s">
        <v>1056</v>
      </c>
      <c r="G1292" s="593">
        <v>2000000</v>
      </c>
      <c r="H1292" s="434" t="s">
        <v>1438</v>
      </c>
      <c r="I1292" s="434" t="s">
        <v>1438</v>
      </c>
    </row>
    <row r="1293" spans="1:9" hidden="1" x14ac:dyDescent="0.4">
      <c r="A1293" s="434">
        <v>4</v>
      </c>
      <c r="B1293" s="434" t="s">
        <v>1700</v>
      </c>
      <c r="C1293" s="434" t="s">
        <v>1436</v>
      </c>
      <c r="D1293" s="434" t="s">
        <v>80</v>
      </c>
      <c r="E1293" s="434" t="s">
        <v>1332</v>
      </c>
      <c r="F1293" s="434" t="s">
        <v>481</v>
      </c>
      <c r="G1293" s="593">
        <v>7698000</v>
      </c>
      <c r="H1293" s="434" t="s">
        <v>1438</v>
      </c>
      <c r="I1293" s="434" t="s">
        <v>1438</v>
      </c>
    </row>
    <row r="1294" spans="1:9" hidden="1" x14ac:dyDescent="0.4">
      <c r="A1294" s="434">
        <v>4</v>
      </c>
      <c r="B1294" s="434" t="s">
        <v>1700</v>
      </c>
      <c r="C1294" s="434" t="s">
        <v>1436</v>
      </c>
      <c r="D1294" s="434" t="s">
        <v>82</v>
      </c>
      <c r="E1294" s="434" t="s">
        <v>1333</v>
      </c>
      <c r="F1294" s="434" t="s">
        <v>482</v>
      </c>
      <c r="G1294" s="593">
        <v>6768400</v>
      </c>
      <c r="H1294" s="434" t="s">
        <v>1438</v>
      </c>
      <c r="I1294" s="434" t="s">
        <v>1438</v>
      </c>
    </row>
    <row r="1295" spans="1:9" hidden="1" x14ac:dyDescent="0.4">
      <c r="A1295" s="434">
        <v>4</v>
      </c>
      <c r="B1295" s="434" t="s">
        <v>1700</v>
      </c>
      <c r="C1295" s="434" t="s">
        <v>1436</v>
      </c>
      <c r="D1295" s="434" t="s">
        <v>84</v>
      </c>
      <c r="E1295" s="434" t="s">
        <v>1355</v>
      </c>
      <c r="F1295" s="434" t="s">
        <v>483</v>
      </c>
      <c r="G1295" s="593">
        <v>4128200</v>
      </c>
      <c r="H1295" s="434" t="s">
        <v>1438</v>
      </c>
      <c r="I1295" s="434" t="s">
        <v>1438</v>
      </c>
    </row>
    <row r="1296" spans="1:9" hidden="1" x14ac:dyDescent="0.4">
      <c r="A1296" s="434">
        <v>4</v>
      </c>
      <c r="B1296" s="434" t="s">
        <v>1700</v>
      </c>
      <c r="C1296" s="434" t="s">
        <v>1436</v>
      </c>
      <c r="D1296" s="434" t="s">
        <v>86</v>
      </c>
      <c r="E1296" s="434" t="s">
        <v>1356</v>
      </c>
      <c r="F1296" s="434" t="s">
        <v>484</v>
      </c>
      <c r="G1296" s="593">
        <v>3867700</v>
      </c>
      <c r="H1296" s="434" t="s">
        <v>1438</v>
      </c>
      <c r="I1296" s="434" t="s">
        <v>1438</v>
      </c>
    </row>
    <row r="1297" spans="1:9" hidden="1" x14ac:dyDescent="0.4">
      <c r="A1297" s="434">
        <v>4</v>
      </c>
      <c r="B1297" s="434" t="s">
        <v>1700</v>
      </c>
      <c r="C1297" s="434" t="s">
        <v>1436</v>
      </c>
      <c r="D1297" s="434" t="s">
        <v>90</v>
      </c>
      <c r="E1297" s="434" t="s">
        <v>1357</v>
      </c>
      <c r="F1297" s="434" t="s">
        <v>486</v>
      </c>
      <c r="G1297" s="593">
        <v>4582400</v>
      </c>
      <c r="H1297" s="434" t="s">
        <v>1438</v>
      </c>
      <c r="I1297" s="434" t="s">
        <v>1438</v>
      </c>
    </row>
    <row r="1298" spans="1:9" hidden="1" x14ac:dyDescent="0.4">
      <c r="A1298" s="434">
        <v>4</v>
      </c>
      <c r="B1298" s="434" t="s">
        <v>1700</v>
      </c>
      <c r="C1298" s="434" t="s">
        <v>1436</v>
      </c>
      <c r="D1298" s="434" t="s">
        <v>92</v>
      </c>
      <c r="E1298" s="434" t="s">
        <v>1358</v>
      </c>
      <c r="F1298" s="434" t="s">
        <v>487</v>
      </c>
      <c r="G1298" s="593">
        <v>247700</v>
      </c>
      <c r="H1298" s="434" t="s">
        <v>1438</v>
      </c>
      <c r="I1298" s="434" t="s">
        <v>1438</v>
      </c>
    </row>
    <row r="1299" spans="1:9" hidden="1" x14ac:dyDescent="0.4">
      <c r="A1299" s="434">
        <v>4</v>
      </c>
      <c r="B1299" s="434" t="s">
        <v>1700</v>
      </c>
      <c r="C1299" s="434" t="s">
        <v>1436</v>
      </c>
      <c r="D1299" s="434" t="s">
        <v>93</v>
      </c>
      <c r="E1299" s="434" t="s">
        <v>1359</v>
      </c>
      <c r="F1299" s="434" t="s">
        <v>488</v>
      </c>
      <c r="G1299" s="593">
        <v>743100</v>
      </c>
      <c r="H1299" s="434" t="s">
        <v>1438</v>
      </c>
      <c r="I1299" s="434" t="s">
        <v>1438</v>
      </c>
    </row>
    <row r="1300" spans="1:9" hidden="1" x14ac:dyDescent="0.4">
      <c r="A1300" s="434">
        <v>4</v>
      </c>
      <c r="B1300" s="434" t="s">
        <v>1700</v>
      </c>
      <c r="C1300" s="434" t="s">
        <v>1436</v>
      </c>
      <c r="D1300" s="434" t="s">
        <v>94</v>
      </c>
      <c r="E1300" s="434" t="s">
        <v>1360</v>
      </c>
      <c r="F1300" s="434" t="s">
        <v>489</v>
      </c>
      <c r="G1300" s="593">
        <v>2477000</v>
      </c>
      <c r="H1300" s="434" t="s">
        <v>1438</v>
      </c>
      <c r="I1300" s="434" t="s">
        <v>1438</v>
      </c>
    </row>
    <row r="1301" spans="1:9" hidden="1" x14ac:dyDescent="0.4">
      <c r="A1301" s="434">
        <v>4</v>
      </c>
      <c r="B1301" s="434" t="s">
        <v>1700</v>
      </c>
      <c r="C1301" s="434" t="s">
        <v>1436</v>
      </c>
      <c r="D1301" s="434" t="s">
        <v>96</v>
      </c>
      <c r="E1301" s="434" t="s">
        <v>1361</v>
      </c>
      <c r="F1301" s="434" t="s">
        <v>490</v>
      </c>
      <c r="G1301" s="593">
        <v>247700</v>
      </c>
      <c r="H1301" s="434" t="s">
        <v>1438</v>
      </c>
      <c r="I1301" s="434" t="s">
        <v>1438</v>
      </c>
    </row>
    <row r="1302" spans="1:9" hidden="1" x14ac:dyDescent="0.4">
      <c r="A1302" s="434">
        <v>4</v>
      </c>
      <c r="B1302" s="434" t="s">
        <v>1700</v>
      </c>
      <c r="C1302" s="434" t="s">
        <v>1436</v>
      </c>
      <c r="D1302" s="434" t="s">
        <v>510</v>
      </c>
      <c r="E1302" s="434" t="s">
        <v>1362</v>
      </c>
      <c r="F1302" s="434" t="s">
        <v>491</v>
      </c>
      <c r="G1302" s="593">
        <v>2685000</v>
      </c>
      <c r="H1302" s="434" t="s">
        <v>1438</v>
      </c>
      <c r="I1302" s="434" t="s">
        <v>1438</v>
      </c>
    </row>
    <row r="1303" spans="1:9" hidden="1" x14ac:dyDescent="0.4">
      <c r="A1303" s="434">
        <v>4</v>
      </c>
      <c r="B1303" s="434" t="s">
        <v>1700</v>
      </c>
      <c r="C1303" s="434" t="s">
        <v>1436</v>
      </c>
      <c r="D1303" s="434" t="s">
        <v>100</v>
      </c>
      <c r="E1303" s="434" t="s">
        <v>1363</v>
      </c>
      <c r="F1303" s="434" t="s">
        <v>491</v>
      </c>
      <c r="G1303" s="593">
        <v>1486200</v>
      </c>
      <c r="H1303" s="434" t="s">
        <v>1438</v>
      </c>
      <c r="I1303" s="434" t="s">
        <v>1438</v>
      </c>
    </row>
    <row r="1304" spans="1:9" hidden="1" x14ac:dyDescent="0.4">
      <c r="A1304" s="434">
        <v>4</v>
      </c>
      <c r="B1304" s="434" t="s">
        <v>1700</v>
      </c>
      <c r="C1304" s="434" t="s">
        <v>1436</v>
      </c>
      <c r="D1304" s="434" t="s">
        <v>101</v>
      </c>
      <c r="E1304" s="434" t="s">
        <v>1364</v>
      </c>
      <c r="F1304" s="434" t="s">
        <v>1135</v>
      </c>
      <c r="G1304" s="593">
        <v>743100</v>
      </c>
      <c r="H1304" s="434" t="s">
        <v>1438</v>
      </c>
      <c r="I1304" s="434" t="s">
        <v>1438</v>
      </c>
    </row>
    <row r="1305" spans="1:9" hidden="1" x14ac:dyDescent="0.4">
      <c r="A1305" s="434">
        <v>4</v>
      </c>
      <c r="B1305" s="434" t="s">
        <v>1700</v>
      </c>
      <c r="C1305" s="434" t="s">
        <v>1439</v>
      </c>
      <c r="D1305" s="434" t="s">
        <v>160</v>
      </c>
      <c r="E1305" s="434" t="s">
        <v>1391</v>
      </c>
      <c r="F1305" s="434" t="s">
        <v>1701</v>
      </c>
      <c r="G1305" s="593">
        <v>341800</v>
      </c>
      <c r="H1305" s="434" t="s">
        <v>534</v>
      </c>
      <c r="I1305" s="434" t="s">
        <v>534</v>
      </c>
    </row>
    <row r="1306" spans="1:9" hidden="1" x14ac:dyDescent="0.4">
      <c r="A1306" s="434">
        <v>4</v>
      </c>
      <c r="B1306" s="434" t="s">
        <v>1702</v>
      </c>
      <c r="C1306" s="434" t="s">
        <v>1436</v>
      </c>
      <c r="D1306" s="434" t="s">
        <v>72</v>
      </c>
      <c r="E1306" s="434" t="s">
        <v>1348</v>
      </c>
      <c r="F1306" s="434" t="s">
        <v>1437</v>
      </c>
      <c r="G1306" s="593">
        <v>58232900</v>
      </c>
      <c r="H1306" s="434" t="s">
        <v>1438</v>
      </c>
      <c r="I1306" s="434" t="s">
        <v>1438</v>
      </c>
    </row>
    <row r="1307" spans="1:9" hidden="1" x14ac:dyDescent="0.4">
      <c r="A1307" s="434">
        <v>4</v>
      </c>
      <c r="B1307" s="434" t="s">
        <v>1702</v>
      </c>
      <c r="C1307" s="434" t="s">
        <v>1436</v>
      </c>
      <c r="D1307" s="434" t="s">
        <v>80</v>
      </c>
      <c r="E1307" s="434" t="s">
        <v>1332</v>
      </c>
      <c r="F1307" s="434" t="s">
        <v>481</v>
      </c>
      <c r="G1307" s="593">
        <v>16705400</v>
      </c>
      <c r="H1307" s="434" t="s">
        <v>1438</v>
      </c>
      <c r="I1307" s="434" t="s">
        <v>1438</v>
      </c>
    </row>
    <row r="1308" spans="1:9" hidden="1" x14ac:dyDescent="0.4">
      <c r="A1308" s="434">
        <v>4</v>
      </c>
      <c r="B1308" s="434" t="s">
        <v>1702</v>
      </c>
      <c r="C1308" s="434" t="s">
        <v>1436</v>
      </c>
      <c r="D1308" s="434" t="s">
        <v>82</v>
      </c>
      <c r="E1308" s="434" t="s">
        <v>1333</v>
      </c>
      <c r="F1308" s="434" t="s">
        <v>482</v>
      </c>
      <c r="G1308" s="593">
        <v>13688600</v>
      </c>
      <c r="H1308" s="434" t="s">
        <v>1438</v>
      </c>
      <c r="I1308" s="434" t="s">
        <v>1438</v>
      </c>
    </row>
    <row r="1309" spans="1:9" hidden="1" x14ac:dyDescent="0.4">
      <c r="A1309" s="434">
        <v>4</v>
      </c>
      <c r="B1309" s="434" t="s">
        <v>1702</v>
      </c>
      <c r="C1309" s="434" t="s">
        <v>1436</v>
      </c>
      <c r="D1309" s="434" t="s">
        <v>84</v>
      </c>
      <c r="E1309" s="434" t="s">
        <v>1355</v>
      </c>
      <c r="F1309" s="434" t="s">
        <v>483</v>
      </c>
      <c r="G1309" s="593">
        <v>8470400</v>
      </c>
      <c r="H1309" s="434" t="s">
        <v>1438</v>
      </c>
      <c r="I1309" s="434" t="s">
        <v>1438</v>
      </c>
    </row>
    <row r="1310" spans="1:9" hidden="1" x14ac:dyDescent="0.4">
      <c r="A1310" s="434">
        <v>4</v>
      </c>
      <c r="B1310" s="434" t="s">
        <v>1702</v>
      </c>
      <c r="C1310" s="434" t="s">
        <v>1436</v>
      </c>
      <c r="D1310" s="434" t="s">
        <v>86</v>
      </c>
      <c r="E1310" s="434" t="s">
        <v>1356</v>
      </c>
      <c r="F1310" s="434" t="s">
        <v>484</v>
      </c>
      <c r="G1310" s="593">
        <v>7370300</v>
      </c>
      <c r="H1310" s="434" t="s">
        <v>1438</v>
      </c>
      <c r="I1310" s="434" t="s">
        <v>1438</v>
      </c>
    </row>
    <row r="1311" spans="1:9" hidden="1" x14ac:dyDescent="0.4">
      <c r="A1311" s="434">
        <v>4</v>
      </c>
      <c r="B1311" s="434" t="s">
        <v>1702</v>
      </c>
      <c r="C1311" s="434" t="s">
        <v>1436</v>
      </c>
      <c r="D1311" s="434" t="s">
        <v>87</v>
      </c>
      <c r="E1311" s="434" t="s">
        <v>1334</v>
      </c>
      <c r="F1311" s="434" t="s">
        <v>485</v>
      </c>
      <c r="G1311" s="593">
        <v>5647200</v>
      </c>
      <c r="H1311" s="434" t="s">
        <v>1438</v>
      </c>
      <c r="I1311" s="434" t="s">
        <v>1438</v>
      </c>
    </row>
    <row r="1312" spans="1:9" hidden="1" x14ac:dyDescent="0.4">
      <c r="A1312" s="434">
        <v>4</v>
      </c>
      <c r="B1312" s="434" t="s">
        <v>1702</v>
      </c>
      <c r="C1312" s="434" t="s">
        <v>1436</v>
      </c>
      <c r="D1312" s="434" t="s">
        <v>90</v>
      </c>
      <c r="E1312" s="434" t="s">
        <v>1357</v>
      </c>
      <c r="F1312" s="434" t="s">
        <v>486</v>
      </c>
      <c r="G1312" s="593">
        <v>9402100</v>
      </c>
      <c r="H1312" s="434" t="s">
        <v>1438</v>
      </c>
      <c r="I1312" s="434" t="s">
        <v>1438</v>
      </c>
    </row>
    <row r="1313" spans="1:9" hidden="1" x14ac:dyDescent="0.4">
      <c r="A1313" s="434">
        <v>4</v>
      </c>
      <c r="B1313" s="434" t="s">
        <v>1702</v>
      </c>
      <c r="C1313" s="434" t="s">
        <v>1436</v>
      </c>
      <c r="D1313" s="434" t="s">
        <v>92</v>
      </c>
      <c r="E1313" s="434" t="s">
        <v>1358</v>
      </c>
      <c r="F1313" s="434" t="s">
        <v>487</v>
      </c>
      <c r="G1313" s="593">
        <v>508200</v>
      </c>
      <c r="H1313" s="434" t="s">
        <v>1438</v>
      </c>
      <c r="I1313" s="434" t="s">
        <v>1438</v>
      </c>
    </row>
    <row r="1314" spans="1:9" hidden="1" x14ac:dyDescent="0.4">
      <c r="A1314" s="434">
        <v>4</v>
      </c>
      <c r="B1314" s="434" t="s">
        <v>1702</v>
      </c>
      <c r="C1314" s="434" t="s">
        <v>1436</v>
      </c>
      <c r="D1314" s="434" t="s">
        <v>93</v>
      </c>
      <c r="E1314" s="434" t="s">
        <v>1359</v>
      </c>
      <c r="F1314" s="434" t="s">
        <v>488</v>
      </c>
      <c r="G1314" s="593">
        <v>1524700</v>
      </c>
      <c r="H1314" s="434" t="s">
        <v>1438</v>
      </c>
      <c r="I1314" s="434" t="s">
        <v>1438</v>
      </c>
    </row>
    <row r="1315" spans="1:9" hidden="1" x14ac:dyDescent="0.4">
      <c r="A1315" s="434">
        <v>4</v>
      </c>
      <c r="B1315" s="434" t="s">
        <v>1702</v>
      </c>
      <c r="C1315" s="434" t="s">
        <v>1436</v>
      </c>
      <c r="D1315" s="434" t="s">
        <v>94</v>
      </c>
      <c r="E1315" s="434" t="s">
        <v>1360</v>
      </c>
      <c r="F1315" s="434" t="s">
        <v>489</v>
      </c>
      <c r="G1315" s="593">
        <v>5082200</v>
      </c>
      <c r="H1315" s="434" t="s">
        <v>1438</v>
      </c>
      <c r="I1315" s="434" t="s">
        <v>1438</v>
      </c>
    </row>
    <row r="1316" spans="1:9" hidden="1" x14ac:dyDescent="0.4">
      <c r="A1316" s="434">
        <v>4</v>
      </c>
      <c r="B1316" s="434" t="s">
        <v>1702</v>
      </c>
      <c r="C1316" s="434" t="s">
        <v>1436</v>
      </c>
      <c r="D1316" s="434" t="s">
        <v>96</v>
      </c>
      <c r="E1316" s="434" t="s">
        <v>1361</v>
      </c>
      <c r="F1316" s="434" t="s">
        <v>490</v>
      </c>
      <c r="G1316" s="593">
        <v>508200</v>
      </c>
      <c r="H1316" s="434" t="s">
        <v>1438</v>
      </c>
      <c r="I1316" s="434" t="s">
        <v>1438</v>
      </c>
    </row>
    <row r="1317" spans="1:9" hidden="1" x14ac:dyDescent="0.4">
      <c r="A1317" s="434">
        <v>4</v>
      </c>
      <c r="B1317" s="434" t="s">
        <v>1702</v>
      </c>
      <c r="C1317" s="434" t="s">
        <v>1436</v>
      </c>
      <c r="D1317" s="434" t="s">
        <v>510</v>
      </c>
      <c r="E1317" s="434" t="s">
        <v>1362</v>
      </c>
      <c r="F1317" s="434" t="s">
        <v>491</v>
      </c>
      <c r="G1317" s="593">
        <v>5509100</v>
      </c>
      <c r="H1317" s="434" t="s">
        <v>1438</v>
      </c>
      <c r="I1317" s="434" t="s">
        <v>1438</v>
      </c>
    </row>
    <row r="1318" spans="1:9" hidden="1" x14ac:dyDescent="0.4">
      <c r="A1318" s="434">
        <v>4</v>
      </c>
      <c r="B1318" s="434" t="s">
        <v>1702</v>
      </c>
      <c r="C1318" s="434" t="s">
        <v>1436</v>
      </c>
      <c r="D1318" s="434" t="s">
        <v>100</v>
      </c>
      <c r="E1318" s="434" t="s">
        <v>1363</v>
      </c>
      <c r="F1318" s="434" t="s">
        <v>491</v>
      </c>
      <c r="G1318" s="593">
        <v>3049300</v>
      </c>
      <c r="H1318" s="434" t="s">
        <v>1438</v>
      </c>
      <c r="I1318" s="434" t="s">
        <v>1438</v>
      </c>
    </row>
    <row r="1319" spans="1:9" hidden="1" x14ac:dyDescent="0.4">
      <c r="A1319" s="434">
        <v>4</v>
      </c>
      <c r="B1319" s="434" t="s">
        <v>1702</v>
      </c>
      <c r="C1319" s="434" t="s">
        <v>1436</v>
      </c>
      <c r="D1319" s="434" t="s">
        <v>101</v>
      </c>
      <c r="E1319" s="434" t="s">
        <v>1364</v>
      </c>
      <c r="F1319" s="434" t="s">
        <v>1135</v>
      </c>
      <c r="G1319" s="593">
        <v>1524700</v>
      </c>
      <c r="H1319" s="434" t="s">
        <v>1438</v>
      </c>
      <c r="I1319" s="434" t="s">
        <v>1438</v>
      </c>
    </row>
    <row r="1320" spans="1:9" hidden="1" x14ac:dyDescent="0.4">
      <c r="A1320" s="1437">
        <v>4</v>
      </c>
      <c r="B1320" s="1437" t="s">
        <v>1700</v>
      </c>
      <c r="C1320" s="1437" t="s">
        <v>1439</v>
      </c>
      <c r="D1320" s="1437" t="s">
        <v>160</v>
      </c>
      <c r="E1320" s="1437" t="s">
        <v>1391</v>
      </c>
      <c r="F1320" s="1437" t="s">
        <v>1701</v>
      </c>
      <c r="G1320" s="1438">
        <v>120000</v>
      </c>
      <c r="H1320" s="1437" t="s">
        <v>534</v>
      </c>
      <c r="I1320" s="1437" t="s">
        <v>534</v>
      </c>
    </row>
    <row r="1321" spans="1:9" hidden="1" x14ac:dyDescent="0.4">
      <c r="A1321" s="434">
        <v>4</v>
      </c>
      <c r="B1321" s="434" t="s">
        <v>1702</v>
      </c>
      <c r="C1321" s="434" t="s">
        <v>1439</v>
      </c>
      <c r="D1321" s="434" t="s">
        <v>160</v>
      </c>
      <c r="E1321" s="434" t="s">
        <v>1391</v>
      </c>
      <c r="F1321" s="434" t="s">
        <v>1449</v>
      </c>
      <c r="G1321" s="593">
        <v>662400</v>
      </c>
      <c r="H1321" s="434" t="s">
        <v>534</v>
      </c>
      <c r="I1321" s="434" t="s">
        <v>534</v>
      </c>
    </row>
    <row r="1322" spans="1:9" hidden="1" x14ac:dyDescent="0.4">
      <c r="A1322" s="434">
        <v>4</v>
      </c>
      <c r="B1322" s="434" t="s">
        <v>1703</v>
      </c>
      <c r="C1322" s="434" t="s">
        <v>1436</v>
      </c>
      <c r="D1322" s="434" t="s">
        <v>72</v>
      </c>
      <c r="E1322" s="434" t="s">
        <v>1348</v>
      </c>
      <c r="F1322" s="434" t="s">
        <v>1437</v>
      </c>
      <c r="G1322" s="593">
        <v>23887600</v>
      </c>
      <c r="H1322" s="434" t="s">
        <v>1438</v>
      </c>
      <c r="I1322" s="434" t="s">
        <v>1438</v>
      </c>
    </row>
    <row r="1323" spans="1:9" hidden="1" x14ac:dyDescent="0.4">
      <c r="A1323" s="434">
        <v>4</v>
      </c>
      <c r="B1323" s="434" t="s">
        <v>1703</v>
      </c>
      <c r="C1323" s="434" t="s">
        <v>1436</v>
      </c>
      <c r="D1323" s="434" t="s">
        <v>80</v>
      </c>
      <c r="E1323" s="434" t="s">
        <v>1332</v>
      </c>
      <c r="F1323" s="434" t="s">
        <v>481</v>
      </c>
      <c r="G1323" s="593">
        <v>142320</v>
      </c>
      <c r="H1323" s="434" t="s">
        <v>1438</v>
      </c>
      <c r="I1323" s="434" t="s">
        <v>1438</v>
      </c>
    </row>
    <row r="1324" spans="1:9" hidden="1" x14ac:dyDescent="0.4">
      <c r="A1324" s="434">
        <v>4</v>
      </c>
      <c r="B1324" s="434" t="s">
        <v>1703</v>
      </c>
      <c r="C1324" s="434" t="s">
        <v>1436</v>
      </c>
      <c r="D1324" s="434" t="s">
        <v>80</v>
      </c>
      <c r="E1324" s="434" t="s">
        <v>1332</v>
      </c>
      <c r="F1324" s="434"/>
      <c r="G1324" s="1277">
        <v>9395280</v>
      </c>
      <c r="H1324" s="434" t="s">
        <v>1441</v>
      </c>
      <c r="I1324" s="434" t="s">
        <v>1438</v>
      </c>
    </row>
    <row r="1325" spans="1:9" hidden="1" x14ac:dyDescent="0.4">
      <c r="A1325" s="434">
        <v>4</v>
      </c>
      <c r="B1325" s="434" t="s">
        <v>1703</v>
      </c>
      <c r="C1325" s="434" t="s">
        <v>1436</v>
      </c>
      <c r="D1325" s="434" t="s">
        <v>82</v>
      </c>
      <c r="E1325" s="434" t="s">
        <v>1333</v>
      </c>
      <c r="F1325" s="434" t="s">
        <v>482</v>
      </c>
      <c r="G1325" s="593">
        <v>5263200</v>
      </c>
      <c r="H1325" s="434" t="s">
        <v>1438</v>
      </c>
      <c r="I1325" s="434" t="s">
        <v>1438</v>
      </c>
    </row>
    <row r="1326" spans="1:9" hidden="1" x14ac:dyDescent="0.4">
      <c r="A1326" s="434">
        <v>4</v>
      </c>
      <c r="B1326" s="434" t="s">
        <v>1703</v>
      </c>
      <c r="C1326" s="434" t="s">
        <v>1436</v>
      </c>
      <c r="D1326" s="434" t="s">
        <v>84</v>
      </c>
      <c r="E1326" s="434" t="s">
        <v>1355</v>
      </c>
      <c r="F1326" s="434" t="s">
        <v>483</v>
      </c>
      <c r="G1326" s="593">
        <v>3563700</v>
      </c>
      <c r="H1326" s="434" t="s">
        <v>1438</v>
      </c>
      <c r="I1326" s="434" t="s">
        <v>1438</v>
      </c>
    </row>
    <row r="1327" spans="1:9" hidden="1" x14ac:dyDescent="0.4">
      <c r="A1327" s="434">
        <v>4</v>
      </c>
      <c r="B1327" s="434" t="s">
        <v>1703</v>
      </c>
      <c r="C1327" s="434" t="s">
        <v>1436</v>
      </c>
      <c r="D1327" s="434" t="s">
        <v>86</v>
      </c>
      <c r="E1327" s="434" t="s">
        <v>1356</v>
      </c>
      <c r="F1327" s="434" t="s">
        <v>484</v>
      </c>
      <c r="G1327" s="593">
        <v>3189300</v>
      </c>
      <c r="H1327" s="434" t="s">
        <v>1438</v>
      </c>
      <c r="I1327" s="434" t="s">
        <v>1438</v>
      </c>
    </row>
    <row r="1328" spans="1:9" hidden="1" x14ac:dyDescent="0.4">
      <c r="A1328" s="434">
        <v>4</v>
      </c>
      <c r="B1328" s="434" t="s">
        <v>1703</v>
      </c>
      <c r="C1328" s="434" t="s">
        <v>1436</v>
      </c>
      <c r="D1328" s="434" t="s">
        <v>87</v>
      </c>
      <c r="E1328" s="434" t="s">
        <v>1334</v>
      </c>
      <c r="F1328" s="434" t="s">
        <v>485</v>
      </c>
      <c r="G1328" s="593">
        <v>886500</v>
      </c>
      <c r="H1328" s="434" t="s">
        <v>1438</v>
      </c>
      <c r="I1328" s="434" t="s">
        <v>1438</v>
      </c>
    </row>
    <row r="1329" spans="1:9" hidden="1" x14ac:dyDescent="0.4">
      <c r="A1329" s="434">
        <v>4</v>
      </c>
      <c r="B1329" s="434" t="s">
        <v>1703</v>
      </c>
      <c r="C1329" s="434" t="s">
        <v>1436</v>
      </c>
      <c r="D1329" s="434" t="s">
        <v>90</v>
      </c>
      <c r="E1329" s="434" t="s">
        <v>1357</v>
      </c>
      <c r="F1329" s="434" t="s">
        <v>486</v>
      </c>
      <c r="G1329" s="593">
        <v>3955700</v>
      </c>
      <c r="H1329" s="434" t="s">
        <v>1438</v>
      </c>
      <c r="I1329" s="434" t="s">
        <v>1438</v>
      </c>
    </row>
    <row r="1330" spans="1:9" hidden="1" x14ac:dyDescent="0.4">
      <c r="A1330" s="434">
        <v>4</v>
      </c>
      <c r="B1330" s="434" t="s">
        <v>1703</v>
      </c>
      <c r="C1330" s="434" t="s">
        <v>1436</v>
      </c>
      <c r="D1330" s="434" t="s">
        <v>92</v>
      </c>
      <c r="E1330" s="434" t="s">
        <v>1358</v>
      </c>
      <c r="F1330" s="434" t="s">
        <v>487</v>
      </c>
      <c r="G1330" s="593">
        <v>213800</v>
      </c>
      <c r="H1330" s="434" t="s">
        <v>1438</v>
      </c>
      <c r="I1330" s="434" t="s">
        <v>1438</v>
      </c>
    </row>
    <row r="1331" spans="1:9" hidden="1" x14ac:dyDescent="0.4">
      <c r="A1331" s="434">
        <v>4</v>
      </c>
      <c r="B1331" s="434" t="s">
        <v>1703</v>
      </c>
      <c r="C1331" s="434" t="s">
        <v>1436</v>
      </c>
      <c r="D1331" s="434" t="s">
        <v>93</v>
      </c>
      <c r="E1331" s="434" t="s">
        <v>1359</v>
      </c>
      <c r="F1331" s="434" t="s">
        <v>488</v>
      </c>
      <c r="G1331" s="593">
        <v>641500</v>
      </c>
      <c r="H1331" s="434" t="s">
        <v>1438</v>
      </c>
      <c r="I1331" s="434" t="s">
        <v>1438</v>
      </c>
    </row>
    <row r="1332" spans="1:9" hidden="1" x14ac:dyDescent="0.4">
      <c r="A1332" s="434">
        <v>4</v>
      </c>
      <c r="B1332" s="434" t="s">
        <v>1703</v>
      </c>
      <c r="C1332" s="434" t="s">
        <v>1436</v>
      </c>
      <c r="D1332" s="434" t="s">
        <v>94</v>
      </c>
      <c r="E1332" s="434" t="s">
        <v>1360</v>
      </c>
      <c r="F1332" s="434" t="s">
        <v>489</v>
      </c>
      <c r="G1332" s="593">
        <v>2138200</v>
      </c>
      <c r="H1332" s="434" t="s">
        <v>1438</v>
      </c>
      <c r="I1332" s="434" t="s">
        <v>1438</v>
      </c>
    </row>
    <row r="1333" spans="1:9" hidden="1" x14ac:dyDescent="0.4">
      <c r="A1333" s="434">
        <v>4</v>
      </c>
      <c r="B1333" s="434" t="s">
        <v>1703</v>
      </c>
      <c r="C1333" s="434" t="s">
        <v>1436</v>
      </c>
      <c r="D1333" s="434" t="s">
        <v>96</v>
      </c>
      <c r="E1333" s="434" t="s">
        <v>1361</v>
      </c>
      <c r="F1333" s="434" t="s">
        <v>490</v>
      </c>
      <c r="G1333" s="593">
        <v>213800</v>
      </c>
      <c r="H1333" s="434" t="s">
        <v>1438</v>
      </c>
      <c r="I1333" s="434" t="s">
        <v>1438</v>
      </c>
    </row>
    <row r="1334" spans="1:9" hidden="1" x14ac:dyDescent="0.4">
      <c r="A1334" s="434">
        <v>4</v>
      </c>
      <c r="B1334" s="434" t="s">
        <v>1703</v>
      </c>
      <c r="C1334" s="434" t="s">
        <v>1436</v>
      </c>
      <c r="D1334" s="434" t="s">
        <v>510</v>
      </c>
      <c r="E1334" s="434" t="s">
        <v>1362</v>
      </c>
      <c r="F1334" s="434" t="s">
        <v>491</v>
      </c>
      <c r="G1334" s="593">
        <v>2317800</v>
      </c>
      <c r="H1334" s="434" t="s">
        <v>1438</v>
      </c>
      <c r="I1334" s="434" t="s">
        <v>1438</v>
      </c>
    </row>
    <row r="1335" spans="1:9" hidden="1" x14ac:dyDescent="0.4">
      <c r="A1335" s="434">
        <v>4</v>
      </c>
      <c r="B1335" s="434" t="s">
        <v>1703</v>
      </c>
      <c r="C1335" s="434" t="s">
        <v>1436</v>
      </c>
      <c r="D1335" s="434" t="s">
        <v>100</v>
      </c>
      <c r="E1335" s="434" t="s">
        <v>1363</v>
      </c>
      <c r="F1335" s="434" t="s">
        <v>491</v>
      </c>
      <c r="G1335" s="593">
        <v>1282900</v>
      </c>
      <c r="H1335" s="434" t="s">
        <v>1438</v>
      </c>
      <c r="I1335" s="434" t="s">
        <v>1438</v>
      </c>
    </row>
    <row r="1336" spans="1:9" hidden="1" x14ac:dyDescent="0.4">
      <c r="A1336" s="434">
        <v>4</v>
      </c>
      <c r="B1336" s="434" t="s">
        <v>1703</v>
      </c>
      <c r="C1336" s="434" t="s">
        <v>1436</v>
      </c>
      <c r="D1336" s="434" t="s">
        <v>101</v>
      </c>
      <c r="E1336" s="434" t="s">
        <v>1364</v>
      </c>
      <c r="F1336" s="434" t="s">
        <v>1135</v>
      </c>
      <c r="G1336" s="593">
        <v>641500</v>
      </c>
      <c r="H1336" s="434" t="s">
        <v>1438</v>
      </c>
      <c r="I1336" s="434" t="s">
        <v>1438</v>
      </c>
    </row>
    <row r="1337" spans="1:9" hidden="1" x14ac:dyDescent="0.4">
      <c r="A1337" s="434">
        <v>4</v>
      </c>
      <c r="B1337" s="434" t="s">
        <v>1703</v>
      </c>
      <c r="C1337" s="434" t="s">
        <v>1439</v>
      </c>
      <c r="D1337" s="434" t="s">
        <v>160</v>
      </c>
      <c r="E1337" s="434" t="s">
        <v>1391</v>
      </c>
      <c r="F1337" s="434" t="s">
        <v>1449</v>
      </c>
      <c r="G1337" s="593">
        <v>256000</v>
      </c>
      <c r="H1337" s="434" t="s">
        <v>534</v>
      </c>
      <c r="I1337" s="434" t="s">
        <v>534</v>
      </c>
    </row>
    <row r="1338" spans="1:9" hidden="1" x14ac:dyDescent="0.4">
      <c r="A1338" s="434">
        <v>4</v>
      </c>
      <c r="B1338" s="434" t="s">
        <v>1704</v>
      </c>
      <c r="C1338" s="434" t="s">
        <v>1436</v>
      </c>
      <c r="D1338" s="434" t="s">
        <v>72</v>
      </c>
      <c r="E1338" s="434" t="s">
        <v>1348</v>
      </c>
      <c r="F1338" s="434" t="s">
        <v>1437</v>
      </c>
      <c r="G1338" s="593">
        <v>22939800</v>
      </c>
      <c r="H1338" s="434" t="s">
        <v>1438</v>
      </c>
      <c r="I1338" s="434" t="s">
        <v>1438</v>
      </c>
    </row>
    <row r="1339" spans="1:9" hidden="1" x14ac:dyDescent="0.4">
      <c r="A1339" s="434">
        <v>4</v>
      </c>
      <c r="B1339" s="434" t="s">
        <v>1704</v>
      </c>
      <c r="C1339" s="434" t="s">
        <v>1436</v>
      </c>
      <c r="D1339" s="434" t="s">
        <v>80</v>
      </c>
      <c r="E1339" s="434" t="s">
        <v>1332</v>
      </c>
      <c r="F1339" s="434" t="s">
        <v>481</v>
      </c>
      <c r="G1339" s="593">
        <v>3748300</v>
      </c>
      <c r="H1339" s="434" t="s">
        <v>1438</v>
      </c>
      <c r="I1339" s="434" t="s">
        <v>1438</v>
      </c>
    </row>
    <row r="1340" spans="1:9" hidden="1" x14ac:dyDescent="0.4">
      <c r="A1340" s="434">
        <v>4</v>
      </c>
      <c r="B1340" s="434" t="s">
        <v>1704</v>
      </c>
      <c r="C1340" s="434" t="s">
        <v>1436</v>
      </c>
      <c r="D1340" s="434" t="s">
        <v>82</v>
      </c>
      <c r="E1340" s="434" t="s">
        <v>1333</v>
      </c>
      <c r="F1340" s="434" t="s">
        <v>482</v>
      </c>
      <c r="G1340" s="593">
        <v>7532200</v>
      </c>
      <c r="H1340" s="434" t="s">
        <v>1438</v>
      </c>
      <c r="I1340" s="434" t="s">
        <v>1438</v>
      </c>
    </row>
    <row r="1341" spans="1:9" hidden="1" x14ac:dyDescent="0.4">
      <c r="A1341" s="434">
        <v>4</v>
      </c>
      <c r="B1341" s="434" t="s">
        <v>1704</v>
      </c>
      <c r="C1341" s="434" t="s">
        <v>1436</v>
      </c>
      <c r="D1341" s="434" t="s">
        <v>84</v>
      </c>
      <c r="E1341" s="434" t="s">
        <v>1355</v>
      </c>
      <c r="F1341" s="434" t="s">
        <v>483</v>
      </c>
      <c r="G1341" s="593">
        <v>3091700</v>
      </c>
      <c r="H1341" s="434" t="s">
        <v>1438</v>
      </c>
      <c r="I1341" s="434" t="s">
        <v>1438</v>
      </c>
    </row>
    <row r="1342" spans="1:9" hidden="1" x14ac:dyDescent="0.4">
      <c r="A1342" s="434">
        <v>4</v>
      </c>
      <c r="B1342" s="434" t="s">
        <v>1704</v>
      </c>
      <c r="C1342" s="434" t="s">
        <v>1436</v>
      </c>
      <c r="D1342" s="434" t="s">
        <v>86</v>
      </c>
      <c r="E1342" s="434" t="s">
        <v>1356</v>
      </c>
      <c r="F1342" s="434" t="s">
        <v>484</v>
      </c>
      <c r="G1342" s="593">
        <v>2879500</v>
      </c>
      <c r="H1342" s="434" t="s">
        <v>1438</v>
      </c>
      <c r="I1342" s="434" t="s">
        <v>1438</v>
      </c>
    </row>
    <row r="1343" spans="1:9" hidden="1" x14ac:dyDescent="0.4">
      <c r="A1343" s="434">
        <v>4</v>
      </c>
      <c r="B1343" s="434" t="s">
        <v>1704</v>
      </c>
      <c r="C1343" s="434" t="s">
        <v>1436</v>
      </c>
      <c r="D1343" s="434" t="s">
        <v>90</v>
      </c>
      <c r="E1343" s="434" t="s">
        <v>1357</v>
      </c>
      <c r="F1343" s="434" t="s">
        <v>486</v>
      </c>
      <c r="G1343" s="593">
        <v>3431700</v>
      </c>
      <c r="H1343" s="434" t="s">
        <v>1438</v>
      </c>
      <c r="I1343" s="434" t="s">
        <v>1438</v>
      </c>
    </row>
    <row r="1344" spans="1:9" hidden="1" x14ac:dyDescent="0.4">
      <c r="A1344" s="434">
        <v>4</v>
      </c>
      <c r="B1344" s="434" t="s">
        <v>1704</v>
      </c>
      <c r="C1344" s="434" t="s">
        <v>1436</v>
      </c>
      <c r="D1344" s="434" t="s">
        <v>92</v>
      </c>
      <c r="E1344" s="434" t="s">
        <v>1358</v>
      </c>
      <c r="F1344" s="434" t="s">
        <v>487</v>
      </c>
      <c r="G1344" s="593">
        <v>185500</v>
      </c>
      <c r="H1344" s="434" t="s">
        <v>1438</v>
      </c>
      <c r="I1344" s="434" t="s">
        <v>1438</v>
      </c>
    </row>
    <row r="1345" spans="1:9" hidden="1" x14ac:dyDescent="0.4">
      <c r="A1345" s="434">
        <v>4</v>
      </c>
      <c r="B1345" s="434" t="s">
        <v>1704</v>
      </c>
      <c r="C1345" s="434" t="s">
        <v>1436</v>
      </c>
      <c r="D1345" s="434" t="s">
        <v>93</v>
      </c>
      <c r="E1345" s="434" t="s">
        <v>1359</v>
      </c>
      <c r="F1345" s="434" t="s">
        <v>488</v>
      </c>
      <c r="G1345" s="593">
        <v>556500</v>
      </c>
      <c r="H1345" s="434" t="s">
        <v>1438</v>
      </c>
      <c r="I1345" s="434" t="s">
        <v>1438</v>
      </c>
    </row>
    <row r="1346" spans="1:9" hidden="1" x14ac:dyDescent="0.4">
      <c r="A1346" s="434">
        <v>4</v>
      </c>
      <c r="B1346" s="434" t="s">
        <v>1704</v>
      </c>
      <c r="C1346" s="434" t="s">
        <v>1436</v>
      </c>
      <c r="D1346" s="434" t="s">
        <v>94</v>
      </c>
      <c r="E1346" s="434" t="s">
        <v>1360</v>
      </c>
      <c r="F1346" s="434" t="s">
        <v>489</v>
      </c>
      <c r="G1346" s="593">
        <v>1855000</v>
      </c>
      <c r="H1346" s="434" t="s">
        <v>1438</v>
      </c>
      <c r="I1346" s="434" t="s">
        <v>1438</v>
      </c>
    </row>
    <row r="1347" spans="1:9" hidden="1" x14ac:dyDescent="0.4">
      <c r="A1347" s="434">
        <v>4</v>
      </c>
      <c r="B1347" s="434" t="s">
        <v>1704</v>
      </c>
      <c r="C1347" s="434" t="s">
        <v>1436</v>
      </c>
      <c r="D1347" s="434" t="s">
        <v>96</v>
      </c>
      <c r="E1347" s="434" t="s">
        <v>1361</v>
      </c>
      <c r="F1347" s="434" t="s">
        <v>490</v>
      </c>
      <c r="G1347" s="593">
        <v>185500</v>
      </c>
      <c r="H1347" s="434" t="s">
        <v>1438</v>
      </c>
      <c r="I1347" s="434" t="s">
        <v>1438</v>
      </c>
    </row>
    <row r="1348" spans="1:9" hidden="1" x14ac:dyDescent="0.4">
      <c r="A1348" s="434">
        <v>4</v>
      </c>
      <c r="B1348" s="434" t="s">
        <v>1704</v>
      </c>
      <c r="C1348" s="434" t="s">
        <v>1436</v>
      </c>
      <c r="D1348" s="434" t="s">
        <v>510</v>
      </c>
      <c r="E1348" s="434" t="s">
        <v>1362</v>
      </c>
      <c r="F1348" s="434" t="s">
        <v>491</v>
      </c>
      <c r="G1348" s="593">
        <v>2010800</v>
      </c>
      <c r="H1348" s="434" t="s">
        <v>1438</v>
      </c>
      <c r="I1348" s="434" t="s">
        <v>1438</v>
      </c>
    </row>
    <row r="1349" spans="1:9" hidden="1" x14ac:dyDescent="0.4">
      <c r="A1349" s="434">
        <v>4</v>
      </c>
      <c r="B1349" s="434" t="s">
        <v>1704</v>
      </c>
      <c r="C1349" s="434" t="s">
        <v>1436</v>
      </c>
      <c r="D1349" s="434" t="s">
        <v>100</v>
      </c>
      <c r="E1349" s="434" t="s">
        <v>1363</v>
      </c>
      <c r="F1349" s="434" t="s">
        <v>491</v>
      </c>
      <c r="G1349" s="593">
        <v>1113000</v>
      </c>
      <c r="H1349" s="434" t="s">
        <v>1438</v>
      </c>
      <c r="I1349" s="434" t="s">
        <v>1438</v>
      </c>
    </row>
    <row r="1350" spans="1:9" hidden="1" x14ac:dyDescent="0.4">
      <c r="A1350" s="434">
        <v>4</v>
      </c>
      <c r="B1350" s="434" t="s">
        <v>1704</v>
      </c>
      <c r="C1350" s="434" t="s">
        <v>1436</v>
      </c>
      <c r="D1350" s="434" t="s">
        <v>101</v>
      </c>
      <c r="E1350" s="434" t="s">
        <v>1364</v>
      </c>
      <c r="F1350" s="434" t="s">
        <v>1135</v>
      </c>
      <c r="G1350" s="593">
        <v>556500</v>
      </c>
      <c r="H1350" s="434" t="s">
        <v>1438</v>
      </c>
      <c r="I1350" s="434" t="s">
        <v>1438</v>
      </c>
    </row>
    <row r="1351" spans="1:9" hidden="1" x14ac:dyDescent="0.4">
      <c r="A1351" s="434">
        <v>4</v>
      </c>
      <c r="B1351" s="434" t="s">
        <v>1704</v>
      </c>
      <c r="C1351" s="434" t="s">
        <v>1439</v>
      </c>
      <c r="D1351" s="434" t="s">
        <v>160</v>
      </c>
      <c r="E1351" s="434" t="s">
        <v>1391</v>
      </c>
      <c r="F1351" s="434" t="s">
        <v>1449</v>
      </c>
      <c r="G1351" s="593">
        <v>289000</v>
      </c>
      <c r="H1351" s="434" t="s">
        <v>534</v>
      </c>
      <c r="I1351" s="434" t="s">
        <v>534</v>
      </c>
    </row>
    <row r="1352" spans="1:9" hidden="1" x14ac:dyDescent="0.4">
      <c r="A1352" s="434">
        <v>4</v>
      </c>
      <c r="B1352" s="434" t="s">
        <v>1705</v>
      </c>
      <c r="C1352" s="434" t="s">
        <v>1436</v>
      </c>
      <c r="D1352" s="434" t="s">
        <v>72</v>
      </c>
      <c r="E1352" s="434" t="s">
        <v>1348</v>
      </c>
      <c r="F1352" s="434" t="s">
        <v>1437</v>
      </c>
      <c r="G1352" s="593">
        <v>34627300</v>
      </c>
      <c r="H1352" s="434" t="s">
        <v>1438</v>
      </c>
      <c r="I1352" s="434" t="s">
        <v>1438</v>
      </c>
    </row>
    <row r="1353" spans="1:9" hidden="1" x14ac:dyDescent="0.4">
      <c r="A1353" s="434">
        <v>4</v>
      </c>
      <c r="B1353" s="434" t="s">
        <v>1705</v>
      </c>
      <c r="C1353" s="434" t="s">
        <v>1436</v>
      </c>
      <c r="D1353" s="434" t="s">
        <v>80</v>
      </c>
      <c r="E1353" s="434" t="s">
        <v>1332</v>
      </c>
      <c r="F1353" s="434" t="s">
        <v>481</v>
      </c>
      <c r="G1353" s="593">
        <v>5355900</v>
      </c>
      <c r="H1353" s="434" t="s">
        <v>1438</v>
      </c>
      <c r="I1353" s="434" t="s">
        <v>1438</v>
      </c>
    </row>
    <row r="1354" spans="1:9" hidden="1" x14ac:dyDescent="0.4">
      <c r="A1354" s="434">
        <v>4</v>
      </c>
      <c r="B1354" s="434" t="s">
        <v>1705</v>
      </c>
      <c r="C1354" s="434" t="s">
        <v>1436</v>
      </c>
      <c r="D1354" s="434" t="s">
        <v>82</v>
      </c>
      <c r="E1354" s="434" t="s">
        <v>1333</v>
      </c>
      <c r="F1354" s="434" t="s">
        <v>482</v>
      </c>
      <c r="G1354" s="593">
        <v>3951000</v>
      </c>
      <c r="H1354" s="434" t="s">
        <v>1438</v>
      </c>
      <c r="I1354" s="434" t="s">
        <v>1438</v>
      </c>
    </row>
    <row r="1355" spans="1:9" hidden="1" x14ac:dyDescent="0.4">
      <c r="A1355" s="434">
        <v>4</v>
      </c>
      <c r="B1355" s="434" t="s">
        <v>1705</v>
      </c>
      <c r="C1355" s="434" t="s">
        <v>1436</v>
      </c>
      <c r="D1355" s="434" t="s">
        <v>84</v>
      </c>
      <c r="E1355" s="434" t="s">
        <v>1355</v>
      </c>
      <c r="F1355" s="434" t="s">
        <v>483</v>
      </c>
      <c r="G1355" s="593">
        <v>4108200</v>
      </c>
      <c r="H1355" s="434" t="s">
        <v>1438</v>
      </c>
      <c r="I1355" s="434" t="s">
        <v>1438</v>
      </c>
    </row>
    <row r="1356" spans="1:9" hidden="1" x14ac:dyDescent="0.4">
      <c r="A1356" s="434">
        <v>4</v>
      </c>
      <c r="B1356" s="434" t="s">
        <v>1705</v>
      </c>
      <c r="C1356" s="434" t="s">
        <v>1436</v>
      </c>
      <c r="D1356" s="434" t="s">
        <v>86</v>
      </c>
      <c r="E1356" s="434" t="s">
        <v>1356</v>
      </c>
      <c r="F1356" s="434" t="s">
        <v>484</v>
      </c>
      <c r="G1356" s="593">
        <v>3714200</v>
      </c>
      <c r="H1356" s="434" t="s">
        <v>1438</v>
      </c>
      <c r="I1356" s="434" t="s">
        <v>1438</v>
      </c>
    </row>
    <row r="1357" spans="1:9" hidden="1" x14ac:dyDescent="0.4">
      <c r="A1357" s="434">
        <v>4</v>
      </c>
      <c r="B1357" s="434" t="s">
        <v>1705</v>
      </c>
      <c r="C1357" s="434" t="s">
        <v>1436</v>
      </c>
      <c r="D1357" s="434" t="s">
        <v>87</v>
      </c>
      <c r="E1357" s="434" t="s">
        <v>1334</v>
      </c>
      <c r="F1357" s="434" t="s">
        <v>485</v>
      </c>
      <c r="G1357" s="593">
        <v>1650200</v>
      </c>
      <c r="H1357" s="434" t="s">
        <v>1438</v>
      </c>
      <c r="I1357" s="434" t="s">
        <v>1438</v>
      </c>
    </row>
    <row r="1358" spans="1:9" hidden="1" x14ac:dyDescent="0.4">
      <c r="A1358" s="434">
        <v>4</v>
      </c>
      <c r="B1358" s="434" t="s">
        <v>1705</v>
      </c>
      <c r="C1358" s="434" t="s">
        <v>1436</v>
      </c>
      <c r="D1358" s="434" t="s">
        <v>90</v>
      </c>
      <c r="E1358" s="434" t="s">
        <v>1357</v>
      </c>
      <c r="F1358" s="434" t="s">
        <v>486</v>
      </c>
      <c r="G1358" s="593">
        <v>4560100</v>
      </c>
      <c r="H1358" s="434" t="s">
        <v>1438</v>
      </c>
      <c r="I1358" s="434" t="s">
        <v>1438</v>
      </c>
    </row>
    <row r="1359" spans="1:9" hidden="1" x14ac:dyDescent="0.4">
      <c r="A1359" s="434">
        <v>4</v>
      </c>
      <c r="B1359" s="434" t="s">
        <v>1705</v>
      </c>
      <c r="C1359" s="434" t="s">
        <v>1436</v>
      </c>
      <c r="D1359" s="434" t="s">
        <v>92</v>
      </c>
      <c r="E1359" s="434" t="s">
        <v>1358</v>
      </c>
      <c r="F1359" s="434" t="s">
        <v>1706</v>
      </c>
      <c r="G1359" s="593">
        <v>246500</v>
      </c>
      <c r="H1359" s="434" t="s">
        <v>1438</v>
      </c>
      <c r="I1359" s="434" t="s">
        <v>1438</v>
      </c>
    </row>
    <row r="1360" spans="1:9" hidden="1" x14ac:dyDescent="0.4">
      <c r="A1360" s="434">
        <v>4</v>
      </c>
      <c r="B1360" s="434" t="s">
        <v>1705</v>
      </c>
      <c r="C1360" s="434" t="s">
        <v>1436</v>
      </c>
      <c r="D1360" s="434" t="s">
        <v>93</v>
      </c>
      <c r="E1360" s="434" t="s">
        <v>1359</v>
      </c>
      <c r="F1360" s="434" t="s">
        <v>488</v>
      </c>
      <c r="G1360" s="593">
        <v>739500</v>
      </c>
      <c r="H1360" s="434" t="s">
        <v>1438</v>
      </c>
      <c r="I1360" s="434" t="s">
        <v>1438</v>
      </c>
    </row>
    <row r="1361" spans="1:9" hidden="1" x14ac:dyDescent="0.4">
      <c r="A1361" s="434">
        <v>4</v>
      </c>
      <c r="B1361" s="434" t="s">
        <v>1705</v>
      </c>
      <c r="C1361" s="434" t="s">
        <v>1436</v>
      </c>
      <c r="D1361" s="434" t="s">
        <v>94</v>
      </c>
      <c r="E1361" s="434" t="s">
        <v>1360</v>
      </c>
      <c r="F1361" s="434" t="s">
        <v>489</v>
      </c>
      <c r="G1361" s="593">
        <v>2464900</v>
      </c>
      <c r="H1361" s="434" t="s">
        <v>1438</v>
      </c>
      <c r="I1361" s="434" t="s">
        <v>1438</v>
      </c>
    </row>
    <row r="1362" spans="1:9" hidden="1" x14ac:dyDescent="0.4">
      <c r="A1362" s="434">
        <v>4</v>
      </c>
      <c r="B1362" s="434" t="s">
        <v>1705</v>
      </c>
      <c r="C1362" s="434" t="s">
        <v>1436</v>
      </c>
      <c r="D1362" s="434" t="s">
        <v>96</v>
      </c>
      <c r="E1362" s="434" t="s">
        <v>1361</v>
      </c>
      <c r="F1362" s="434" t="s">
        <v>490</v>
      </c>
      <c r="G1362" s="593">
        <v>246500</v>
      </c>
      <c r="H1362" s="434" t="s">
        <v>1438</v>
      </c>
      <c r="I1362" s="434" t="s">
        <v>1438</v>
      </c>
    </row>
    <row r="1363" spans="1:9" hidden="1" x14ac:dyDescent="0.4">
      <c r="A1363" s="434">
        <v>4</v>
      </c>
      <c r="B1363" s="434" t="s">
        <v>1705</v>
      </c>
      <c r="C1363" s="434" t="s">
        <v>1436</v>
      </c>
      <c r="D1363" s="434" t="s">
        <v>510</v>
      </c>
      <c r="E1363" s="434" t="s">
        <v>1362</v>
      </c>
      <c r="F1363" s="434" t="s">
        <v>491</v>
      </c>
      <c r="G1363" s="593">
        <v>2672000</v>
      </c>
      <c r="H1363" s="434" t="s">
        <v>1438</v>
      </c>
      <c r="I1363" s="434" t="s">
        <v>1438</v>
      </c>
    </row>
    <row r="1364" spans="1:9" hidden="1" x14ac:dyDescent="0.4">
      <c r="A1364" s="434">
        <v>4</v>
      </c>
      <c r="B1364" s="434" t="s">
        <v>1705</v>
      </c>
      <c r="C1364" s="434" t="s">
        <v>1436</v>
      </c>
      <c r="D1364" s="434" t="s">
        <v>100</v>
      </c>
      <c r="E1364" s="434" t="s">
        <v>1363</v>
      </c>
      <c r="F1364" s="434" t="s">
        <v>491</v>
      </c>
      <c r="G1364" s="593">
        <v>1479000</v>
      </c>
      <c r="H1364" s="434" t="s">
        <v>1438</v>
      </c>
      <c r="I1364" s="434" t="s">
        <v>1438</v>
      </c>
    </row>
    <row r="1365" spans="1:9" hidden="1" x14ac:dyDescent="0.4">
      <c r="A1365" s="434">
        <v>4</v>
      </c>
      <c r="B1365" s="434" t="s">
        <v>1705</v>
      </c>
      <c r="C1365" s="434" t="s">
        <v>1436</v>
      </c>
      <c r="D1365" s="434" t="s">
        <v>101</v>
      </c>
      <c r="E1365" s="434" t="s">
        <v>1364</v>
      </c>
      <c r="F1365" s="434" t="s">
        <v>1135</v>
      </c>
      <c r="G1365" s="593">
        <v>739500</v>
      </c>
      <c r="H1365" s="434" t="s">
        <v>1438</v>
      </c>
      <c r="I1365" s="434" t="s">
        <v>1438</v>
      </c>
    </row>
    <row r="1366" spans="1:9" hidden="1" x14ac:dyDescent="0.4">
      <c r="A1366" s="434">
        <v>4</v>
      </c>
      <c r="B1366" s="434" t="s">
        <v>1705</v>
      </c>
      <c r="C1366" s="434" t="s">
        <v>1439</v>
      </c>
      <c r="D1366" s="434" t="s">
        <v>147</v>
      </c>
      <c r="E1366" s="434" t="s">
        <v>1386</v>
      </c>
      <c r="F1366" s="434" t="s">
        <v>1707</v>
      </c>
      <c r="G1366" s="593">
        <v>9100000</v>
      </c>
      <c r="H1366" s="434" t="s">
        <v>534</v>
      </c>
      <c r="I1366" s="434" t="s">
        <v>534</v>
      </c>
    </row>
    <row r="1367" spans="1:9" hidden="1" x14ac:dyDescent="0.4">
      <c r="A1367" s="434">
        <v>4</v>
      </c>
      <c r="B1367" s="434" t="s">
        <v>1705</v>
      </c>
      <c r="C1367" s="434" t="s">
        <v>1439</v>
      </c>
      <c r="D1367" s="434" t="s">
        <v>160</v>
      </c>
      <c r="E1367" s="434" t="s">
        <v>1391</v>
      </c>
      <c r="F1367" s="434" t="s">
        <v>1449</v>
      </c>
      <c r="G1367" s="593">
        <v>328800</v>
      </c>
      <c r="H1367" s="434" t="s">
        <v>534</v>
      </c>
      <c r="I1367" s="434" t="s">
        <v>534</v>
      </c>
    </row>
    <row r="1368" spans="1:9" ht="16.95" hidden="1" customHeight="1" x14ac:dyDescent="0.4">
      <c r="A1368" s="434">
        <v>4</v>
      </c>
      <c r="B1368" s="434" t="s">
        <v>1705</v>
      </c>
      <c r="C1368" s="434" t="s">
        <v>1498</v>
      </c>
      <c r="D1368" s="434" t="s">
        <v>206</v>
      </c>
      <c r="E1368" s="434" t="s">
        <v>1407</v>
      </c>
      <c r="F1368" s="1359" t="s">
        <v>1730</v>
      </c>
      <c r="G1368" s="593">
        <v>350000</v>
      </c>
      <c r="H1368" s="434" t="s">
        <v>1441</v>
      </c>
      <c r="I1368" s="434" t="s">
        <v>1438</v>
      </c>
    </row>
    <row r="1369" spans="1:9" hidden="1" x14ac:dyDescent="0.4">
      <c r="A1369" s="434">
        <v>4</v>
      </c>
      <c r="B1369" s="434" t="s">
        <v>1708</v>
      </c>
      <c r="C1369" s="434" t="s">
        <v>1439</v>
      </c>
      <c r="D1369" s="434" t="s">
        <v>106</v>
      </c>
      <c r="E1369" s="434" t="s">
        <v>1366</v>
      </c>
      <c r="F1369" s="434" t="s">
        <v>1459</v>
      </c>
      <c r="G1369" s="593">
        <v>22288100</v>
      </c>
      <c r="H1369" s="434" t="s">
        <v>1441</v>
      </c>
      <c r="I1369" s="434" t="s">
        <v>1438</v>
      </c>
    </row>
    <row r="1370" spans="1:9" hidden="1" x14ac:dyDescent="0.4">
      <c r="A1370" s="434">
        <v>4</v>
      </c>
      <c r="B1370" s="434" t="s">
        <v>1708</v>
      </c>
      <c r="C1370" s="434" t="s">
        <v>1439</v>
      </c>
      <c r="D1370" s="434" t="s">
        <v>116</v>
      </c>
      <c r="E1370" s="434" t="s">
        <v>1370</v>
      </c>
      <c r="F1370" s="434" t="s">
        <v>1442</v>
      </c>
      <c r="G1370" s="593">
        <v>903600</v>
      </c>
      <c r="H1370" s="434" t="s">
        <v>1441</v>
      </c>
      <c r="I1370" s="434" t="s">
        <v>1438</v>
      </c>
    </row>
    <row r="1371" spans="1:9" hidden="1" x14ac:dyDescent="0.4">
      <c r="A1371" s="434">
        <v>4</v>
      </c>
      <c r="B1371" s="434" t="s">
        <v>1708</v>
      </c>
      <c r="C1371" s="434" t="s">
        <v>1439</v>
      </c>
      <c r="D1371" s="434" t="s">
        <v>118</v>
      </c>
      <c r="E1371" s="434" t="s">
        <v>1371</v>
      </c>
      <c r="F1371" s="434" t="s">
        <v>1443</v>
      </c>
      <c r="G1371" s="593">
        <v>3195700</v>
      </c>
      <c r="H1371" s="434" t="s">
        <v>1441</v>
      </c>
      <c r="I1371" s="434" t="s">
        <v>1438</v>
      </c>
    </row>
    <row r="1372" spans="1:9" x14ac:dyDescent="0.4">
      <c r="A1372" s="434">
        <v>4</v>
      </c>
      <c r="B1372" s="434" t="s">
        <v>1708</v>
      </c>
      <c r="C1372" s="434" t="s">
        <v>1439</v>
      </c>
      <c r="D1372" s="434" t="s">
        <v>326</v>
      </c>
      <c r="E1372" s="434" t="s">
        <v>1373</v>
      </c>
      <c r="F1372" s="434" t="s">
        <v>1444</v>
      </c>
      <c r="G1372" s="593">
        <v>1383000</v>
      </c>
      <c r="H1372" s="434" t="s">
        <v>534</v>
      </c>
      <c r="I1372" s="434" t="s">
        <v>534</v>
      </c>
    </row>
    <row r="1373" spans="1:9" hidden="1" x14ac:dyDescent="0.4">
      <c r="A1373" s="434">
        <v>4</v>
      </c>
      <c r="B1373" s="434" t="s">
        <v>1708</v>
      </c>
      <c r="C1373" s="434" t="s">
        <v>1439</v>
      </c>
      <c r="D1373" s="434" t="s">
        <v>129</v>
      </c>
      <c r="E1373" s="434" t="s">
        <v>1376</v>
      </c>
      <c r="F1373" s="434" t="s">
        <v>1709</v>
      </c>
      <c r="G1373" s="593">
        <v>42350000</v>
      </c>
      <c r="H1373" s="434" t="s">
        <v>534</v>
      </c>
      <c r="I1373" s="434" t="s">
        <v>534</v>
      </c>
    </row>
    <row r="1374" spans="1:9" hidden="1" x14ac:dyDescent="0.4">
      <c r="A1374" s="434">
        <v>4</v>
      </c>
      <c r="B1374" s="434" t="s">
        <v>1708</v>
      </c>
      <c r="C1374" s="434" t="s">
        <v>1439</v>
      </c>
      <c r="D1374" s="434" t="s">
        <v>397</v>
      </c>
      <c r="E1374" s="434" t="s">
        <v>1380</v>
      </c>
      <c r="F1374" s="434" t="s">
        <v>1710</v>
      </c>
      <c r="G1374" s="593">
        <v>300000</v>
      </c>
      <c r="H1374" s="434" t="s">
        <v>534</v>
      </c>
      <c r="I1374" s="434" t="s">
        <v>534</v>
      </c>
    </row>
    <row r="1375" spans="1:9" hidden="1" x14ac:dyDescent="0.4">
      <c r="A1375" s="434">
        <v>4</v>
      </c>
      <c r="B1375" s="434" t="s">
        <v>1708</v>
      </c>
      <c r="C1375" s="434" t="s">
        <v>1439</v>
      </c>
      <c r="D1375" s="434" t="s">
        <v>145</v>
      </c>
      <c r="E1375" s="434" t="s">
        <v>1385</v>
      </c>
      <c r="F1375" s="434" t="s">
        <v>1448</v>
      </c>
      <c r="G1375" s="593">
        <v>6556800</v>
      </c>
      <c r="H1375" s="434" t="s">
        <v>534</v>
      </c>
      <c r="I1375" s="434" t="s">
        <v>534</v>
      </c>
    </row>
    <row r="1376" spans="1:9" hidden="1" x14ac:dyDescent="0.4">
      <c r="A1376" s="434">
        <v>4</v>
      </c>
      <c r="B1376" s="434" t="s">
        <v>1708</v>
      </c>
      <c r="C1376" s="434" t="s">
        <v>1439</v>
      </c>
      <c r="D1376" s="434" t="s">
        <v>147</v>
      </c>
      <c r="E1376" s="434" t="s">
        <v>1386</v>
      </c>
      <c r="F1376" s="434" t="s">
        <v>1711</v>
      </c>
      <c r="G1376" s="593">
        <v>63000000</v>
      </c>
      <c r="H1376" s="434" t="s">
        <v>534</v>
      </c>
      <c r="I1376" s="434" t="s">
        <v>534</v>
      </c>
    </row>
    <row r="1377" spans="1:9" hidden="1" x14ac:dyDescent="0.4">
      <c r="A1377" s="434">
        <v>4</v>
      </c>
      <c r="B1377" s="434" t="s">
        <v>1708</v>
      </c>
      <c r="C1377" s="434" t="s">
        <v>1439</v>
      </c>
      <c r="D1377" s="434" t="s">
        <v>153</v>
      </c>
      <c r="E1377" s="434" t="s">
        <v>1388</v>
      </c>
      <c r="F1377" s="434" t="s">
        <v>1712</v>
      </c>
      <c r="G1377" s="593">
        <v>150000</v>
      </c>
      <c r="H1377" s="434" t="s">
        <v>534</v>
      </c>
      <c r="I1377" s="434" t="s">
        <v>534</v>
      </c>
    </row>
    <row r="1378" spans="1:9" hidden="1" x14ac:dyDescent="0.4">
      <c r="A1378" s="434">
        <v>4</v>
      </c>
      <c r="B1378" s="434" t="s">
        <v>1708</v>
      </c>
      <c r="C1378" s="434" t="s">
        <v>1485</v>
      </c>
      <c r="D1378" s="434" t="s">
        <v>359</v>
      </c>
      <c r="E1378" s="434" t="s">
        <v>1429</v>
      </c>
      <c r="F1378" s="434" t="s">
        <v>1713</v>
      </c>
      <c r="G1378" s="593">
        <v>1200000</v>
      </c>
      <c r="H1378" s="434" t="s">
        <v>1441</v>
      </c>
      <c r="I1378" s="434" t="s">
        <v>1438</v>
      </c>
    </row>
    <row r="1379" spans="1:9" hidden="1" x14ac:dyDescent="0.4">
      <c r="A1379" s="434">
        <v>4</v>
      </c>
      <c r="B1379" s="434" t="s">
        <v>1714</v>
      </c>
      <c r="C1379" s="434" t="s">
        <v>1439</v>
      </c>
      <c r="D1379" s="434" t="s">
        <v>106</v>
      </c>
      <c r="E1379" s="434" t="s">
        <v>1366</v>
      </c>
      <c r="F1379" s="434" t="s">
        <v>1459</v>
      </c>
      <c r="G1379" s="593">
        <v>13088500</v>
      </c>
      <c r="H1379" s="434" t="s">
        <v>1441</v>
      </c>
      <c r="I1379" s="434" t="s">
        <v>1438</v>
      </c>
    </row>
    <row r="1380" spans="1:9" hidden="1" x14ac:dyDescent="0.4">
      <c r="A1380" s="434">
        <v>4</v>
      </c>
      <c r="B1380" s="434" t="s">
        <v>1714</v>
      </c>
      <c r="C1380" s="434" t="s">
        <v>1439</v>
      </c>
      <c r="D1380" s="434" t="s">
        <v>116</v>
      </c>
      <c r="E1380" s="434" t="s">
        <v>1370</v>
      </c>
      <c r="F1380" s="434" t="s">
        <v>1442</v>
      </c>
      <c r="G1380" s="593">
        <v>530600</v>
      </c>
      <c r="H1380" s="434" t="s">
        <v>1441</v>
      </c>
      <c r="I1380" s="434" t="s">
        <v>1438</v>
      </c>
    </row>
    <row r="1381" spans="1:9" hidden="1" x14ac:dyDescent="0.4">
      <c r="A1381" s="434">
        <v>4</v>
      </c>
      <c r="B1381" s="434" t="s">
        <v>1714</v>
      </c>
      <c r="C1381" s="434" t="s">
        <v>1439</v>
      </c>
      <c r="D1381" s="434" t="s">
        <v>118</v>
      </c>
      <c r="E1381" s="434" t="s">
        <v>1371</v>
      </c>
      <c r="F1381" s="434" t="s">
        <v>1443</v>
      </c>
      <c r="G1381" s="593">
        <v>1876700</v>
      </c>
      <c r="H1381" s="434" t="s">
        <v>1441</v>
      </c>
      <c r="I1381" s="434" t="s">
        <v>1438</v>
      </c>
    </row>
    <row r="1382" spans="1:9" x14ac:dyDescent="0.4">
      <c r="A1382" s="434">
        <v>4</v>
      </c>
      <c r="B1382" s="434" t="s">
        <v>1714</v>
      </c>
      <c r="C1382" s="434" t="s">
        <v>1439</v>
      </c>
      <c r="D1382" s="434" t="s">
        <v>326</v>
      </c>
      <c r="E1382" s="434" t="s">
        <v>1373</v>
      </c>
      <c r="F1382" s="434" t="s">
        <v>1444</v>
      </c>
      <c r="G1382" s="593">
        <v>812100</v>
      </c>
      <c r="H1382" s="434" t="s">
        <v>534</v>
      </c>
      <c r="I1382" s="434" t="s">
        <v>534</v>
      </c>
    </row>
    <row r="1383" spans="1:9" hidden="1" x14ac:dyDescent="0.4">
      <c r="A1383" s="434">
        <v>4</v>
      </c>
      <c r="B1383" s="434" t="s">
        <v>1714</v>
      </c>
      <c r="C1383" s="434" t="s">
        <v>1439</v>
      </c>
      <c r="D1383" s="434" t="s">
        <v>145</v>
      </c>
      <c r="E1383" s="434" t="s">
        <v>1385</v>
      </c>
      <c r="F1383" s="434" t="s">
        <v>1448</v>
      </c>
      <c r="G1383" s="593">
        <v>3850500</v>
      </c>
      <c r="H1383" s="434" t="s">
        <v>534</v>
      </c>
      <c r="I1383" s="434" t="s">
        <v>534</v>
      </c>
    </row>
    <row r="1384" spans="1:9" hidden="1" x14ac:dyDescent="0.4">
      <c r="A1384" s="434">
        <v>3</v>
      </c>
      <c r="B1384" s="434" t="s">
        <v>1638</v>
      </c>
      <c r="C1384" s="434" t="s">
        <v>1439</v>
      </c>
      <c r="D1384" s="434" t="s">
        <v>141</v>
      </c>
      <c r="E1384" s="434" t="s">
        <v>1383</v>
      </c>
      <c r="F1384" s="593" t="s">
        <v>1715</v>
      </c>
      <c r="G1384" s="593">
        <v>61000000</v>
      </c>
      <c r="H1384" s="434" t="s">
        <v>534</v>
      </c>
      <c r="I1384" s="434" t="s">
        <v>534</v>
      </c>
    </row>
    <row r="1385" spans="1:9" hidden="1" x14ac:dyDescent="0.4">
      <c r="A1385" s="434">
        <v>1</v>
      </c>
      <c r="B1385" s="1451" t="s">
        <v>1557</v>
      </c>
      <c r="C1385" s="1451" t="s">
        <v>1747</v>
      </c>
      <c r="D1385" s="1451" t="s">
        <v>1034</v>
      </c>
      <c r="E1385" s="1451"/>
      <c r="F1385" s="1451"/>
      <c r="G1385" s="1452">
        <f>2634314512-0.35-1900000-400000-1100000-1100000-120000-83500000</f>
        <v>2546194511.6500001</v>
      </c>
      <c r="H1385" s="1451" t="s">
        <v>534</v>
      </c>
      <c r="I1385" s="1451" t="s">
        <v>534</v>
      </c>
    </row>
    <row r="1386" spans="1:9" hidden="1" x14ac:dyDescent="0.4">
      <c r="A1386" s="434">
        <v>3</v>
      </c>
      <c r="B1386" s="1448" t="s">
        <v>1625</v>
      </c>
      <c r="C1386" s="1448" t="s">
        <v>1436</v>
      </c>
      <c r="D1386" s="434" t="s">
        <v>73</v>
      </c>
      <c r="E1386" s="1448"/>
      <c r="F1386" s="1448" t="s">
        <v>1749</v>
      </c>
      <c r="G1386" s="1449">
        <v>100</v>
      </c>
      <c r="H1386" s="1448" t="s">
        <v>1626</v>
      </c>
      <c r="I1386" s="1448" t="s">
        <v>1626</v>
      </c>
    </row>
    <row r="1387" spans="1:9" hidden="1" x14ac:dyDescent="0.4">
      <c r="A1387" s="434">
        <v>3</v>
      </c>
      <c r="B1387" s="1448" t="s">
        <v>1625</v>
      </c>
      <c r="C1387" s="1448" t="s">
        <v>1436</v>
      </c>
      <c r="D1387" s="434" t="s">
        <v>82</v>
      </c>
      <c r="E1387" s="1448"/>
      <c r="F1387" s="1448" t="s">
        <v>1749</v>
      </c>
      <c r="G1387" s="1449">
        <v>0</v>
      </c>
      <c r="H1387" s="1448" t="s">
        <v>1626</v>
      </c>
      <c r="I1387" s="1448" t="s">
        <v>1626</v>
      </c>
    </row>
    <row r="1388" spans="1:9" hidden="1" x14ac:dyDescent="0.4">
      <c r="A1388" s="434">
        <v>3</v>
      </c>
      <c r="B1388" s="1448" t="s">
        <v>1625</v>
      </c>
      <c r="C1388" s="1448" t="s">
        <v>1436</v>
      </c>
      <c r="D1388" s="434" t="s">
        <v>84</v>
      </c>
      <c r="E1388" s="1448"/>
      <c r="F1388" s="1448" t="s">
        <v>1749</v>
      </c>
      <c r="G1388" s="1449">
        <v>-100</v>
      </c>
      <c r="H1388" s="1448" t="s">
        <v>1626</v>
      </c>
      <c r="I1388" s="1448" t="s">
        <v>1626</v>
      </c>
    </row>
    <row r="1389" spans="1:9" hidden="1" x14ac:dyDescent="0.4">
      <c r="A1389" s="434">
        <v>3</v>
      </c>
      <c r="B1389" s="1448" t="s">
        <v>1625</v>
      </c>
      <c r="C1389" s="1448" t="s">
        <v>1436</v>
      </c>
      <c r="D1389" s="434" t="s">
        <v>86</v>
      </c>
      <c r="E1389" s="1448"/>
      <c r="F1389" s="1448" t="s">
        <v>1749</v>
      </c>
      <c r="G1389" s="1449">
        <v>100</v>
      </c>
      <c r="H1389" s="1448" t="s">
        <v>1626</v>
      </c>
      <c r="I1389" s="1448" t="s">
        <v>1626</v>
      </c>
    </row>
    <row r="1390" spans="1:9" hidden="1" x14ac:dyDescent="0.4">
      <c r="A1390" s="434">
        <v>3</v>
      </c>
      <c r="B1390" s="1448" t="s">
        <v>1625</v>
      </c>
      <c r="C1390" s="1448" t="s">
        <v>1436</v>
      </c>
      <c r="D1390" s="434" t="s">
        <v>90</v>
      </c>
      <c r="E1390" s="1448"/>
      <c r="F1390" s="1448" t="s">
        <v>1749</v>
      </c>
      <c r="G1390" s="1449">
        <v>0</v>
      </c>
      <c r="H1390" s="1448" t="s">
        <v>1626</v>
      </c>
      <c r="I1390" s="1448" t="s">
        <v>1626</v>
      </c>
    </row>
    <row r="1391" spans="1:9" hidden="1" x14ac:dyDescent="0.4">
      <c r="A1391" s="434">
        <v>3</v>
      </c>
      <c r="B1391" s="1448" t="s">
        <v>1625</v>
      </c>
      <c r="C1391" s="1448" t="s">
        <v>1436</v>
      </c>
      <c r="D1391" s="434" t="s">
        <v>92</v>
      </c>
      <c r="E1391" s="1448"/>
      <c r="F1391" s="1448" t="s">
        <v>1749</v>
      </c>
      <c r="G1391" s="1449">
        <v>0</v>
      </c>
      <c r="H1391" s="1448" t="s">
        <v>1626</v>
      </c>
      <c r="I1391" s="1448" t="s">
        <v>1626</v>
      </c>
    </row>
    <row r="1392" spans="1:9" hidden="1" x14ac:dyDescent="0.4">
      <c r="A1392" s="434">
        <v>3</v>
      </c>
      <c r="B1392" s="1448" t="s">
        <v>1625</v>
      </c>
      <c r="C1392" s="1448" t="s">
        <v>1436</v>
      </c>
      <c r="D1392" s="434" t="s">
        <v>93</v>
      </c>
      <c r="E1392" s="1448"/>
      <c r="F1392" s="1448" t="s">
        <v>1749</v>
      </c>
      <c r="G1392" s="1449">
        <v>0</v>
      </c>
      <c r="H1392" s="1448" t="s">
        <v>1626</v>
      </c>
      <c r="I1392" s="1448" t="s">
        <v>1626</v>
      </c>
    </row>
    <row r="1393" spans="1:9" hidden="1" x14ac:dyDescent="0.4">
      <c r="A1393" s="434">
        <v>3</v>
      </c>
      <c r="B1393" s="1448" t="s">
        <v>1625</v>
      </c>
      <c r="C1393" s="1448" t="s">
        <v>1436</v>
      </c>
      <c r="D1393" s="434" t="s">
        <v>94</v>
      </c>
      <c r="E1393" s="1448"/>
      <c r="F1393" s="1448" t="s">
        <v>1749</v>
      </c>
      <c r="G1393" s="1449">
        <v>100</v>
      </c>
      <c r="H1393" s="1448" t="s">
        <v>1626</v>
      </c>
      <c r="I1393" s="1448" t="s">
        <v>1626</v>
      </c>
    </row>
    <row r="1394" spans="1:9" hidden="1" x14ac:dyDescent="0.4">
      <c r="A1394" s="434">
        <v>3</v>
      </c>
      <c r="B1394" s="1448" t="s">
        <v>1625</v>
      </c>
      <c r="C1394" s="1448" t="s">
        <v>1436</v>
      </c>
      <c r="D1394" s="434" t="s">
        <v>96</v>
      </c>
      <c r="E1394" s="1448"/>
      <c r="F1394" s="1448" t="s">
        <v>1749</v>
      </c>
      <c r="G1394" s="1449">
        <v>0</v>
      </c>
      <c r="H1394" s="1448" t="s">
        <v>1626</v>
      </c>
      <c r="I1394" s="1448" t="s">
        <v>1626</v>
      </c>
    </row>
    <row r="1395" spans="1:9" hidden="1" x14ac:dyDescent="0.4">
      <c r="A1395" s="434">
        <v>3</v>
      </c>
      <c r="B1395" s="1448" t="s">
        <v>1625</v>
      </c>
      <c r="C1395" s="1448" t="s">
        <v>1436</v>
      </c>
      <c r="D1395" s="434" t="s">
        <v>510</v>
      </c>
      <c r="E1395" s="1448"/>
      <c r="F1395" s="1448" t="s">
        <v>1749</v>
      </c>
      <c r="G1395" s="1449">
        <v>100</v>
      </c>
      <c r="H1395" s="1448" t="s">
        <v>1626</v>
      </c>
      <c r="I1395" s="1448" t="s">
        <v>1626</v>
      </c>
    </row>
    <row r="1396" spans="1:9" hidden="1" x14ac:dyDescent="0.4">
      <c r="A1396" s="434">
        <v>3</v>
      </c>
      <c r="B1396" s="1448" t="s">
        <v>1625</v>
      </c>
      <c r="C1396" s="1448" t="s">
        <v>1436</v>
      </c>
      <c r="D1396" s="434" t="s">
        <v>100</v>
      </c>
      <c r="E1396" s="1448"/>
      <c r="F1396" s="1448" t="s">
        <v>1749</v>
      </c>
      <c r="G1396" s="1449">
        <v>100</v>
      </c>
      <c r="H1396" s="1448" t="s">
        <v>1626</v>
      </c>
      <c r="I1396" s="1448" t="s">
        <v>1626</v>
      </c>
    </row>
    <row r="1397" spans="1:9" hidden="1" x14ac:dyDescent="0.4">
      <c r="A1397" s="434">
        <v>3</v>
      </c>
      <c r="B1397" s="1448" t="s">
        <v>1625</v>
      </c>
      <c r="C1397" s="1448" t="s">
        <v>1436</v>
      </c>
      <c r="D1397" s="434" t="s">
        <v>101</v>
      </c>
      <c r="E1397" s="1448"/>
      <c r="F1397" s="1448" t="s">
        <v>1749</v>
      </c>
      <c r="G1397" s="1449">
        <v>0</v>
      </c>
      <c r="H1397" s="1448" t="s">
        <v>1626</v>
      </c>
      <c r="I1397" s="1448" t="s">
        <v>1626</v>
      </c>
    </row>
    <row r="1398" spans="1:9" hidden="1" x14ac:dyDescent="0.4">
      <c r="A1398" s="434">
        <v>3</v>
      </c>
      <c r="B1398" s="1448" t="s">
        <v>1627</v>
      </c>
      <c r="C1398" s="1448" t="s">
        <v>1436</v>
      </c>
      <c r="D1398" s="434" t="s">
        <v>72</v>
      </c>
      <c r="E1398" s="1448"/>
      <c r="F1398" s="1448" t="s">
        <v>1749</v>
      </c>
      <c r="G1398" s="1449">
        <v>100</v>
      </c>
      <c r="H1398" s="1448" t="s">
        <v>534</v>
      </c>
      <c r="I1398" s="1448" t="s">
        <v>534</v>
      </c>
    </row>
    <row r="1399" spans="1:9" hidden="1" x14ac:dyDescent="0.4">
      <c r="A1399" s="434">
        <v>3</v>
      </c>
      <c r="B1399" s="1448" t="s">
        <v>1627</v>
      </c>
      <c r="C1399" s="1448" t="s">
        <v>1436</v>
      </c>
      <c r="D1399" s="434" t="s">
        <v>80</v>
      </c>
      <c r="E1399" s="1448"/>
      <c r="F1399" s="1448" t="s">
        <v>1749</v>
      </c>
      <c r="G1399" s="1449">
        <v>200</v>
      </c>
      <c r="H1399" s="1448" t="s">
        <v>534</v>
      </c>
      <c r="I1399" s="1448" t="s">
        <v>534</v>
      </c>
    </row>
    <row r="1400" spans="1:9" hidden="1" x14ac:dyDescent="0.4">
      <c r="A1400" s="434">
        <v>3</v>
      </c>
      <c r="B1400" s="1448" t="s">
        <v>1627</v>
      </c>
      <c r="C1400" s="1448" t="s">
        <v>1436</v>
      </c>
      <c r="D1400" s="434" t="s">
        <v>82</v>
      </c>
      <c r="E1400" s="1448"/>
      <c r="F1400" s="1448" t="s">
        <v>1749</v>
      </c>
      <c r="G1400" s="1449">
        <v>200</v>
      </c>
      <c r="H1400" s="1448" t="s">
        <v>534</v>
      </c>
      <c r="I1400" s="1448" t="s">
        <v>534</v>
      </c>
    </row>
    <row r="1401" spans="1:9" hidden="1" x14ac:dyDescent="0.4">
      <c r="A1401" s="434">
        <v>3</v>
      </c>
      <c r="B1401" s="1448" t="s">
        <v>1627</v>
      </c>
      <c r="C1401" s="1448" t="s">
        <v>1436</v>
      </c>
      <c r="D1401" s="434" t="s">
        <v>84</v>
      </c>
      <c r="E1401" s="1448"/>
      <c r="F1401" s="1448" t="s">
        <v>1749</v>
      </c>
      <c r="G1401" s="1449">
        <v>0</v>
      </c>
      <c r="H1401" s="1448" t="s">
        <v>534</v>
      </c>
      <c r="I1401" s="1448" t="s">
        <v>534</v>
      </c>
    </row>
    <row r="1402" spans="1:9" hidden="1" x14ac:dyDescent="0.4">
      <c r="A1402" s="434">
        <v>3</v>
      </c>
      <c r="B1402" s="1448" t="s">
        <v>1627</v>
      </c>
      <c r="C1402" s="1448" t="s">
        <v>1436</v>
      </c>
      <c r="D1402" s="434" t="s">
        <v>86</v>
      </c>
      <c r="E1402" s="1448"/>
      <c r="F1402" s="1448" t="s">
        <v>1749</v>
      </c>
      <c r="G1402" s="1449">
        <v>100</v>
      </c>
      <c r="H1402" s="1448" t="s">
        <v>534</v>
      </c>
      <c r="I1402" s="1448" t="s">
        <v>534</v>
      </c>
    </row>
    <row r="1403" spans="1:9" hidden="1" x14ac:dyDescent="0.4">
      <c r="A1403" s="434">
        <v>3</v>
      </c>
      <c r="B1403" s="1448" t="s">
        <v>1627</v>
      </c>
      <c r="C1403" s="1448" t="s">
        <v>1436</v>
      </c>
      <c r="D1403" s="434" t="s">
        <v>87</v>
      </c>
      <c r="E1403" s="1448"/>
      <c r="F1403" s="1448" t="s">
        <v>1749</v>
      </c>
      <c r="G1403" s="1449">
        <v>100</v>
      </c>
      <c r="H1403" s="1448" t="s">
        <v>534</v>
      </c>
      <c r="I1403" s="1448" t="s">
        <v>534</v>
      </c>
    </row>
    <row r="1404" spans="1:9" hidden="1" x14ac:dyDescent="0.4">
      <c r="A1404" s="434">
        <v>3</v>
      </c>
      <c r="B1404" s="1448" t="s">
        <v>1627</v>
      </c>
      <c r="C1404" s="1448" t="s">
        <v>1436</v>
      </c>
      <c r="D1404" s="434" t="s">
        <v>90</v>
      </c>
      <c r="E1404" s="1448"/>
      <c r="F1404" s="1448" t="s">
        <v>1749</v>
      </c>
      <c r="G1404" s="1449">
        <v>200</v>
      </c>
      <c r="H1404" s="1448" t="s">
        <v>534</v>
      </c>
      <c r="I1404" s="1448" t="s">
        <v>534</v>
      </c>
    </row>
    <row r="1405" spans="1:9" hidden="1" x14ac:dyDescent="0.4">
      <c r="A1405" s="434">
        <v>3</v>
      </c>
      <c r="B1405" s="1448" t="s">
        <v>1627</v>
      </c>
      <c r="C1405" s="1448" t="s">
        <v>1436</v>
      </c>
      <c r="D1405" s="434" t="s">
        <v>92</v>
      </c>
      <c r="E1405" s="1448"/>
      <c r="F1405" s="1448" t="s">
        <v>1749</v>
      </c>
      <c r="G1405" s="1449">
        <v>100</v>
      </c>
      <c r="H1405" s="1448" t="s">
        <v>534</v>
      </c>
      <c r="I1405" s="1448" t="s">
        <v>534</v>
      </c>
    </row>
    <row r="1406" spans="1:9" hidden="1" x14ac:dyDescent="0.4">
      <c r="A1406" s="434">
        <v>3</v>
      </c>
      <c r="B1406" s="1448" t="s">
        <v>1627</v>
      </c>
      <c r="C1406" s="1448" t="s">
        <v>1436</v>
      </c>
      <c r="D1406" s="434" t="s">
        <v>93</v>
      </c>
      <c r="E1406" s="1448"/>
      <c r="F1406" s="1448" t="s">
        <v>1749</v>
      </c>
      <c r="G1406" s="1449">
        <v>-100</v>
      </c>
      <c r="H1406" s="1448" t="s">
        <v>534</v>
      </c>
      <c r="I1406" s="1448" t="s">
        <v>534</v>
      </c>
    </row>
    <row r="1407" spans="1:9" hidden="1" x14ac:dyDescent="0.4">
      <c r="A1407" s="434">
        <v>3</v>
      </c>
      <c r="B1407" s="1448" t="s">
        <v>1627</v>
      </c>
      <c r="C1407" s="1448" t="s">
        <v>1436</v>
      </c>
      <c r="D1407" s="434" t="s">
        <v>94</v>
      </c>
      <c r="E1407" s="1448"/>
      <c r="F1407" s="1448" t="s">
        <v>1749</v>
      </c>
      <c r="G1407" s="1449">
        <v>-200</v>
      </c>
      <c r="H1407" s="1448" t="s">
        <v>534</v>
      </c>
      <c r="I1407" s="1448" t="s">
        <v>534</v>
      </c>
    </row>
    <row r="1408" spans="1:9" hidden="1" x14ac:dyDescent="0.4">
      <c r="A1408" s="434">
        <v>3</v>
      </c>
      <c r="B1408" s="1448" t="s">
        <v>1627</v>
      </c>
      <c r="C1408" s="1448" t="s">
        <v>1436</v>
      </c>
      <c r="D1408" s="434" t="s">
        <v>96</v>
      </c>
      <c r="E1408" s="1448"/>
      <c r="F1408" s="1448" t="s">
        <v>1749</v>
      </c>
      <c r="G1408" s="1449">
        <v>100</v>
      </c>
      <c r="H1408" s="1448" t="s">
        <v>534</v>
      </c>
      <c r="I1408" s="1448" t="s">
        <v>534</v>
      </c>
    </row>
    <row r="1409" spans="1:9" hidden="1" x14ac:dyDescent="0.4">
      <c r="A1409" s="434">
        <v>3</v>
      </c>
      <c r="B1409" s="1448" t="s">
        <v>1627</v>
      </c>
      <c r="C1409" s="1448" t="s">
        <v>1436</v>
      </c>
      <c r="D1409" s="434" t="s">
        <v>510</v>
      </c>
      <c r="E1409" s="1448"/>
      <c r="F1409" s="1448" t="s">
        <v>1749</v>
      </c>
      <c r="G1409" s="1449">
        <v>100</v>
      </c>
      <c r="H1409" s="1448" t="s">
        <v>534</v>
      </c>
      <c r="I1409" s="1448" t="s">
        <v>534</v>
      </c>
    </row>
    <row r="1410" spans="1:9" hidden="1" x14ac:dyDescent="0.4">
      <c r="A1410" s="434">
        <v>3</v>
      </c>
      <c r="B1410" s="1448" t="s">
        <v>1627</v>
      </c>
      <c r="C1410" s="1448" t="s">
        <v>1436</v>
      </c>
      <c r="D1410" s="434" t="s">
        <v>100</v>
      </c>
      <c r="E1410" s="1448"/>
      <c r="F1410" s="1448" t="s">
        <v>1749</v>
      </c>
      <c r="G1410" s="1449">
        <v>-200</v>
      </c>
      <c r="H1410" s="1448" t="s">
        <v>534</v>
      </c>
      <c r="I1410" s="1448" t="s">
        <v>534</v>
      </c>
    </row>
    <row r="1411" spans="1:9" hidden="1" x14ac:dyDescent="0.4">
      <c r="A1411" s="434">
        <v>3</v>
      </c>
      <c r="B1411" s="1448" t="s">
        <v>1627</v>
      </c>
      <c r="C1411" s="1448" t="s">
        <v>1436</v>
      </c>
      <c r="D1411" s="434" t="s">
        <v>101</v>
      </c>
      <c r="E1411" s="1448"/>
      <c r="F1411" s="1448" t="s">
        <v>1749</v>
      </c>
      <c r="G1411" s="1449">
        <v>-100</v>
      </c>
      <c r="H1411" s="1448" t="s">
        <v>534</v>
      </c>
      <c r="I1411" s="1448" t="s">
        <v>534</v>
      </c>
    </row>
    <row r="1412" spans="1:9" hidden="1" x14ac:dyDescent="0.4">
      <c r="A1412" s="434">
        <v>3</v>
      </c>
      <c r="B1412" s="1448" t="s">
        <v>1638</v>
      </c>
      <c r="C1412" s="1448" t="s">
        <v>1436</v>
      </c>
      <c r="D1412" s="434" t="s">
        <v>72</v>
      </c>
      <c r="E1412" s="1448"/>
      <c r="F1412" s="1448" t="s">
        <v>1749</v>
      </c>
      <c r="G1412" s="1449">
        <v>18719500</v>
      </c>
      <c r="H1412" s="1448" t="s">
        <v>534</v>
      </c>
      <c r="I1412" s="1448" t="s">
        <v>534</v>
      </c>
    </row>
    <row r="1413" spans="1:9" hidden="1" x14ac:dyDescent="0.4">
      <c r="A1413" s="434">
        <v>3</v>
      </c>
      <c r="B1413" s="1448" t="s">
        <v>1638</v>
      </c>
      <c r="C1413" s="1448" t="s">
        <v>1436</v>
      </c>
      <c r="D1413" s="434" t="s">
        <v>76</v>
      </c>
      <c r="E1413" s="1448"/>
      <c r="F1413" s="1448" t="s">
        <v>1749</v>
      </c>
      <c r="G1413" s="1449">
        <v>0</v>
      </c>
      <c r="H1413" s="1448" t="s">
        <v>534</v>
      </c>
      <c r="I1413" s="1448" t="s">
        <v>534</v>
      </c>
    </row>
    <row r="1414" spans="1:9" hidden="1" x14ac:dyDescent="0.4">
      <c r="A1414" s="434">
        <v>3</v>
      </c>
      <c r="B1414" s="1448" t="s">
        <v>1638</v>
      </c>
      <c r="C1414" s="1448" t="s">
        <v>1436</v>
      </c>
      <c r="D1414" s="434" t="s">
        <v>80</v>
      </c>
      <c r="E1414" s="1448"/>
      <c r="F1414" s="1448" t="s">
        <v>1749</v>
      </c>
      <c r="G1414" s="1449">
        <v>0</v>
      </c>
      <c r="H1414" s="1448" t="s">
        <v>534</v>
      </c>
      <c r="I1414" s="1448" t="s">
        <v>534</v>
      </c>
    </row>
    <row r="1415" spans="1:9" hidden="1" x14ac:dyDescent="0.4">
      <c r="A1415" s="434">
        <v>3</v>
      </c>
      <c r="B1415" s="1448" t="s">
        <v>1638</v>
      </c>
      <c r="C1415" s="1448" t="s">
        <v>1436</v>
      </c>
      <c r="D1415" s="434" t="s">
        <v>82</v>
      </c>
      <c r="E1415" s="1448"/>
      <c r="F1415" s="1448" t="s">
        <v>1749</v>
      </c>
      <c r="G1415" s="1449">
        <v>0</v>
      </c>
      <c r="H1415" s="1448" t="s">
        <v>534</v>
      </c>
      <c r="I1415" s="1448" t="s">
        <v>534</v>
      </c>
    </row>
    <row r="1416" spans="1:9" hidden="1" x14ac:dyDescent="0.4">
      <c r="A1416" s="434">
        <v>3</v>
      </c>
      <c r="B1416" s="1448" t="s">
        <v>1638</v>
      </c>
      <c r="C1416" s="1448" t="s">
        <v>1436</v>
      </c>
      <c r="D1416" s="434" t="s">
        <v>84</v>
      </c>
      <c r="E1416" s="1448"/>
      <c r="F1416" s="1448" t="s">
        <v>1749</v>
      </c>
      <c r="G1416" s="1449">
        <v>1689800</v>
      </c>
      <c r="H1416" s="1448" t="s">
        <v>534</v>
      </c>
      <c r="I1416" s="1448" t="s">
        <v>534</v>
      </c>
    </row>
    <row r="1417" spans="1:9" hidden="1" x14ac:dyDescent="0.4">
      <c r="A1417" s="434">
        <v>3</v>
      </c>
      <c r="B1417" s="1448" t="s">
        <v>1638</v>
      </c>
      <c r="C1417" s="1448" t="s">
        <v>1436</v>
      </c>
      <c r="D1417" s="434" t="s">
        <v>86</v>
      </c>
      <c r="E1417" s="1448"/>
      <c r="F1417" s="1448" t="s">
        <v>1749</v>
      </c>
      <c r="G1417" s="1449">
        <v>1559200</v>
      </c>
      <c r="H1417" s="1448" t="s">
        <v>534</v>
      </c>
      <c r="I1417" s="1448" t="s">
        <v>534</v>
      </c>
    </row>
    <row r="1418" spans="1:9" hidden="1" x14ac:dyDescent="0.4">
      <c r="A1418" s="434">
        <v>3</v>
      </c>
      <c r="B1418" s="1448" t="s">
        <v>1638</v>
      </c>
      <c r="C1418" s="1448" t="s">
        <v>1436</v>
      </c>
      <c r="D1418" s="434" t="s">
        <v>87</v>
      </c>
      <c r="E1418" s="1448"/>
      <c r="F1418" s="1448" t="s">
        <v>1749</v>
      </c>
      <c r="G1418" s="1449">
        <v>-100</v>
      </c>
      <c r="H1418" s="1448" t="s">
        <v>534</v>
      </c>
      <c r="I1418" s="1448" t="s">
        <v>534</v>
      </c>
    </row>
    <row r="1419" spans="1:9" hidden="1" x14ac:dyDescent="0.4">
      <c r="A1419" s="434">
        <v>3</v>
      </c>
      <c r="B1419" s="1448" t="s">
        <v>1638</v>
      </c>
      <c r="C1419" s="1448" t="s">
        <v>1436</v>
      </c>
      <c r="D1419" s="434" t="s">
        <v>90</v>
      </c>
      <c r="E1419" s="1448"/>
      <c r="F1419" s="1448" t="s">
        <v>1749</v>
      </c>
      <c r="G1419" s="1449">
        <v>1875900</v>
      </c>
      <c r="H1419" s="1448" t="s">
        <v>534</v>
      </c>
      <c r="I1419" s="1448" t="s">
        <v>534</v>
      </c>
    </row>
    <row r="1420" spans="1:9" hidden="1" x14ac:dyDescent="0.4">
      <c r="A1420" s="434">
        <v>3</v>
      </c>
      <c r="B1420" s="1448" t="s">
        <v>1638</v>
      </c>
      <c r="C1420" s="1448" t="s">
        <v>1436</v>
      </c>
      <c r="D1420" s="434" t="s">
        <v>92</v>
      </c>
      <c r="E1420" s="1448"/>
      <c r="F1420" s="1448" t="s">
        <v>1749</v>
      </c>
      <c r="G1420" s="1449">
        <v>101500</v>
      </c>
      <c r="H1420" s="1448" t="s">
        <v>534</v>
      </c>
      <c r="I1420" s="1448" t="s">
        <v>534</v>
      </c>
    </row>
    <row r="1421" spans="1:9" hidden="1" x14ac:dyDescent="0.4">
      <c r="A1421" s="434">
        <v>3</v>
      </c>
      <c r="B1421" s="1448" t="s">
        <v>1638</v>
      </c>
      <c r="C1421" s="1448" t="s">
        <v>1436</v>
      </c>
      <c r="D1421" s="434" t="s">
        <v>93</v>
      </c>
      <c r="E1421" s="1448"/>
      <c r="F1421" s="1448" t="s">
        <v>1749</v>
      </c>
      <c r="G1421" s="1449">
        <v>303900</v>
      </c>
      <c r="H1421" s="1448" t="s">
        <v>534</v>
      </c>
      <c r="I1421" s="1448" t="s">
        <v>534</v>
      </c>
    </row>
    <row r="1422" spans="1:9" hidden="1" x14ac:dyDescent="0.4">
      <c r="A1422" s="434">
        <v>3</v>
      </c>
      <c r="B1422" s="1448" t="s">
        <v>1638</v>
      </c>
      <c r="C1422" s="1448" t="s">
        <v>1436</v>
      </c>
      <c r="D1422" s="434" t="s">
        <v>94</v>
      </c>
      <c r="E1422" s="1448"/>
      <c r="F1422" s="1448" t="s">
        <v>1749</v>
      </c>
      <c r="G1422" s="1449">
        <v>1013800</v>
      </c>
      <c r="H1422" s="1448" t="s">
        <v>534</v>
      </c>
      <c r="I1422" s="1448" t="s">
        <v>534</v>
      </c>
    </row>
    <row r="1423" spans="1:9" hidden="1" x14ac:dyDescent="0.4">
      <c r="A1423" s="434">
        <v>3</v>
      </c>
      <c r="B1423" s="1448" t="s">
        <v>1638</v>
      </c>
      <c r="C1423" s="1448" t="s">
        <v>1436</v>
      </c>
      <c r="D1423" s="434" t="s">
        <v>96</v>
      </c>
      <c r="E1423" s="1448"/>
      <c r="F1423" s="1448" t="s">
        <v>1749</v>
      </c>
      <c r="G1423" s="1449">
        <v>101500</v>
      </c>
      <c r="H1423" s="1448" t="s">
        <v>534</v>
      </c>
      <c r="I1423" s="1448" t="s">
        <v>534</v>
      </c>
    </row>
    <row r="1424" spans="1:9" hidden="1" x14ac:dyDescent="0.4">
      <c r="A1424" s="434">
        <v>3</v>
      </c>
      <c r="B1424" s="1448" t="s">
        <v>1638</v>
      </c>
      <c r="C1424" s="1448" t="s">
        <v>1436</v>
      </c>
      <c r="D1424" s="434" t="s">
        <v>510</v>
      </c>
      <c r="E1424" s="1448"/>
      <c r="F1424" s="1448" t="s">
        <v>1749</v>
      </c>
      <c r="G1424" s="1449">
        <v>1099000</v>
      </c>
      <c r="H1424" s="1448" t="s">
        <v>534</v>
      </c>
      <c r="I1424" s="1448" t="s">
        <v>534</v>
      </c>
    </row>
    <row r="1425" spans="1:9" hidden="1" x14ac:dyDescent="0.4">
      <c r="A1425" s="434">
        <v>3</v>
      </c>
      <c r="B1425" s="1448" t="s">
        <v>1638</v>
      </c>
      <c r="C1425" s="1448" t="s">
        <v>1436</v>
      </c>
      <c r="D1425" s="434" t="s">
        <v>100</v>
      </c>
      <c r="E1425" s="1448"/>
      <c r="F1425" s="1448" t="s">
        <v>1749</v>
      </c>
      <c r="G1425" s="1449">
        <v>608400</v>
      </c>
      <c r="H1425" s="1448" t="s">
        <v>534</v>
      </c>
      <c r="I1425" s="1448" t="s">
        <v>534</v>
      </c>
    </row>
    <row r="1426" spans="1:9" hidden="1" x14ac:dyDescent="0.4">
      <c r="A1426" s="434">
        <v>3</v>
      </c>
      <c r="B1426" s="1448" t="s">
        <v>1638</v>
      </c>
      <c r="C1426" s="1448" t="s">
        <v>1436</v>
      </c>
      <c r="D1426" s="434" t="s">
        <v>101</v>
      </c>
      <c r="E1426" s="1448"/>
      <c r="F1426" s="1448" t="s">
        <v>1749</v>
      </c>
      <c r="G1426" s="1449">
        <v>303900</v>
      </c>
      <c r="H1426" s="1448" t="s">
        <v>534</v>
      </c>
      <c r="I1426" s="1448" t="s">
        <v>534</v>
      </c>
    </row>
    <row r="1427" spans="1:9" hidden="1" x14ac:dyDescent="0.4">
      <c r="A1427" s="434">
        <v>3</v>
      </c>
      <c r="B1427" s="1448" t="s">
        <v>1644</v>
      </c>
      <c r="C1427" s="1448" t="s">
        <v>1436</v>
      </c>
      <c r="D1427" s="434" t="s">
        <v>72</v>
      </c>
      <c r="E1427" s="1448"/>
      <c r="F1427" s="1448" t="s">
        <v>1749</v>
      </c>
      <c r="G1427" s="1449">
        <v>6997700</v>
      </c>
      <c r="H1427" s="1448" t="s">
        <v>534</v>
      </c>
      <c r="I1427" s="1448" t="s">
        <v>534</v>
      </c>
    </row>
    <row r="1428" spans="1:9" hidden="1" x14ac:dyDescent="0.4">
      <c r="A1428" s="434">
        <v>3</v>
      </c>
      <c r="B1428" s="1448" t="s">
        <v>1644</v>
      </c>
      <c r="C1428" s="1448" t="s">
        <v>1436</v>
      </c>
      <c r="D1428" s="434" t="s">
        <v>73</v>
      </c>
      <c r="E1428" s="1448"/>
      <c r="F1428" s="1448" t="s">
        <v>1749</v>
      </c>
      <c r="G1428" s="1449">
        <v>326100</v>
      </c>
      <c r="H1428" s="1448" t="s">
        <v>534</v>
      </c>
      <c r="I1428" s="1448" t="s">
        <v>534</v>
      </c>
    </row>
    <row r="1429" spans="1:9" hidden="1" x14ac:dyDescent="0.4">
      <c r="A1429" s="434">
        <v>3</v>
      </c>
      <c r="B1429" s="1448" t="s">
        <v>1644</v>
      </c>
      <c r="C1429" s="1448" t="s">
        <v>1436</v>
      </c>
      <c r="D1429" s="434" t="s">
        <v>76</v>
      </c>
      <c r="E1429" s="1448"/>
      <c r="F1429" s="1448" t="s">
        <v>1749</v>
      </c>
      <c r="G1429" s="1449">
        <v>0</v>
      </c>
      <c r="H1429" s="1448" t="s">
        <v>534</v>
      </c>
      <c r="I1429" s="1448" t="s">
        <v>534</v>
      </c>
    </row>
    <row r="1430" spans="1:9" hidden="1" x14ac:dyDescent="0.4">
      <c r="A1430" s="434">
        <v>3</v>
      </c>
      <c r="B1430" s="1448" t="s">
        <v>1644</v>
      </c>
      <c r="C1430" s="1448" t="s">
        <v>1436</v>
      </c>
      <c r="D1430" s="434" t="s">
        <v>80</v>
      </c>
      <c r="E1430" s="1448"/>
      <c r="F1430" s="1448" t="s">
        <v>1749</v>
      </c>
      <c r="G1430" s="1449">
        <v>0</v>
      </c>
      <c r="H1430" s="1448" t="s">
        <v>534</v>
      </c>
      <c r="I1430" s="1448" t="s">
        <v>534</v>
      </c>
    </row>
    <row r="1431" spans="1:9" hidden="1" x14ac:dyDescent="0.4">
      <c r="A1431" s="434">
        <v>3</v>
      </c>
      <c r="B1431" s="1448" t="s">
        <v>1644</v>
      </c>
      <c r="C1431" s="1448" t="s">
        <v>1436</v>
      </c>
      <c r="D1431" s="434" t="s">
        <v>82</v>
      </c>
      <c r="E1431" s="1448"/>
      <c r="F1431" s="1448" t="s">
        <v>1749</v>
      </c>
      <c r="G1431" s="1449">
        <v>300</v>
      </c>
      <c r="H1431" s="1448" t="s">
        <v>534</v>
      </c>
      <c r="I1431" s="1448" t="s">
        <v>534</v>
      </c>
    </row>
    <row r="1432" spans="1:9" hidden="1" x14ac:dyDescent="0.4">
      <c r="A1432" s="434">
        <v>3</v>
      </c>
      <c r="B1432" s="1448" t="s">
        <v>1644</v>
      </c>
      <c r="C1432" s="1448" t="s">
        <v>1436</v>
      </c>
      <c r="D1432" s="434" t="s">
        <v>84</v>
      </c>
      <c r="E1432" s="1448"/>
      <c r="F1432" s="1448" t="s">
        <v>1749</v>
      </c>
      <c r="G1432" s="1449">
        <v>661500</v>
      </c>
      <c r="H1432" s="1448" t="s">
        <v>534</v>
      </c>
      <c r="I1432" s="1448" t="s">
        <v>534</v>
      </c>
    </row>
    <row r="1433" spans="1:9" hidden="1" x14ac:dyDescent="0.4">
      <c r="A1433" s="434">
        <v>3</v>
      </c>
      <c r="B1433" s="1448" t="s">
        <v>1644</v>
      </c>
      <c r="C1433" s="1448" t="s">
        <v>1436</v>
      </c>
      <c r="D1433" s="434" t="s">
        <v>86</v>
      </c>
      <c r="E1433" s="1448"/>
      <c r="F1433" s="1448" t="s">
        <v>1749</v>
      </c>
      <c r="G1433" s="1449">
        <v>609900</v>
      </c>
      <c r="H1433" s="1448" t="s">
        <v>534</v>
      </c>
      <c r="I1433" s="1448" t="s">
        <v>534</v>
      </c>
    </row>
    <row r="1434" spans="1:9" hidden="1" x14ac:dyDescent="0.4">
      <c r="A1434" s="434">
        <v>3</v>
      </c>
      <c r="B1434" s="1448" t="s">
        <v>1644</v>
      </c>
      <c r="C1434" s="1448" t="s">
        <v>1436</v>
      </c>
      <c r="D1434" s="434" t="s">
        <v>87</v>
      </c>
      <c r="E1434" s="1448"/>
      <c r="F1434" s="1448" t="s">
        <v>1749</v>
      </c>
      <c r="G1434" s="1449">
        <v>400</v>
      </c>
      <c r="H1434" s="1448" t="s">
        <v>534</v>
      </c>
      <c r="I1434" s="1448" t="s">
        <v>534</v>
      </c>
    </row>
    <row r="1435" spans="1:9" hidden="1" x14ac:dyDescent="0.4">
      <c r="A1435" s="434">
        <v>3</v>
      </c>
      <c r="B1435" s="1448" t="s">
        <v>1644</v>
      </c>
      <c r="C1435" s="1448" t="s">
        <v>1436</v>
      </c>
      <c r="D1435" s="434" t="s">
        <v>90</v>
      </c>
      <c r="E1435" s="1448"/>
      <c r="F1435" s="1448" t="s">
        <v>1749</v>
      </c>
      <c r="G1435" s="1449">
        <v>733800</v>
      </c>
      <c r="H1435" s="1448" t="s">
        <v>534</v>
      </c>
      <c r="I1435" s="1448" t="s">
        <v>534</v>
      </c>
    </row>
    <row r="1436" spans="1:9" hidden="1" x14ac:dyDescent="0.4">
      <c r="A1436" s="434">
        <v>3</v>
      </c>
      <c r="B1436" s="1448" t="s">
        <v>1644</v>
      </c>
      <c r="C1436" s="1448" t="s">
        <v>1436</v>
      </c>
      <c r="D1436" s="434" t="s">
        <v>92</v>
      </c>
      <c r="E1436" s="1448"/>
      <c r="F1436" s="1448" t="s">
        <v>1749</v>
      </c>
      <c r="G1436" s="1449">
        <v>39900</v>
      </c>
      <c r="H1436" s="1448" t="s">
        <v>534</v>
      </c>
      <c r="I1436" s="1448" t="s">
        <v>534</v>
      </c>
    </row>
    <row r="1437" spans="1:9" hidden="1" x14ac:dyDescent="0.4">
      <c r="A1437" s="434">
        <v>3</v>
      </c>
      <c r="B1437" s="1448" t="s">
        <v>1644</v>
      </c>
      <c r="C1437" s="1448" t="s">
        <v>1436</v>
      </c>
      <c r="D1437" s="434" t="s">
        <v>93</v>
      </c>
      <c r="E1437" s="1448"/>
      <c r="F1437" s="1448" t="s">
        <v>1749</v>
      </c>
      <c r="G1437" s="1449">
        <v>118900</v>
      </c>
      <c r="H1437" s="1448" t="s">
        <v>534</v>
      </c>
      <c r="I1437" s="1448" t="s">
        <v>534</v>
      </c>
    </row>
    <row r="1438" spans="1:9" hidden="1" x14ac:dyDescent="0.4">
      <c r="A1438" s="434">
        <v>3</v>
      </c>
      <c r="B1438" s="1448" t="s">
        <v>1644</v>
      </c>
      <c r="C1438" s="1448" t="s">
        <v>1436</v>
      </c>
      <c r="D1438" s="434" t="s">
        <v>94</v>
      </c>
      <c r="E1438" s="1448"/>
      <c r="F1438" s="1448" t="s">
        <v>1749</v>
      </c>
      <c r="G1438" s="1449">
        <v>397000</v>
      </c>
      <c r="H1438" s="1448" t="s">
        <v>534</v>
      </c>
      <c r="I1438" s="1448" t="s">
        <v>534</v>
      </c>
    </row>
    <row r="1439" spans="1:9" hidden="1" x14ac:dyDescent="0.4">
      <c r="A1439" s="434">
        <v>3</v>
      </c>
      <c r="B1439" s="1448" t="s">
        <v>1644</v>
      </c>
      <c r="C1439" s="1448" t="s">
        <v>1436</v>
      </c>
      <c r="D1439" s="434" t="s">
        <v>96</v>
      </c>
      <c r="E1439" s="1448"/>
      <c r="F1439" s="1448" t="s">
        <v>1749</v>
      </c>
      <c r="G1439" s="1449">
        <v>39900</v>
      </c>
      <c r="H1439" s="1448" t="s">
        <v>534</v>
      </c>
      <c r="I1439" s="1448" t="s">
        <v>534</v>
      </c>
    </row>
    <row r="1440" spans="1:9" hidden="1" x14ac:dyDescent="0.4">
      <c r="A1440" s="434">
        <v>3</v>
      </c>
      <c r="B1440" s="1448" t="s">
        <v>1644</v>
      </c>
      <c r="C1440" s="1448" t="s">
        <v>1436</v>
      </c>
      <c r="D1440" s="434" t="s">
        <v>510</v>
      </c>
      <c r="E1440" s="1448"/>
      <c r="F1440" s="1448" t="s">
        <v>1749</v>
      </c>
      <c r="G1440" s="1449">
        <v>430100</v>
      </c>
      <c r="H1440" s="1448" t="s">
        <v>534</v>
      </c>
      <c r="I1440" s="1448" t="s">
        <v>534</v>
      </c>
    </row>
    <row r="1441" spans="1:9" hidden="1" x14ac:dyDescent="0.4">
      <c r="A1441" s="434">
        <v>3</v>
      </c>
      <c r="B1441" s="1448" t="s">
        <v>1644</v>
      </c>
      <c r="C1441" s="1448" t="s">
        <v>1436</v>
      </c>
      <c r="D1441" s="434" t="s">
        <v>100</v>
      </c>
      <c r="E1441" s="1448"/>
      <c r="F1441" s="1448" t="s">
        <v>1749</v>
      </c>
      <c r="G1441" s="1449">
        <v>238200</v>
      </c>
      <c r="H1441" s="1448" t="s">
        <v>534</v>
      </c>
      <c r="I1441" s="1448" t="s">
        <v>534</v>
      </c>
    </row>
    <row r="1442" spans="1:9" hidden="1" x14ac:dyDescent="0.4">
      <c r="A1442" s="434">
        <v>3</v>
      </c>
      <c r="B1442" s="1448" t="s">
        <v>1644</v>
      </c>
      <c r="C1442" s="1448" t="s">
        <v>1436</v>
      </c>
      <c r="D1442" s="434" t="s">
        <v>101</v>
      </c>
      <c r="E1442" s="1448"/>
      <c r="F1442" s="1448" t="s">
        <v>1749</v>
      </c>
      <c r="G1442" s="1449">
        <v>118900</v>
      </c>
      <c r="H1442" s="1448" t="s">
        <v>534</v>
      </c>
      <c r="I1442" s="1448" t="s">
        <v>534</v>
      </c>
    </row>
    <row r="1443" spans="1:9" hidden="1" x14ac:dyDescent="0.4">
      <c r="A1443" s="434">
        <v>3</v>
      </c>
      <c r="B1443" s="1448" t="s">
        <v>1653</v>
      </c>
      <c r="C1443" s="1448" t="s">
        <v>1436</v>
      </c>
      <c r="D1443" s="434" t="s">
        <v>72</v>
      </c>
      <c r="E1443" s="1448"/>
      <c r="F1443" s="1448" t="s">
        <v>1749</v>
      </c>
      <c r="G1443" s="1449">
        <v>3694400</v>
      </c>
      <c r="H1443" s="1448" t="s">
        <v>534</v>
      </c>
      <c r="I1443" s="1448" t="s">
        <v>534</v>
      </c>
    </row>
    <row r="1444" spans="1:9" hidden="1" x14ac:dyDescent="0.4">
      <c r="A1444" s="434">
        <v>3</v>
      </c>
      <c r="B1444" s="1448" t="s">
        <v>1653</v>
      </c>
      <c r="C1444" s="1448" t="s">
        <v>1436</v>
      </c>
      <c r="D1444" s="434" t="s">
        <v>73</v>
      </c>
      <c r="E1444" s="1448"/>
      <c r="F1444" s="1448" t="s">
        <v>1749</v>
      </c>
      <c r="G1444" s="1449">
        <v>-100</v>
      </c>
      <c r="H1444" s="1448" t="s">
        <v>534</v>
      </c>
      <c r="I1444" s="1448" t="s">
        <v>534</v>
      </c>
    </row>
    <row r="1445" spans="1:9" hidden="1" x14ac:dyDescent="0.4">
      <c r="A1445" s="434">
        <v>3</v>
      </c>
      <c r="B1445" s="1448" t="s">
        <v>1653</v>
      </c>
      <c r="C1445" s="1448" t="s">
        <v>1436</v>
      </c>
      <c r="D1445" s="434" t="s">
        <v>76</v>
      </c>
      <c r="E1445" s="1448"/>
      <c r="F1445" s="1448" t="s">
        <v>1749</v>
      </c>
      <c r="G1445" s="1449">
        <v>0</v>
      </c>
      <c r="H1445" s="1448" t="s">
        <v>534</v>
      </c>
      <c r="I1445" s="1448" t="s">
        <v>534</v>
      </c>
    </row>
    <row r="1446" spans="1:9" hidden="1" x14ac:dyDescent="0.4">
      <c r="A1446" s="434">
        <v>3</v>
      </c>
      <c r="B1446" s="1448" t="s">
        <v>1653</v>
      </c>
      <c r="C1446" s="1448" t="s">
        <v>1436</v>
      </c>
      <c r="D1446" s="434" t="s">
        <v>80</v>
      </c>
      <c r="E1446" s="1448"/>
      <c r="F1446" s="1448" t="s">
        <v>1749</v>
      </c>
      <c r="G1446" s="1449">
        <v>100</v>
      </c>
      <c r="H1446" s="1448" t="s">
        <v>534</v>
      </c>
      <c r="I1446" s="1448" t="s">
        <v>534</v>
      </c>
    </row>
    <row r="1447" spans="1:9" hidden="1" x14ac:dyDescent="0.4">
      <c r="A1447" s="434">
        <v>3</v>
      </c>
      <c r="B1447" s="1448" t="s">
        <v>1653</v>
      </c>
      <c r="C1447" s="1448" t="s">
        <v>1436</v>
      </c>
      <c r="D1447" s="434" t="s">
        <v>82</v>
      </c>
      <c r="E1447" s="1448"/>
      <c r="F1447" s="1448" t="s">
        <v>1749</v>
      </c>
      <c r="G1447" s="1449">
        <v>200</v>
      </c>
      <c r="H1447" s="1448" t="s">
        <v>534</v>
      </c>
      <c r="I1447" s="1448" t="s">
        <v>534</v>
      </c>
    </row>
    <row r="1448" spans="1:9" hidden="1" x14ac:dyDescent="0.4">
      <c r="A1448" s="434">
        <v>3</v>
      </c>
      <c r="B1448" s="1448" t="s">
        <v>1653</v>
      </c>
      <c r="C1448" s="1448" t="s">
        <v>1436</v>
      </c>
      <c r="D1448" s="434" t="s">
        <v>84</v>
      </c>
      <c r="E1448" s="1448"/>
      <c r="F1448" s="1448" t="s">
        <v>1749</v>
      </c>
      <c r="G1448" s="1449">
        <v>333500</v>
      </c>
      <c r="H1448" s="1448" t="s">
        <v>534</v>
      </c>
      <c r="I1448" s="1448" t="s">
        <v>534</v>
      </c>
    </row>
    <row r="1449" spans="1:9" hidden="1" x14ac:dyDescent="0.4">
      <c r="A1449" s="434">
        <v>3</v>
      </c>
      <c r="B1449" s="1448" t="s">
        <v>1653</v>
      </c>
      <c r="C1449" s="1448" t="s">
        <v>1436</v>
      </c>
      <c r="D1449" s="434" t="s">
        <v>86</v>
      </c>
      <c r="E1449" s="1448"/>
      <c r="F1449" s="1448" t="s">
        <v>1749</v>
      </c>
      <c r="G1449" s="1449">
        <v>307900</v>
      </c>
      <c r="H1449" s="1448" t="s">
        <v>534</v>
      </c>
      <c r="I1449" s="1448" t="s">
        <v>534</v>
      </c>
    </row>
    <row r="1450" spans="1:9" hidden="1" x14ac:dyDescent="0.4">
      <c r="A1450" s="434">
        <v>3</v>
      </c>
      <c r="B1450" s="1448" t="s">
        <v>1653</v>
      </c>
      <c r="C1450" s="1448" t="s">
        <v>1436</v>
      </c>
      <c r="D1450" s="434" t="s">
        <v>87</v>
      </c>
      <c r="E1450" s="1448"/>
      <c r="F1450" s="1448" t="s">
        <v>1749</v>
      </c>
      <c r="G1450" s="1449">
        <v>-100</v>
      </c>
      <c r="H1450" s="1448" t="s">
        <v>534</v>
      </c>
      <c r="I1450" s="1448" t="s">
        <v>534</v>
      </c>
    </row>
    <row r="1451" spans="1:9" hidden="1" x14ac:dyDescent="0.4">
      <c r="A1451" s="434">
        <v>3</v>
      </c>
      <c r="B1451" s="1448" t="s">
        <v>1653</v>
      </c>
      <c r="C1451" s="1448" t="s">
        <v>1436</v>
      </c>
      <c r="D1451" s="434" t="s">
        <v>90</v>
      </c>
      <c r="E1451" s="1448"/>
      <c r="F1451" s="1448" t="s">
        <v>1749</v>
      </c>
      <c r="G1451" s="1449">
        <v>370300</v>
      </c>
      <c r="H1451" s="1448" t="s">
        <v>534</v>
      </c>
      <c r="I1451" s="1448" t="s">
        <v>534</v>
      </c>
    </row>
    <row r="1452" spans="1:9" hidden="1" x14ac:dyDescent="0.4">
      <c r="A1452" s="434">
        <v>3</v>
      </c>
      <c r="B1452" s="1448" t="s">
        <v>1653</v>
      </c>
      <c r="C1452" s="1448" t="s">
        <v>1436</v>
      </c>
      <c r="D1452" s="434" t="s">
        <v>92</v>
      </c>
      <c r="E1452" s="1448"/>
      <c r="F1452" s="1448" t="s">
        <v>1749</v>
      </c>
      <c r="G1452" s="1449">
        <v>19900</v>
      </c>
      <c r="H1452" s="1448" t="s">
        <v>534</v>
      </c>
      <c r="I1452" s="1448" t="s">
        <v>534</v>
      </c>
    </row>
    <row r="1453" spans="1:9" hidden="1" x14ac:dyDescent="0.4">
      <c r="A1453" s="434">
        <v>3</v>
      </c>
      <c r="B1453" s="1448" t="s">
        <v>1653</v>
      </c>
      <c r="C1453" s="1448" t="s">
        <v>1436</v>
      </c>
      <c r="D1453" s="434" t="s">
        <v>93</v>
      </c>
      <c r="E1453" s="1448"/>
      <c r="F1453" s="1448" t="s">
        <v>1749</v>
      </c>
      <c r="G1453" s="1449">
        <v>60100</v>
      </c>
      <c r="H1453" s="1448" t="s">
        <v>534</v>
      </c>
      <c r="I1453" s="1448" t="s">
        <v>534</v>
      </c>
    </row>
    <row r="1454" spans="1:9" hidden="1" x14ac:dyDescent="0.4">
      <c r="A1454" s="434">
        <v>3</v>
      </c>
      <c r="B1454" s="1448" t="s">
        <v>1653</v>
      </c>
      <c r="C1454" s="1448" t="s">
        <v>1436</v>
      </c>
      <c r="D1454" s="434" t="s">
        <v>94</v>
      </c>
      <c r="E1454" s="1448"/>
      <c r="F1454" s="1448" t="s">
        <v>1749</v>
      </c>
      <c r="G1454" s="1449">
        <v>200200</v>
      </c>
      <c r="H1454" s="1448" t="s">
        <v>534</v>
      </c>
      <c r="I1454" s="1448" t="s">
        <v>534</v>
      </c>
    </row>
    <row r="1455" spans="1:9" hidden="1" x14ac:dyDescent="0.4">
      <c r="A1455" s="434">
        <v>3</v>
      </c>
      <c r="B1455" s="1448" t="s">
        <v>1653</v>
      </c>
      <c r="C1455" s="1448" t="s">
        <v>1436</v>
      </c>
      <c r="D1455" s="434" t="s">
        <v>96</v>
      </c>
      <c r="E1455" s="1448"/>
      <c r="F1455" s="1448" t="s">
        <v>1749</v>
      </c>
      <c r="G1455" s="1449">
        <v>19900</v>
      </c>
      <c r="H1455" s="1448" t="s">
        <v>534</v>
      </c>
      <c r="I1455" s="1448" t="s">
        <v>534</v>
      </c>
    </row>
    <row r="1456" spans="1:9" hidden="1" x14ac:dyDescent="0.4">
      <c r="A1456" s="434">
        <v>3</v>
      </c>
      <c r="B1456" s="1448" t="s">
        <v>1653</v>
      </c>
      <c r="C1456" s="1448" t="s">
        <v>1436</v>
      </c>
      <c r="D1456" s="434" t="s">
        <v>510</v>
      </c>
      <c r="E1456" s="1448"/>
      <c r="F1456" s="1448" t="s">
        <v>1749</v>
      </c>
      <c r="G1456" s="1449">
        <v>216700</v>
      </c>
      <c r="H1456" s="1448" t="s">
        <v>534</v>
      </c>
      <c r="I1456" s="1448" t="s">
        <v>534</v>
      </c>
    </row>
    <row r="1457" spans="1:9" hidden="1" x14ac:dyDescent="0.4">
      <c r="A1457" s="434">
        <v>3</v>
      </c>
      <c r="B1457" s="1448" t="s">
        <v>1653</v>
      </c>
      <c r="C1457" s="1448" t="s">
        <v>1436</v>
      </c>
      <c r="D1457" s="434" t="s">
        <v>100</v>
      </c>
      <c r="E1457" s="1448"/>
      <c r="F1457" s="1448" t="s">
        <v>1749</v>
      </c>
      <c r="G1457" s="1449">
        <v>120200</v>
      </c>
      <c r="H1457" s="1448" t="s">
        <v>534</v>
      </c>
      <c r="I1457" s="1448" t="s">
        <v>534</v>
      </c>
    </row>
    <row r="1458" spans="1:9" hidden="1" x14ac:dyDescent="0.4">
      <c r="A1458" s="434">
        <v>3</v>
      </c>
      <c r="B1458" s="1448" t="s">
        <v>1653</v>
      </c>
      <c r="C1458" s="1448" t="s">
        <v>1436</v>
      </c>
      <c r="D1458" s="434" t="s">
        <v>101</v>
      </c>
      <c r="E1458" s="1448"/>
      <c r="F1458" s="1448" t="s">
        <v>1749</v>
      </c>
      <c r="G1458" s="1449">
        <v>60100</v>
      </c>
      <c r="H1458" s="1448" t="s">
        <v>534</v>
      </c>
      <c r="I1458" s="1448" t="s">
        <v>534</v>
      </c>
    </row>
    <row r="1459" spans="1:9" hidden="1" x14ac:dyDescent="0.4">
      <c r="A1459" s="434">
        <v>3</v>
      </c>
      <c r="B1459" s="1448" t="s">
        <v>1655</v>
      </c>
      <c r="C1459" s="1448" t="s">
        <v>1436</v>
      </c>
      <c r="D1459" s="434" t="s">
        <v>72</v>
      </c>
      <c r="E1459" s="1448"/>
      <c r="F1459" s="1448" t="s">
        <v>1749</v>
      </c>
      <c r="G1459" s="1449">
        <v>9263400</v>
      </c>
      <c r="H1459" s="1448" t="s">
        <v>534</v>
      </c>
      <c r="I1459" s="1448" t="s">
        <v>534</v>
      </c>
    </row>
    <row r="1460" spans="1:9" hidden="1" x14ac:dyDescent="0.4">
      <c r="A1460" s="434">
        <v>3</v>
      </c>
      <c r="B1460" s="1448" t="s">
        <v>1655</v>
      </c>
      <c r="C1460" s="1448" t="s">
        <v>1436</v>
      </c>
      <c r="D1460" s="434" t="s">
        <v>80</v>
      </c>
      <c r="E1460" s="1448"/>
      <c r="F1460" s="1448" t="s">
        <v>1749</v>
      </c>
      <c r="G1460" s="1449">
        <v>100</v>
      </c>
      <c r="H1460" s="1448" t="s">
        <v>534</v>
      </c>
      <c r="I1460" s="1448" t="s">
        <v>534</v>
      </c>
    </row>
    <row r="1461" spans="1:9" hidden="1" x14ac:dyDescent="0.4">
      <c r="A1461" s="434">
        <v>3</v>
      </c>
      <c r="B1461" s="1448" t="s">
        <v>1655</v>
      </c>
      <c r="C1461" s="1448" t="s">
        <v>1436</v>
      </c>
      <c r="D1461" s="434" t="s">
        <v>82</v>
      </c>
      <c r="E1461" s="1448"/>
      <c r="F1461" s="1448" t="s">
        <v>1749</v>
      </c>
      <c r="G1461" s="1449">
        <v>-100</v>
      </c>
      <c r="H1461" s="1448" t="s">
        <v>534</v>
      </c>
      <c r="I1461" s="1448" t="s">
        <v>534</v>
      </c>
    </row>
    <row r="1462" spans="1:9" hidden="1" x14ac:dyDescent="0.4">
      <c r="A1462" s="434">
        <v>3</v>
      </c>
      <c r="B1462" s="1448" t="s">
        <v>1655</v>
      </c>
      <c r="C1462" s="1448" t="s">
        <v>1436</v>
      </c>
      <c r="D1462" s="434" t="s">
        <v>84</v>
      </c>
      <c r="E1462" s="1448"/>
      <c r="F1462" s="1448" t="s">
        <v>1749</v>
      </c>
      <c r="G1462" s="1449">
        <v>836400</v>
      </c>
      <c r="H1462" s="1448" t="s">
        <v>534</v>
      </c>
      <c r="I1462" s="1448" t="s">
        <v>534</v>
      </c>
    </row>
    <row r="1463" spans="1:9" hidden="1" x14ac:dyDescent="0.4">
      <c r="A1463" s="434">
        <v>3</v>
      </c>
      <c r="B1463" s="1448" t="s">
        <v>1655</v>
      </c>
      <c r="C1463" s="1448" t="s">
        <v>1436</v>
      </c>
      <c r="D1463" s="434" t="s">
        <v>86</v>
      </c>
      <c r="E1463" s="1448"/>
      <c r="F1463" s="1448" t="s">
        <v>1749</v>
      </c>
      <c r="G1463" s="1449">
        <v>771500</v>
      </c>
      <c r="H1463" s="1448" t="s">
        <v>534</v>
      </c>
      <c r="I1463" s="1448" t="s">
        <v>534</v>
      </c>
    </row>
    <row r="1464" spans="1:9" hidden="1" x14ac:dyDescent="0.4">
      <c r="A1464" s="434">
        <v>3</v>
      </c>
      <c r="B1464" s="1448" t="s">
        <v>1655</v>
      </c>
      <c r="C1464" s="1448" t="s">
        <v>1436</v>
      </c>
      <c r="D1464" s="434" t="s">
        <v>87</v>
      </c>
      <c r="E1464" s="1448"/>
      <c r="F1464" s="1448" t="s">
        <v>1749</v>
      </c>
      <c r="G1464" s="1449">
        <v>-100</v>
      </c>
      <c r="H1464" s="1448" t="s">
        <v>534</v>
      </c>
      <c r="I1464" s="1448" t="s">
        <v>534</v>
      </c>
    </row>
    <row r="1465" spans="1:9" hidden="1" x14ac:dyDescent="0.4">
      <c r="A1465" s="434">
        <v>3</v>
      </c>
      <c r="B1465" s="1448" t="s">
        <v>1655</v>
      </c>
      <c r="C1465" s="1448" t="s">
        <v>1436</v>
      </c>
      <c r="D1465" s="434" t="s">
        <v>90</v>
      </c>
      <c r="E1465" s="1448"/>
      <c r="F1465" s="1448" t="s">
        <v>1749</v>
      </c>
      <c r="G1465" s="1449">
        <v>928300</v>
      </c>
      <c r="H1465" s="1448" t="s">
        <v>534</v>
      </c>
      <c r="I1465" s="1448" t="s">
        <v>534</v>
      </c>
    </row>
    <row r="1466" spans="1:9" hidden="1" x14ac:dyDescent="0.4">
      <c r="A1466" s="434">
        <v>3</v>
      </c>
      <c r="B1466" s="1448" t="s">
        <v>1655</v>
      </c>
      <c r="C1466" s="1448" t="s">
        <v>1436</v>
      </c>
      <c r="D1466" s="434" t="s">
        <v>92</v>
      </c>
      <c r="E1466" s="1448"/>
      <c r="F1466" s="1448" t="s">
        <v>1749</v>
      </c>
      <c r="G1466" s="1449">
        <v>50300</v>
      </c>
      <c r="H1466" s="1448" t="s">
        <v>534</v>
      </c>
      <c r="I1466" s="1448" t="s">
        <v>534</v>
      </c>
    </row>
    <row r="1467" spans="1:9" hidden="1" x14ac:dyDescent="0.4">
      <c r="A1467" s="434">
        <v>3</v>
      </c>
      <c r="B1467" s="1448" t="s">
        <v>1655</v>
      </c>
      <c r="C1467" s="1448" t="s">
        <v>1436</v>
      </c>
      <c r="D1467" s="434" t="s">
        <v>93</v>
      </c>
      <c r="E1467" s="1448"/>
      <c r="F1467" s="1448" t="s">
        <v>1749</v>
      </c>
      <c r="G1467" s="1449">
        <v>150400</v>
      </c>
      <c r="H1467" s="1448" t="s">
        <v>534</v>
      </c>
      <c r="I1467" s="1448" t="s">
        <v>534</v>
      </c>
    </row>
    <row r="1468" spans="1:9" hidden="1" x14ac:dyDescent="0.4">
      <c r="A1468" s="434">
        <v>3</v>
      </c>
      <c r="B1468" s="1448" t="s">
        <v>1655</v>
      </c>
      <c r="C1468" s="1448" t="s">
        <v>1436</v>
      </c>
      <c r="D1468" s="434" t="s">
        <v>94</v>
      </c>
      <c r="E1468" s="1448"/>
      <c r="F1468" s="1448" t="s">
        <v>1749</v>
      </c>
      <c r="G1468" s="1449">
        <v>501800</v>
      </c>
      <c r="H1468" s="1448" t="s">
        <v>534</v>
      </c>
      <c r="I1468" s="1448" t="s">
        <v>534</v>
      </c>
    </row>
    <row r="1469" spans="1:9" hidden="1" x14ac:dyDescent="0.4">
      <c r="A1469" s="434">
        <v>3</v>
      </c>
      <c r="B1469" s="1448" t="s">
        <v>1655</v>
      </c>
      <c r="C1469" s="1448" t="s">
        <v>1436</v>
      </c>
      <c r="D1469" s="434" t="s">
        <v>96</v>
      </c>
      <c r="E1469" s="1448"/>
      <c r="F1469" s="1448" t="s">
        <v>1749</v>
      </c>
      <c r="G1469" s="1449">
        <v>50300</v>
      </c>
      <c r="H1469" s="1448" t="s">
        <v>534</v>
      </c>
      <c r="I1469" s="1448" t="s">
        <v>534</v>
      </c>
    </row>
    <row r="1470" spans="1:9" hidden="1" x14ac:dyDescent="0.4">
      <c r="A1470" s="434">
        <v>3</v>
      </c>
      <c r="B1470" s="1448" t="s">
        <v>1655</v>
      </c>
      <c r="C1470" s="1448" t="s">
        <v>1436</v>
      </c>
      <c r="D1470" s="434" t="s">
        <v>510</v>
      </c>
      <c r="E1470" s="1448"/>
      <c r="F1470" s="1448" t="s">
        <v>1749</v>
      </c>
      <c r="G1470" s="1449">
        <v>544000</v>
      </c>
      <c r="H1470" s="1448" t="s">
        <v>534</v>
      </c>
      <c r="I1470" s="1448" t="s">
        <v>534</v>
      </c>
    </row>
    <row r="1471" spans="1:9" hidden="1" x14ac:dyDescent="0.4">
      <c r="A1471" s="434">
        <v>3</v>
      </c>
      <c r="B1471" s="1448" t="s">
        <v>1655</v>
      </c>
      <c r="C1471" s="1448" t="s">
        <v>1436</v>
      </c>
      <c r="D1471" s="434" t="s">
        <v>100</v>
      </c>
      <c r="E1471" s="1448"/>
      <c r="F1471" s="1448" t="s">
        <v>1749</v>
      </c>
      <c r="G1471" s="1449">
        <v>301200</v>
      </c>
      <c r="H1471" s="1448" t="s">
        <v>534</v>
      </c>
      <c r="I1471" s="1448" t="s">
        <v>534</v>
      </c>
    </row>
    <row r="1472" spans="1:9" hidden="1" x14ac:dyDescent="0.4">
      <c r="A1472" s="434">
        <v>3</v>
      </c>
      <c r="B1472" s="1448" t="s">
        <v>1655</v>
      </c>
      <c r="C1472" s="1448" t="s">
        <v>1436</v>
      </c>
      <c r="D1472" s="434" t="s">
        <v>101</v>
      </c>
      <c r="E1472" s="1448"/>
      <c r="F1472" s="1448" t="s">
        <v>1749</v>
      </c>
      <c r="G1472" s="1449">
        <v>150400</v>
      </c>
      <c r="H1472" s="1448" t="s">
        <v>534</v>
      </c>
      <c r="I1472" s="1448" t="s">
        <v>534</v>
      </c>
    </row>
    <row r="1473" spans="1:9" hidden="1" x14ac:dyDescent="0.4">
      <c r="A1473" s="434">
        <v>3</v>
      </c>
      <c r="B1473" s="1448" t="s">
        <v>1657</v>
      </c>
      <c r="C1473" s="1448" t="s">
        <v>1436</v>
      </c>
      <c r="D1473" s="434" t="s">
        <v>72</v>
      </c>
      <c r="E1473" s="1448"/>
      <c r="F1473" s="1448" t="s">
        <v>1749</v>
      </c>
      <c r="G1473" s="1449">
        <v>11721900</v>
      </c>
      <c r="H1473" s="1448" t="s">
        <v>534</v>
      </c>
      <c r="I1473" s="1448" t="s">
        <v>534</v>
      </c>
    </row>
    <row r="1474" spans="1:9" hidden="1" x14ac:dyDescent="0.4">
      <c r="A1474" s="434">
        <v>3</v>
      </c>
      <c r="B1474" s="1448" t="s">
        <v>1657</v>
      </c>
      <c r="C1474" s="1448" t="s">
        <v>1436</v>
      </c>
      <c r="D1474" s="434" t="s">
        <v>80</v>
      </c>
      <c r="E1474" s="1448"/>
      <c r="F1474" s="1448" t="s">
        <v>1749</v>
      </c>
      <c r="G1474" s="1449">
        <v>-200</v>
      </c>
      <c r="H1474" s="1448" t="s">
        <v>534</v>
      </c>
      <c r="I1474" s="1448" t="s">
        <v>534</v>
      </c>
    </row>
    <row r="1475" spans="1:9" hidden="1" x14ac:dyDescent="0.4">
      <c r="A1475" s="434">
        <v>3</v>
      </c>
      <c r="B1475" s="1448" t="s">
        <v>1657</v>
      </c>
      <c r="C1475" s="1448" t="s">
        <v>1436</v>
      </c>
      <c r="D1475" s="434" t="s">
        <v>82</v>
      </c>
      <c r="E1475" s="1448"/>
      <c r="F1475" s="1448" t="s">
        <v>1749</v>
      </c>
      <c r="G1475" s="1449">
        <v>0</v>
      </c>
      <c r="H1475" s="1448" t="s">
        <v>534</v>
      </c>
      <c r="I1475" s="1448" t="s">
        <v>534</v>
      </c>
    </row>
    <row r="1476" spans="1:9" hidden="1" x14ac:dyDescent="0.4">
      <c r="A1476" s="434">
        <v>3</v>
      </c>
      <c r="B1476" s="1448" t="s">
        <v>1657</v>
      </c>
      <c r="C1476" s="1448" t="s">
        <v>1436</v>
      </c>
      <c r="D1476" s="434" t="s">
        <v>84</v>
      </c>
      <c r="E1476" s="1448"/>
      <c r="F1476" s="1448" t="s">
        <v>1749</v>
      </c>
      <c r="G1476" s="1449">
        <v>1058400</v>
      </c>
      <c r="H1476" s="1448" t="s">
        <v>534</v>
      </c>
      <c r="I1476" s="1448" t="s">
        <v>534</v>
      </c>
    </row>
    <row r="1477" spans="1:9" hidden="1" x14ac:dyDescent="0.4">
      <c r="A1477" s="434">
        <v>3</v>
      </c>
      <c r="B1477" s="1448" t="s">
        <v>1657</v>
      </c>
      <c r="C1477" s="1448" t="s">
        <v>1436</v>
      </c>
      <c r="D1477" s="434" t="s">
        <v>86</v>
      </c>
      <c r="E1477" s="1448"/>
      <c r="F1477" s="1448" t="s">
        <v>1749</v>
      </c>
      <c r="G1477" s="1449">
        <v>976500</v>
      </c>
      <c r="H1477" s="1448" t="s">
        <v>534</v>
      </c>
      <c r="I1477" s="1448" t="s">
        <v>534</v>
      </c>
    </row>
    <row r="1478" spans="1:9" hidden="1" x14ac:dyDescent="0.4">
      <c r="A1478" s="434">
        <v>3</v>
      </c>
      <c r="B1478" s="1448" t="s">
        <v>1657</v>
      </c>
      <c r="C1478" s="1448" t="s">
        <v>1436</v>
      </c>
      <c r="D1478" s="434" t="s">
        <v>87</v>
      </c>
      <c r="E1478" s="1448"/>
      <c r="F1478" s="1448" t="s">
        <v>1749</v>
      </c>
      <c r="G1478" s="1449">
        <v>-200</v>
      </c>
      <c r="H1478" s="1448" t="s">
        <v>534</v>
      </c>
      <c r="I1478" s="1448" t="s">
        <v>534</v>
      </c>
    </row>
    <row r="1479" spans="1:9" hidden="1" x14ac:dyDescent="0.4">
      <c r="A1479" s="434">
        <v>3</v>
      </c>
      <c r="B1479" s="1448" t="s">
        <v>1657</v>
      </c>
      <c r="C1479" s="1448" t="s">
        <v>1436</v>
      </c>
      <c r="D1479" s="434" t="s">
        <v>90</v>
      </c>
      <c r="E1479" s="1448"/>
      <c r="F1479" s="1448" t="s">
        <v>1749</v>
      </c>
      <c r="G1479" s="1449">
        <v>1174800</v>
      </c>
      <c r="H1479" s="1448" t="s">
        <v>534</v>
      </c>
      <c r="I1479" s="1448" t="s">
        <v>534</v>
      </c>
    </row>
    <row r="1480" spans="1:9" hidden="1" x14ac:dyDescent="0.4">
      <c r="A1480" s="434">
        <v>3</v>
      </c>
      <c r="B1480" s="1448" t="s">
        <v>1657</v>
      </c>
      <c r="C1480" s="1448" t="s">
        <v>1436</v>
      </c>
      <c r="D1480" s="434" t="s">
        <v>92</v>
      </c>
      <c r="E1480" s="1448"/>
      <c r="F1480" s="1448" t="s">
        <v>1749</v>
      </c>
      <c r="G1480" s="1449">
        <v>63300</v>
      </c>
      <c r="H1480" s="1448" t="s">
        <v>534</v>
      </c>
      <c r="I1480" s="1448" t="s">
        <v>534</v>
      </c>
    </row>
    <row r="1481" spans="1:9" hidden="1" x14ac:dyDescent="0.4">
      <c r="A1481" s="434">
        <v>3</v>
      </c>
      <c r="B1481" s="1448" t="s">
        <v>1657</v>
      </c>
      <c r="C1481" s="1448" t="s">
        <v>1436</v>
      </c>
      <c r="D1481" s="434" t="s">
        <v>93</v>
      </c>
      <c r="E1481" s="1448"/>
      <c r="F1481" s="1448" t="s">
        <v>1749</v>
      </c>
      <c r="G1481" s="1449">
        <v>190300</v>
      </c>
      <c r="H1481" s="1448" t="s">
        <v>534</v>
      </c>
      <c r="I1481" s="1448" t="s">
        <v>534</v>
      </c>
    </row>
    <row r="1482" spans="1:9" hidden="1" x14ac:dyDescent="0.4">
      <c r="A1482" s="434">
        <v>3</v>
      </c>
      <c r="B1482" s="1448" t="s">
        <v>1657</v>
      </c>
      <c r="C1482" s="1448" t="s">
        <v>1436</v>
      </c>
      <c r="D1482" s="434" t="s">
        <v>94</v>
      </c>
      <c r="E1482" s="1448"/>
      <c r="F1482" s="1448" t="s">
        <v>1749</v>
      </c>
      <c r="G1482" s="1449">
        <v>634700</v>
      </c>
      <c r="H1482" s="1448" t="s">
        <v>534</v>
      </c>
      <c r="I1482" s="1448" t="s">
        <v>534</v>
      </c>
    </row>
    <row r="1483" spans="1:9" hidden="1" x14ac:dyDescent="0.4">
      <c r="A1483" s="434">
        <v>3</v>
      </c>
      <c r="B1483" s="1448" t="s">
        <v>1657</v>
      </c>
      <c r="C1483" s="1448" t="s">
        <v>1436</v>
      </c>
      <c r="D1483" s="434" t="s">
        <v>96</v>
      </c>
      <c r="E1483" s="1448"/>
      <c r="F1483" s="1448" t="s">
        <v>1749</v>
      </c>
      <c r="G1483" s="1449">
        <v>63300</v>
      </c>
      <c r="H1483" s="1448" t="s">
        <v>534</v>
      </c>
      <c r="I1483" s="1448" t="s">
        <v>534</v>
      </c>
    </row>
    <row r="1484" spans="1:9" hidden="1" x14ac:dyDescent="0.4">
      <c r="A1484" s="434">
        <v>3</v>
      </c>
      <c r="B1484" s="1448" t="s">
        <v>1657</v>
      </c>
      <c r="C1484" s="1448" t="s">
        <v>1436</v>
      </c>
      <c r="D1484" s="434" t="s">
        <v>510</v>
      </c>
      <c r="E1484" s="1448"/>
      <c r="F1484" s="1448" t="s">
        <v>1749</v>
      </c>
      <c r="G1484" s="1449">
        <v>688300</v>
      </c>
      <c r="H1484" s="1448" t="s">
        <v>534</v>
      </c>
      <c r="I1484" s="1448" t="s">
        <v>534</v>
      </c>
    </row>
    <row r="1485" spans="1:9" hidden="1" x14ac:dyDescent="0.4">
      <c r="A1485" s="434">
        <v>3</v>
      </c>
      <c r="B1485" s="1448" t="s">
        <v>1657</v>
      </c>
      <c r="C1485" s="1448" t="s">
        <v>1436</v>
      </c>
      <c r="D1485" s="434" t="s">
        <v>100</v>
      </c>
      <c r="E1485" s="1448"/>
      <c r="F1485" s="1448" t="s">
        <v>1749</v>
      </c>
      <c r="G1485" s="1449">
        <v>381100</v>
      </c>
      <c r="H1485" s="1448" t="s">
        <v>534</v>
      </c>
      <c r="I1485" s="1448" t="s">
        <v>534</v>
      </c>
    </row>
    <row r="1486" spans="1:9" hidden="1" x14ac:dyDescent="0.4">
      <c r="A1486" s="434">
        <v>3</v>
      </c>
      <c r="B1486" s="1448" t="s">
        <v>1657</v>
      </c>
      <c r="C1486" s="1448" t="s">
        <v>1436</v>
      </c>
      <c r="D1486" s="434" t="s">
        <v>101</v>
      </c>
      <c r="E1486" s="1448"/>
      <c r="F1486" s="1448" t="s">
        <v>1749</v>
      </c>
      <c r="G1486" s="1449">
        <v>190300</v>
      </c>
      <c r="H1486" s="1448" t="s">
        <v>534</v>
      </c>
      <c r="I1486" s="1448" t="s">
        <v>534</v>
      </c>
    </row>
    <row r="1487" spans="1:9" hidden="1" x14ac:dyDescent="0.4">
      <c r="A1487" s="434">
        <v>3</v>
      </c>
      <c r="B1487" s="1448" t="s">
        <v>1660</v>
      </c>
      <c r="C1487" s="1448" t="s">
        <v>1436</v>
      </c>
      <c r="D1487" s="434" t="s">
        <v>72</v>
      </c>
      <c r="E1487" s="1448"/>
      <c r="F1487" s="1448" t="s">
        <v>1749</v>
      </c>
      <c r="G1487" s="1449">
        <v>7814900</v>
      </c>
      <c r="H1487" s="1448" t="s">
        <v>534</v>
      </c>
      <c r="I1487" s="1448" t="s">
        <v>534</v>
      </c>
    </row>
    <row r="1488" spans="1:9" hidden="1" x14ac:dyDescent="0.4">
      <c r="A1488" s="434">
        <v>3</v>
      </c>
      <c r="B1488" s="1448" t="s">
        <v>1660</v>
      </c>
      <c r="C1488" s="1448" t="s">
        <v>1436</v>
      </c>
      <c r="D1488" s="434" t="s">
        <v>73</v>
      </c>
      <c r="E1488" s="1448"/>
      <c r="F1488" s="1448" t="s">
        <v>1749</v>
      </c>
      <c r="G1488" s="1453">
        <v>-2214300</v>
      </c>
      <c r="H1488" s="1448" t="s">
        <v>534</v>
      </c>
      <c r="I1488" s="1448" t="s">
        <v>534</v>
      </c>
    </row>
    <row r="1489" spans="1:9" hidden="1" x14ac:dyDescent="0.4">
      <c r="A1489" s="434">
        <v>3</v>
      </c>
      <c r="B1489" s="1448" t="s">
        <v>1660</v>
      </c>
      <c r="C1489" s="1448" t="s">
        <v>1436</v>
      </c>
      <c r="D1489" s="434" t="s">
        <v>76</v>
      </c>
      <c r="E1489" s="1448"/>
      <c r="F1489" s="1448" t="s">
        <v>1749</v>
      </c>
      <c r="G1489" s="1453">
        <v>-3500000</v>
      </c>
      <c r="H1489" s="1448" t="s">
        <v>534</v>
      </c>
      <c r="I1489" s="1448" t="s">
        <v>534</v>
      </c>
    </row>
    <row r="1490" spans="1:9" hidden="1" x14ac:dyDescent="0.4">
      <c r="A1490" s="434">
        <v>3</v>
      </c>
      <c r="B1490" s="1448" t="s">
        <v>1660</v>
      </c>
      <c r="C1490" s="1448" t="s">
        <v>1436</v>
      </c>
      <c r="D1490" s="434" t="s">
        <v>80</v>
      </c>
      <c r="E1490" s="1448"/>
      <c r="F1490" s="1448" t="s">
        <v>1749</v>
      </c>
      <c r="G1490" s="1449">
        <v>100</v>
      </c>
      <c r="H1490" s="1448" t="s">
        <v>534</v>
      </c>
      <c r="I1490" s="1448" t="s">
        <v>534</v>
      </c>
    </row>
    <row r="1491" spans="1:9" hidden="1" x14ac:dyDescent="0.4">
      <c r="A1491" s="434">
        <v>3</v>
      </c>
      <c r="B1491" s="1448" t="s">
        <v>1660</v>
      </c>
      <c r="C1491" s="1448" t="s">
        <v>1436</v>
      </c>
      <c r="D1491" s="434" t="s">
        <v>82</v>
      </c>
      <c r="E1491" s="1448"/>
      <c r="F1491" s="1448" t="s">
        <v>1749</v>
      </c>
      <c r="G1491" s="1449">
        <v>200</v>
      </c>
      <c r="H1491" s="1448" t="s">
        <v>534</v>
      </c>
      <c r="I1491" s="1448" t="s">
        <v>534</v>
      </c>
    </row>
    <row r="1492" spans="1:9" hidden="1" x14ac:dyDescent="0.4">
      <c r="A1492" s="434">
        <v>3</v>
      </c>
      <c r="B1492" s="1448" t="s">
        <v>1660</v>
      </c>
      <c r="C1492" s="1448" t="s">
        <v>1436</v>
      </c>
      <c r="D1492" s="434" t="s">
        <v>84</v>
      </c>
      <c r="E1492" s="1448"/>
      <c r="F1492" s="1448" t="s">
        <v>1749</v>
      </c>
      <c r="G1492" s="1449">
        <v>201900</v>
      </c>
      <c r="H1492" s="1448" t="s">
        <v>534</v>
      </c>
      <c r="I1492" s="1448" t="s">
        <v>534</v>
      </c>
    </row>
    <row r="1493" spans="1:9" hidden="1" x14ac:dyDescent="0.4">
      <c r="A1493" s="434">
        <v>3</v>
      </c>
      <c r="B1493" s="1448" t="s">
        <v>1660</v>
      </c>
      <c r="C1493" s="1448" t="s">
        <v>1436</v>
      </c>
      <c r="D1493" s="434" t="s">
        <v>86</v>
      </c>
      <c r="E1493" s="1448"/>
      <c r="F1493" s="1448" t="s">
        <v>1749</v>
      </c>
      <c r="G1493" s="1449">
        <v>320800</v>
      </c>
      <c r="H1493" s="1448" t="s">
        <v>534</v>
      </c>
      <c r="I1493" s="1448" t="s">
        <v>534</v>
      </c>
    </row>
    <row r="1494" spans="1:9" hidden="1" x14ac:dyDescent="0.4">
      <c r="A1494" s="434">
        <v>3</v>
      </c>
      <c r="B1494" s="1448" t="s">
        <v>1660</v>
      </c>
      <c r="C1494" s="1448" t="s">
        <v>1436</v>
      </c>
      <c r="D1494" s="434" t="s">
        <v>87</v>
      </c>
      <c r="E1494" s="1448"/>
      <c r="F1494" s="1448" t="s">
        <v>1749</v>
      </c>
      <c r="G1494" s="1449">
        <v>200</v>
      </c>
      <c r="H1494" s="1448" t="s">
        <v>534</v>
      </c>
      <c r="I1494" s="1448" t="s">
        <v>534</v>
      </c>
    </row>
    <row r="1495" spans="1:9" hidden="1" x14ac:dyDescent="0.4">
      <c r="A1495" s="434">
        <v>3</v>
      </c>
      <c r="B1495" s="1448" t="s">
        <v>1660</v>
      </c>
      <c r="C1495" s="1448" t="s">
        <v>1436</v>
      </c>
      <c r="D1495" s="434" t="s">
        <v>90</v>
      </c>
      <c r="E1495" s="1448"/>
      <c r="F1495" s="1448" t="s">
        <v>1749</v>
      </c>
      <c r="G1495" s="1449">
        <v>224000</v>
      </c>
      <c r="H1495" s="1448" t="s">
        <v>534</v>
      </c>
      <c r="I1495" s="1448" t="s">
        <v>534</v>
      </c>
    </row>
    <row r="1496" spans="1:9" hidden="1" x14ac:dyDescent="0.4">
      <c r="A1496" s="434">
        <v>3</v>
      </c>
      <c r="B1496" s="1448" t="s">
        <v>1660</v>
      </c>
      <c r="C1496" s="1448" t="s">
        <v>1436</v>
      </c>
      <c r="D1496" s="434" t="s">
        <v>92</v>
      </c>
      <c r="E1496" s="1448"/>
      <c r="F1496" s="1448" t="s">
        <v>1749</v>
      </c>
      <c r="G1496" s="1449">
        <v>12000</v>
      </c>
      <c r="H1496" s="1448" t="s">
        <v>534</v>
      </c>
      <c r="I1496" s="1448" t="s">
        <v>534</v>
      </c>
    </row>
    <row r="1497" spans="1:9" hidden="1" x14ac:dyDescent="0.4">
      <c r="A1497" s="434">
        <v>3</v>
      </c>
      <c r="B1497" s="1448" t="s">
        <v>1660</v>
      </c>
      <c r="C1497" s="1448" t="s">
        <v>1436</v>
      </c>
      <c r="D1497" s="434" t="s">
        <v>93</v>
      </c>
      <c r="E1497" s="1448"/>
      <c r="F1497" s="1448" t="s">
        <v>1749</v>
      </c>
      <c r="G1497" s="1449">
        <v>36400</v>
      </c>
      <c r="H1497" s="1448" t="s">
        <v>534</v>
      </c>
      <c r="I1497" s="1448" t="s">
        <v>534</v>
      </c>
    </row>
    <row r="1498" spans="1:9" hidden="1" x14ac:dyDescent="0.4">
      <c r="A1498" s="434">
        <v>3</v>
      </c>
      <c r="B1498" s="1448" t="s">
        <v>1660</v>
      </c>
      <c r="C1498" s="1448" t="s">
        <v>1436</v>
      </c>
      <c r="D1498" s="434" t="s">
        <v>94</v>
      </c>
      <c r="E1498" s="1448"/>
      <c r="F1498" s="1448" t="s">
        <v>1749</v>
      </c>
      <c r="G1498" s="1449">
        <v>121200</v>
      </c>
      <c r="H1498" s="1448" t="s">
        <v>534</v>
      </c>
      <c r="I1498" s="1448" t="s">
        <v>534</v>
      </c>
    </row>
    <row r="1499" spans="1:9" hidden="1" x14ac:dyDescent="0.4">
      <c r="A1499" s="434">
        <v>3</v>
      </c>
      <c r="B1499" s="1448" t="s">
        <v>1660</v>
      </c>
      <c r="C1499" s="1448" t="s">
        <v>1436</v>
      </c>
      <c r="D1499" s="434" t="s">
        <v>96</v>
      </c>
      <c r="E1499" s="1448"/>
      <c r="F1499" s="1448" t="s">
        <v>1749</v>
      </c>
      <c r="G1499" s="1449">
        <v>12000</v>
      </c>
      <c r="H1499" s="1448" t="s">
        <v>534</v>
      </c>
      <c r="I1499" s="1448" t="s">
        <v>534</v>
      </c>
    </row>
    <row r="1500" spans="1:9" hidden="1" x14ac:dyDescent="0.4">
      <c r="A1500" s="434">
        <v>3</v>
      </c>
      <c r="B1500" s="1448" t="s">
        <v>1660</v>
      </c>
      <c r="C1500" s="1448" t="s">
        <v>1436</v>
      </c>
      <c r="D1500" s="434" t="s">
        <v>510</v>
      </c>
      <c r="E1500" s="1448"/>
      <c r="F1500" s="1448" t="s">
        <v>1749</v>
      </c>
      <c r="G1500" s="1449">
        <v>131100</v>
      </c>
      <c r="H1500" s="1448" t="s">
        <v>534</v>
      </c>
      <c r="I1500" s="1448" t="s">
        <v>534</v>
      </c>
    </row>
    <row r="1501" spans="1:9" hidden="1" x14ac:dyDescent="0.4">
      <c r="A1501" s="434">
        <v>3</v>
      </c>
      <c r="B1501" s="1448" t="s">
        <v>1660</v>
      </c>
      <c r="C1501" s="1448" t="s">
        <v>1436</v>
      </c>
      <c r="D1501" s="434" t="s">
        <v>100</v>
      </c>
      <c r="E1501" s="1448"/>
      <c r="F1501" s="1448" t="s">
        <v>1749</v>
      </c>
      <c r="G1501" s="1449">
        <v>72900</v>
      </c>
      <c r="H1501" s="1448" t="s">
        <v>534</v>
      </c>
      <c r="I1501" s="1448" t="s">
        <v>534</v>
      </c>
    </row>
    <row r="1502" spans="1:9" hidden="1" x14ac:dyDescent="0.4">
      <c r="A1502" s="434">
        <v>3</v>
      </c>
      <c r="B1502" s="1448" t="s">
        <v>1660</v>
      </c>
      <c r="C1502" s="1448" t="s">
        <v>1436</v>
      </c>
      <c r="D1502" s="434" t="s">
        <v>101</v>
      </c>
      <c r="E1502" s="1448"/>
      <c r="F1502" s="1448" t="s">
        <v>1749</v>
      </c>
      <c r="G1502" s="1449">
        <v>36400</v>
      </c>
      <c r="H1502" s="1448" t="s">
        <v>534</v>
      </c>
      <c r="I1502" s="1448" t="s">
        <v>534</v>
      </c>
    </row>
    <row r="1503" spans="1:9" hidden="1" x14ac:dyDescent="0.4">
      <c r="A1503" s="434">
        <v>3</v>
      </c>
      <c r="B1503" s="1448" t="s">
        <v>1662</v>
      </c>
      <c r="C1503" s="1448" t="s">
        <v>1436</v>
      </c>
      <c r="D1503" s="434" t="s">
        <v>72</v>
      </c>
      <c r="E1503" s="1448"/>
      <c r="F1503" s="1448" t="s">
        <v>1749</v>
      </c>
      <c r="G1503" s="1449">
        <v>0</v>
      </c>
      <c r="H1503" s="1448" t="s">
        <v>534</v>
      </c>
      <c r="I1503" s="1448" t="s">
        <v>534</v>
      </c>
    </row>
    <row r="1504" spans="1:9" hidden="1" x14ac:dyDescent="0.4">
      <c r="A1504" s="434">
        <v>3</v>
      </c>
      <c r="B1504" s="1448" t="s">
        <v>1662</v>
      </c>
      <c r="C1504" s="1448" t="s">
        <v>1436</v>
      </c>
      <c r="D1504" s="434" t="s">
        <v>73</v>
      </c>
      <c r="E1504" s="1448"/>
      <c r="F1504" s="1448" t="s">
        <v>1749</v>
      </c>
      <c r="G1504" s="1449">
        <v>0</v>
      </c>
      <c r="H1504" s="1448" t="s">
        <v>534</v>
      </c>
      <c r="I1504" s="1448" t="s">
        <v>534</v>
      </c>
    </row>
    <row r="1505" spans="1:9" hidden="1" x14ac:dyDescent="0.4">
      <c r="A1505" s="434">
        <v>3</v>
      </c>
      <c r="B1505" s="1448" t="s">
        <v>1662</v>
      </c>
      <c r="C1505" s="1448" t="s">
        <v>1436</v>
      </c>
      <c r="D1505" s="434" t="s">
        <v>76</v>
      </c>
      <c r="E1505" s="1448"/>
      <c r="F1505" s="1448" t="s">
        <v>1749</v>
      </c>
      <c r="G1505" s="1449">
        <v>0</v>
      </c>
      <c r="H1505" s="1448" t="s">
        <v>534</v>
      </c>
      <c r="I1505" s="1448" t="s">
        <v>534</v>
      </c>
    </row>
    <row r="1506" spans="1:9" hidden="1" x14ac:dyDescent="0.4">
      <c r="A1506" s="434">
        <v>3</v>
      </c>
      <c r="B1506" s="1448" t="s">
        <v>1662</v>
      </c>
      <c r="C1506" s="1448" t="s">
        <v>1436</v>
      </c>
      <c r="D1506" s="434" t="s">
        <v>80</v>
      </c>
      <c r="E1506" s="1448"/>
      <c r="F1506" s="1448" t="s">
        <v>1749</v>
      </c>
      <c r="G1506" s="1449">
        <v>-200</v>
      </c>
      <c r="H1506" s="1448" t="s">
        <v>534</v>
      </c>
      <c r="I1506" s="1448" t="s">
        <v>534</v>
      </c>
    </row>
    <row r="1507" spans="1:9" hidden="1" x14ac:dyDescent="0.4">
      <c r="A1507" s="434">
        <v>3</v>
      </c>
      <c r="B1507" s="1448" t="s">
        <v>1662</v>
      </c>
      <c r="C1507" s="1448" t="s">
        <v>1436</v>
      </c>
      <c r="D1507" s="434" t="s">
        <v>82</v>
      </c>
      <c r="E1507" s="1448"/>
      <c r="F1507" s="1448" t="s">
        <v>1749</v>
      </c>
      <c r="G1507" s="1449">
        <v>-100</v>
      </c>
      <c r="H1507" s="1448" t="s">
        <v>534</v>
      </c>
      <c r="I1507" s="1448" t="s">
        <v>534</v>
      </c>
    </row>
    <row r="1508" spans="1:9" hidden="1" x14ac:dyDescent="0.4">
      <c r="A1508" s="434">
        <v>3</v>
      </c>
      <c r="B1508" s="1448" t="s">
        <v>1662</v>
      </c>
      <c r="C1508" s="1448" t="s">
        <v>1436</v>
      </c>
      <c r="D1508" s="434" t="s">
        <v>84</v>
      </c>
      <c r="E1508" s="1448"/>
      <c r="F1508" s="1448" t="s">
        <v>1749</v>
      </c>
      <c r="G1508" s="1449">
        <v>100</v>
      </c>
      <c r="H1508" s="1448" t="s">
        <v>534</v>
      </c>
      <c r="I1508" s="1448" t="s">
        <v>534</v>
      </c>
    </row>
    <row r="1509" spans="1:9" hidden="1" x14ac:dyDescent="0.4">
      <c r="A1509" s="434">
        <v>3</v>
      </c>
      <c r="B1509" s="1448" t="s">
        <v>1662</v>
      </c>
      <c r="C1509" s="1448" t="s">
        <v>1436</v>
      </c>
      <c r="D1509" s="434" t="s">
        <v>86</v>
      </c>
      <c r="E1509" s="1448"/>
      <c r="F1509" s="1448" t="s">
        <v>1749</v>
      </c>
      <c r="G1509" s="1449">
        <v>-200</v>
      </c>
      <c r="H1509" s="1448" t="s">
        <v>534</v>
      </c>
      <c r="I1509" s="1448" t="s">
        <v>534</v>
      </c>
    </row>
    <row r="1510" spans="1:9" hidden="1" x14ac:dyDescent="0.4">
      <c r="A1510" s="434">
        <v>3</v>
      </c>
      <c r="B1510" s="1448" t="s">
        <v>1662</v>
      </c>
      <c r="C1510" s="1448" t="s">
        <v>1436</v>
      </c>
      <c r="D1510" s="434" t="s">
        <v>90</v>
      </c>
      <c r="E1510" s="1448"/>
      <c r="F1510" s="1448" t="s">
        <v>1749</v>
      </c>
      <c r="G1510" s="1449">
        <v>100</v>
      </c>
      <c r="H1510" s="1448" t="s">
        <v>534</v>
      </c>
      <c r="I1510" s="1448" t="s">
        <v>534</v>
      </c>
    </row>
    <row r="1511" spans="1:9" hidden="1" x14ac:dyDescent="0.4">
      <c r="A1511" s="434">
        <v>3</v>
      </c>
      <c r="B1511" s="1448" t="s">
        <v>1662</v>
      </c>
      <c r="C1511" s="1448" t="s">
        <v>1436</v>
      </c>
      <c r="D1511" s="434" t="s">
        <v>92</v>
      </c>
      <c r="E1511" s="1448"/>
      <c r="F1511" s="1448" t="s">
        <v>1749</v>
      </c>
      <c r="G1511" s="1449">
        <v>100</v>
      </c>
      <c r="H1511" s="1448" t="s">
        <v>534</v>
      </c>
      <c r="I1511" s="1448" t="s">
        <v>534</v>
      </c>
    </row>
    <row r="1512" spans="1:9" hidden="1" x14ac:dyDescent="0.4">
      <c r="A1512" s="434">
        <v>3</v>
      </c>
      <c r="B1512" s="1448" t="s">
        <v>1662</v>
      </c>
      <c r="C1512" s="1448" t="s">
        <v>1436</v>
      </c>
      <c r="D1512" s="434" t="s">
        <v>93</v>
      </c>
      <c r="E1512" s="1448"/>
      <c r="F1512" s="1448" t="s">
        <v>1749</v>
      </c>
      <c r="G1512" s="1449">
        <v>200</v>
      </c>
      <c r="H1512" s="1448" t="s">
        <v>534</v>
      </c>
      <c r="I1512" s="1448" t="s">
        <v>534</v>
      </c>
    </row>
    <row r="1513" spans="1:9" hidden="1" x14ac:dyDescent="0.4">
      <c r="A1513" s="434">
        <v>3</v>
      </c>
      <c r="B1513" s="1448" t="s">
        <v>1662</v>
      </c>
      <c r="C1513" s="1448" t="s">
        <v>1436</v>
      </c>
      <c r="D1513" s="434" t="s">
        <v>94</v>
      </c>
      <c r="E1513" s="1448"/>
      <c r="F1513" s="1448" t="s">
        <v>1749</v>
      </c>
      <c r="G1513" s="1449">
        <v>200</v>
      </c>
      <c r="H1513" s="1448" t="s">
        <v>534</v>
      </c>
      <c r="I1513" s="1448" t="s">
        <v>534</v>
      </c>
    </row>
    <row r="1514" spans="1:9" hidden="1" x14ac:dyDescent="0.4">
      <c r="A1514" s="434">
        <v>3</v>
      </c>
      <c r="B1514" s="1448" t="s">
        <v>1662</v>
      </c>
      <c r="C1514" s="1448" t="s">
        <v>1436</v>
      </c>
      <c r="D1514" s="434" t="s">
        <v>96</v>
      </c>
      <c r="E1514" s="1448"/>
      <c r="F1514" s="1448" t="s">
        <v>1749</v>
      </c>
      <c r="G1514" s="1449">
        <v>100</v>
      </c>
      <c r="H1514" s="1448" t="s">
        <v>534</v>
      </c>
      <c r="I1514" s="1448" t="s">
        <v>534</v>
      </c>
    </row>
    <row r="1515" spans="1:9" hidden="1" x14ac:dyDescent="0.4">
      <c r="A1515" s="434">
        <v>3</v>
      </c>
      <c r="B1515" s="1448" t="s">
        <v>1662</v>
      </c>
      <c r="C1515" s="1448" t="s">
        <v>1436</v>
      </c>
      <c r="D1515" s="434" t="s">
        <v>510</v>
      </c>
      <c r="E1515" s="1448"/>
      <c r="F1515" s="1448" t="s">
        <v>1749</v>
      </c>
      <c r="G1515" s="1449">
        <v>100</v>
      </c>
      <c r="H1515" s="1448" t="s">
        <v>534</v>
      </c>
      <c r="I1515" s="1448" t="s">
        <v>534</v>
      </c>
    </row>
    <row r="1516" spans="1:9" hidden="1" x14ac:dyDescent="0.4">
      <c r="A1516" s="434">
        <v>3</v>
      </c>
      <c r="B1516" s="1448" t="s">
        <v>1662</v>
      </c>
      <c r="C1516" s="1448" t="s">
        <v>1436</v>
      </c>
      <c r="D1516" s="434" t="s">
        <v>100</v>
      </c>
      <c r="E1516" s="1448"/>
      <c r="F1516" s="1448" t="s">
        <v>1749</v>
      </c>
      <c r="G1516" s="1449">
        <v>-100</v>
      </c>
      <c r="H1516" s="1448" t="s">
        <v>534</v>
      </c>
      <c r="I1516" s="1448" t="s">
        <v>534</v>
      </c>
    </row>
    <row r="1517" spans="1:9" hidden="1" x14ac:dyDescent="0.4">
      <c r="A1517" s="434">
        <v>3</v>
      </c>
      <c r="B1517" s="1448" t="s">
        <v>1662</v>
      </c>
      <c r="C1517" s="1448" t="s">
        <v>1436</v>
      </c>
      <c r="D1517" s="434" t="s">
        <v>101</v>
      </c>
      <c r="E1517" s="1448"/>
      <c r="F1517" s="1448" t="s">
        <v>1749</v>
      </c>
      <c r="G1517" s="1449">
        <v>200</v>
      </c>
      <c r="H1517" s="1448" t="s">
        <v>534</v>
      </c>
      <c r="I1517" s="1448" t="s">
        <v>534</v>
      </c>
    </row>
    <row r="1518" spans="1:9" hidden="1" x14ac:dyDescent="0.4">
      <c r="A1518" s="434">
        <v>3</v>
      </c>
      <c r="B1518" s="1448" t="s">
        <v>1664</v>
      </c>
      <c r="C1518" s="1448" t="s">
        <v>1436</v>
      </c>
      <c r="D1518" s="434" t="s">
        <v>73</v>
      </c>
      <c r="E1518" s="1448"/>
      <c r="F1518" s="1448" t="s">
        <v>1749</v>
      </c>
      <c r="G1518" s="1449">
        <v>0</v>
      </c>
      <c r="H1518" s="1448" t="s">
        <v>534</v>
      </c>
      <c r="I1518" s="1448" t="s">
        <v>534</v>
      </c>
    </row>
    <row r="1519" spans="1:9" hidden="1" x14ac:dyDescent="0.4">
      <c r="A1519" s="434">
        <v>3</v>
      </c>
      <c r="B1519" s="1448" t="s">
        <v>1664</v>
      </c>
      <c r="C1519" s="1448" t="s">
        <v>1436</v>
      </c>
      <c r="D1519" s="434" t="s">
        <v>82</v>
      </c>
      <c r="E1519" s="1448"/>
      <c r="F1519" s="1448" t="s">
        <v>1749</v>
      </c>
      <c r="G1519" s="1449">
        <v>100</v>
      </c>
      <c r="H1519" s="1448" t="s">
        <v>534</v>
      </c>
      <c r="I1519" s="1448" t="s">
        <v>534</v>
      </c>
    </row>
    <row r="1520" spans="1:9" hidden="1" x14ac:dyDescent="0.4">
      <c r="A1520" s="434">
        <v>3</v>
      </c>
      <c r="B1520" s="1448" t="s">
        <v>1664</v>
      </c>
      <c r="C1520" s="1448" t="s">
        <v>1436</v>
      </c>
      <c r="D1520" s="434" t="s">
        <v>84</v>
      </c>
      <c r="E1520" s="1448"/>
      <c r="F1520" s="1448" t="s">
        <v>1749</v>
      </c>
      <c r="G1520" s="1449">
        <v>200</v>
      </c>
      <c r="H1520" s="1448" t="s">
        <v>534</v>
      </c>
      <c r="I1520" s="1448" t="s">
        <v>534</v>
      </c>
    </row>
    <row r="1521" spans="1:9" hidden="1" x14ac:dyDescent="0.4">
      <c r="A1521" s="434">
        <v>3</v>
      </c>
      <c r="B1521" s="1448" t="s">
        <v>1664</v>
      </c>
      <c r="C1521" s="1448" t="s">
        <v>1436</v>
      </c>
      <c r="D1521" s="434" t="s">
        <v>86</v>
      </c>
      <c r="E1521" s="1448"/>
      <c r="F1521" s="1448" t="s">
        <v>1749</v>
      </c>
      <c r="G1521" s="1449">
        <v>-200</v>
      </c>
      <c r="H1521" s="1448" t="s">
        <v>534</v>
      </c>
      <c r="I1521" s="1448" t="s">
        <v>534</v>
      </c>
    </row>
    <row r="1522" spans="1:9" hidden="1" x14ac:dyDescent="0.4">
      <c r="A1522" s="434">
        <v>3</v>
      </c>
      <c r="B1522" s="1448" t="s">
        <v>1664</v>
      </c>
      <c r="C1522" s="1448" t="s">
        <v>1436</v>
      </c>
      <c r="D1522" s="434" t="s">
        <v>90</v>
      </c>
      <c r="E1522" s="1448"/>
      <c r="F1522" s="1448" t="s">
        <v>1749</v>
      </c>
      <c r="G1522" s="1449">
        <v>100</v>
      </c>
      <c r="H1522" s="1448" t="s">
        <v>534</v>
      </c>
      <c r="I1522" s="1448" t="s">
        <v>534</v>
      </c>
    </row>
    <row r="1523" spans="1:9" hidden="1" x14ac:dyDescent="0.4">
      <c r="A1523" s="434">
        <v>3</v>
      </c>
      <c r="B1523" s="1448" t="s">
        <v>1664</v>
      </c>
      <c r="C1523" s="1448" t="s">
        <v>1436</v>
      </c>
      <c r="D1523" s="434" t="s">
        <v>92</v>
      </c>
      <c r="E1523" s="1448"/>
      <c r="F1523" s="1448" t="s">
        <v>1749</v>
      </c>
      <c r="G1523" s="1449">
        <v>100</v>
      </c>
      <c r="H1523" s="1448" t="s">
        <v>534</v>
      </c>
      <c r="I1523" s="1448" t="s">
        <v>534</v>
      </c>
    </row>
    <row r="1524" spans="1:9" hidden="1" x14ac:dyDescent="0.4">
      <c r="A1524" s="434">
        <v>3</v>
      </c>
      <c r="B1524" s="1448" t="s">
        <v>1664</v>
      </c>
      <c r="C1524" s="1448" t="s">
        <v>1436</v>
      </c>
      <c r="D1524" s="434" t="s">
        <v>93</v>
      </c>
      <c r="E1524" s="1448"/>
      <c r="F1524" s="1448" t="s">
        <v>1749</v>
      </c>
      <c r="G1524" s="1449">
        <v>-100</v>
      </c>
      <c r="H1524" s="1448" t="s">
        <v>534</v>
      </c>
      <c r="I1524" s="1448" t="s">
        <v>534</v>
      </c>
    </row>
    <row r="1525" spans="1:9" hidden="1" x14ac:dyDescent="0.4">
      <c r="A1525" s="434">
        <v>3</v>
      </c>
      <c r="B1525" s="1448" t="s">
        <v>1664</v>
      </c>
      <c r="C1525" s="1448" t="s">
        <v>1436</v>
      </c>
      <c r="D1525" s="434" t="s">
        <v>94</v>
      </c>
      <c r="E1525" s="1448"/>
      <c r="F1525" s="1448" t="s">
        <v>1749</v>
      </c>
      <c r="G1525" s="1449">
        <v>-100</v>
      </c>
      <c r="H1525" s="1448" t="s">
        <v>534</v>
      </c>
      <c r="I1525" s="1448" t="s">
        <v>534</v>
      </c>
    </row>
    <row r="1526" spans="1:9" hidden="1" x14ac:dyDescent="0.4">
      <c r="A1526" s="434">
        <v>3</v>
      </c>
      <c r="B1526" s="1448" t="s">
        <v>1664</v>
      </c>
      <c r="C1526" s="1448" t="s">
        <v>1436</v>
      </c>
      <c r="D1526" s="434" t="s">
        <v>96</v>
      </c>
      <c r="E1526" s="1448"/>
      <c r="F1526" s="1448" t="s">
        <v>1749</v>
      </c>
      <c r="G1526" s="1449">
        <v>100</v>
      </c>
      <c r="H1526" s="1448" t="s">
        <v>534</v>
      </c>
      <c r="I1526" s="1448" t="s">
        <v>534</v>
      </c>
    </row>
    <row r="1527" spans="1:9" hidden="1" x14ac:dyDescent="0.4">
      <c r="A1527" s="434">
        <v>3</v>
      </c>
      <c r="B1527" s="1448" t="s">
        <v>1664</v>
      </c>
      <c r="C1527" s="1448" t="s">
        <v>1436</v>
      </c>
      <c r="D1527" s="434" t="s">
        <v>510</v>
      </c>
      <c r="E1527" s="1448"/>
      <c r="F1527" s="1448" t="s">
        <v>1749</v>
      </c>
      <c r="G1527" s="1449">
        <v>200</v>
      </c>
      <c r="H1527" s="1448" t="s">
        <v>534</v>
      </c>
      <c r="I1527" s="1448" t="s">
        <v>534</v>
      </c>
    </row>
    <row r="1528" spans="1:9" hidden="1" x14ac:dyDescent="0.4">
      <c r="A1528" s="434">
        <v>3</v>
      </c>
      <c r="B1528" s="1448" t="s">
        <v>1664</v>
      </c>
      <c r="C1528" s="1448" t="s">
        <v>1436</v>
      </c>
      <c r="D1528" s="434" t="s">
        <v>100</v>
      </c>
      <c r="E1528" s="1448"/>
      <c r="F1528" s="1448" t="s">
        <v>1749</v>
      </c>
      <c r="G1528" s="1449">
        <v>-100</v>
      </c>
      <c r="H1528" s="1448" t="s">
        <v>534</v>
      </c>
      <c r="I1528" s="1448" t="s">
        <v>534</v>
      </c>
    </row>
    <row r="1529" spans="1:9" hidden="1" x14ac:dyDescent="0.4">
      <c r="A1529" s="434">
        <v>3</v>
      </c>
      <c r="B1529" s="1448" t="s">
        <v>1664</v>
      </c>
      <c r="C1529" s="1448" t="s">
        <v>1436</v>
      </c>
      <c r="D1529" s="434" t="s">
        <v>101</v>
      </c>
      <c r="E1529" s="1448"/>
      <c r="F1529" s="1448" t="s">
        <v>1749</v>
      </c>
      <c r="G1529" s="1449">
        <v>-100</v>
      </c>
      <c r="H1529" s="1448" t="s">
        <v>534</v>
      </c>
      <c r="I1529" s="1448" t="s">
        <v>534</v>
      </c>
    </row>
    <row r="1530" spans="1:9" hidden="1" x14ac:dyDescent="0.4">
      <c r="A1530" s="434">
        <v>3</v>
      </c>
      <c r="B1530" s="1448" t="s">
        <v>1665</v>
      </c>
      <c r="C1530" s="1448" t="s">
        <v>1436</v>
      </c>
      <c r="D1530" s="434" t="s">
        <v>72</v>
      </c>
      <c r="E1530" s="1448"/>
      <c r="F1530" s="1448" t="s">
        <v>1749</v>
      </c>
      <c r="G1530" s="1449">
        <v>15720300</v>
      </c>
      <c r="H1530" s="1448" t="s">
        <v>534</v>
      </c>
      <c r="I1530" s="1448" t="s">
        <v>534</v>
      </c>
    </row>
    <row r="1531" spans="1:9" hidden="1" x14ac:dyDescent="0.4">
      <c r="A1531" s="434">
        <v>3</v>
      </c>
      <c r="B1531" s="1448" t="s">
        <v>1665</v>
      </c>
      <c r="C1531" s="1448" t="s">
        <v>1436</v>
      </c>
      <c r="D1531" s="434" t="s">
        <v>73</v>
      </c>
      <c r="E1531" s="1448"/>
      <c r="F1531" s="1448" t="s">
        <v>1749</v>
      </c>
      <c r="G1531" s="1449">
        <v>-3450000</v>
      </c>
      <c r="H1531" s="1448" t="s">
        <v>534</v>
      </c>
      <c r="I1531" s="1448" t="s">
        <v>534</v>
      </c>
    </row>
    <row r="1532" spans="1:9" hidden="1" x14ac:dyDescent="0.4">
      <c r="A1532" s="434">
        <v>3</v>
      </c>
      <c r="B1532" s="1448" t="s">
        <v>1665</v>
      </c>
      <c r="C1532" s="1448" t="s">
        <v>1436</v>
      </c>
      <c r="D1532" s="434" t="s">
        <v>80</v>
      </c>
      <c r="E1532" s="1448"/>
      <c r="F1532" s="1448" t="s">
        <v>1749</v>
      </c>
      <c r="G1532" s="1449">
        <v>100</v>
      </c>
      <c r="H1532" s="1448" t="s">
        <v>534</v>
      </c>
      <c r="I1532" s="1448" t="s">
        <v>534</v>
      </c>
    </row>
    <row r="1533" spans="1:9" hidden="1" x14ac:dyDescent="0.4">
      <c r="A1533" s="434">
        <v>3</v>
      </c>
      <c r="B1533" s="1448" t="s">
        <v>1665</v>
      </c>
      <c r="C1533" s="1448" t="s">
        <v>1436</v>
      </c>
      <c r="D1533" s="434" t="s">
        <v>82</v>
      </c>
      <c r="E1533" s="1448"/>
      <c r="F1533" s="1448" t="s">
        <v>1749</v>
      </c>
      <c r="G1533" s="1449">
        <v>0</v>
      </c>
      <c r="H1533" s="1448" t="s">
        <v>534</v>
      </c>
      <c r="I1533" s="1448" t="s">
        <v>534</v>
      </c>
    </row>
    <row r="1534" spans="1:9" hidden="1" x14ac:dyDescent="0.4">
      <c r="A1534" s="434">
        <v>3</v>
      </c>
      <c r="B1534" s="1448" t="s">
        <v>1665</v>
      </c>
      <c r="C1534" s="1448" t="s">
        <v>1436</v>
      </c>
      <c r="D1534" s="434" t="s">
        <v>84</v>
      </c>
      <c r="E1534" s="1448"/>
      <c r="F1534" s="1448" t="s">
        <v>1749</v>
      </c>
      <c r="G1534" s="1449">
        <v>1107800</v>
      </c>
      <c r="H1534" s="1448" t="s">
        <v>534</v>
      </c>
      <c r="I1534" s="1448" t="s">
        <v>534</v>
      </c>
    </row>
    <row r="1535" spans="1:9" hidden="1" x14ac:dyDescent="0.4">
      <c r="A1535" s="434">
        <v>3</v>
      </c>
      <c r="B1535" s="1448" t="s">
        <v>1665</v>
      </c>
      <c r="C1535" s="1448" t="s">
        <v>1436</v>
      </c>
      <c r="D1535" s="434" t="s">
        <v>86</v>
      </c>
      <c r="E1535" s="1448"/>
      <c r="F1535" s="1448" t="s">
        <v>1749</v>
      </c>
      <c r="G1535" s="1449">
        <v>1022200</v>
      </c>
      <c r="H1535" s="1448" t="s">
        <v>534</v>
      </c>
      <c r="I1535" s="1448" t="s">
        <v>534</v>
      </c>
    </row>
    <row r="1536" spans="1:9" hidden="1" x14ac:dyDescent="0.4">
      <c r="A1536" s="434">
        <v>3</v>
      </c>
      <c r="B1536" s="1448" t="s">
        <v>1665</v>
      </c>
      <c r="C1536" s="1448" t="s">
        <v>1436</v>
      </c>
      <c r="D1536" s="434" t="s">
        <v>87</v>
      </c>
      <c r="E1536" s="1448"/>
      <c r="F1536" s="1448" t="s">
        <v>1749</v>
      </c>
      <c r="G1536" s="1449">
        <v>200</v>
      </c>
      <c r="H1536" s="1448" t="s">
        <v>534</v>
      </c>
      <c r="I1536" s="1448" t="s">
        <v>534</v>
      </c>
    </row>
    <row r="1537" spans="1:9" hidden="1" x14ac:dyDescent="0.4">
      <c r="A1537" s="434">
        <v>3</v>
      </c>
      <c r="B1537" s="1448" t="s">
        <v>1665</v>
      </c>
      <c r="C1537" s="1448" t="s">
        <v>1436</v>
      </c>
      <c r="D1537" s="434" t="s">
        <v>90</v>
      </c>
      <c r="E1537" s="1448"/>
      <c r="F1537" s="1448" t="s">
        <v>1749</v>
      </c>
      <c r="G1537" s="1449">
        <v>1229800</v>
      </c>
      <c r="H1537" s="1448" t="s">
        <v>534</v>
      </c>
      <c r="I1537" s="1448" t="s">
        <v>534</v>
      </c>
    </row>
    <row r="1538" spans="1:9" hidden="1" x14ac:dyDescent="0.4">
      <c r="A1538" s="434">
        <v>3</v>
      </c>
      <c r="B1538" s="1448" t="s">
        <v>1665</v>
      </c>
      <c r="C1538" s="1448" t="s">
        <v>1436</v>
      </c>
      <c r="D1538" s="434" t="s">
        <v>92</v>
      </c>
      <c r="E1538" s="1448"/>
      <c r="F1538" s="1448" t="s">
        <v>1749</v>
      </c>
      <c r="G1538" s="1449">
        <v>66400</v>
      </c>
      <c r="H1538" s="1448" t="s">
        <v>534</v>
      </c>
      <c r="I1538" s="1448" t="s">
        <v>534</v>
      </c>
    </row>
    <row r="1539" spans="1:9" hidden="1" x14ac:dyDescent="0.4">
      <c r="A1539" s="434">
        <v>3</v>
      </c>
      <c r="B1539" s="1448" t="s">
        <v>1665</v>
      </c>
      <c r="C1539" s="1448" t="s">
        <v>1436</v>
      </c>
      <c r="D1539" s="434" t="s">
        <v>93</v>
      </c>
      <c r="E1539" s="1448"/>
      <c r="F1539" s="1448" t="s">
        <v>1749</v>
      </c>
      <c r="G1539" s="1449">
        <v>199600</v>
      </c>
      <c r="H1539" s="1448" t="s">
        <v>534</v>
      </c>
      <c r="I1539" s="1448" t="s">
        <v>534</v>
      </c>
    </row>
    <row r="1540" spans="1:9" hidden="1" x14ac:dyDescent="0.4">
      <c r="A1540" s="434">
        <v>3</v>
      </c>
      <c r="B1540" s="1448" t="s">
        <v>1665</v>
      </c>
      <c r="C1540" s="1448" t="s">
        <v>1436</v>
      </c>
      <c r="D1540" s="434" t="s">
        <v>94</v>
      </c>
      <c r="E1540" s="1448"/>
      <c r="F1540" s="1448" t="s">
        <v>1749</v>
      </c>
      <c r="G1540" s="1449">
        <v>664700</v>
      </c>
      <c r="H1540" s="1448" t="s">
        <v>534</v>
      </c>
      <c r="I1540" s="1448" t="s">
        <v>534</v>
      </c>
    </row>
    <row r="1541" spans="1:9" hidden="1" x14ac:dyDescent="0.4">
      <c r="A1541" s="434">
        <v>3</v>
      </c>
      <c r="B1541" s="1448" t="s">
        <v>1665</v>
      </c>
      <c r="C1541" s="1448" t="s">
        <v>1436</v>
      </c>
      <c r="D1541" s="434" t="s">
        <v>96</v>
      </c>
      <c r="E1541" s="1448"/>
      <c r="F1541" s="1448" t="s">
        <v>1749</v>
      </c>
      <c r="G1541" s="1449">
        <v>66400</v>
      </c>
      <c r="H1541" s="1448" t="s">
        <v>534</v>
      </c>
      <c r="I1541" s="1448" t="s">
        <v>534</v>
      </c>
    </row>
    <row r="1542" spans="1:9" hidden="1" x14ac:dyDescent="0.4">
      <c r="A1542" s="434">
        <v>3</v>
      </c>
      <c r="B1542" s="1448" t="s">
        <v>1665</v>
      </c>
      <c r="C1542" s="1448" t="s">
        <v>1436</v>
      </c>
      <c r="D1542" s="434" t="s">
        <v>510</v>
      </c>
      <c r="E1542" s="1448"/>
      <c r="F1542" s="1448" t="s">
        <v>1749</v>
      </c>
      <c r="G1542" s="1449">
        <v>720500</v>
      </c>
      <c r="H1542" s="1448" t="s">
        <v>534</v>
      </c>
      <c r="I1542" s="1448" t="s">
        <v>534</v>
      </c>
    </row>
    <row r="1543" spans="1:9" hidden="1" x14ac:dyDescent="0.4">
      <c r="A1543" s="434">
        <v>3</v>
      </c>
      <c r="B1543" s="1448" t="s">
        <v>1665</v>
      </c>
      <c r="C1543" s="1448" t="s">
        <v>1436</v>
      </c>
      <c r="D1543" s="434" t="s">
        <v>100</v>
      </c>
      <c r="E1543" s="1448"/>
      <c r="F1543" s="1448" t="s">
        <v>1749</v>
      </c>
      <c r="G1543" s="1449">
        <v>398700</v>
      </c>
      <c r="H1543" s="1448" t="s">
        <v>534</v>
      </c>
      <c r="I1543" s="1448" t="s">
        <v>534</v>
      </c>
    </row>
    <row r="1544" spans="1:9" hidden="1" x14ac:dyDescent="0.4">
      <c r="A1544" s="434">
        <v>3</v>
      </c>
      <c r="B1544" s="1448" t="s">
        <v>1665</v>
      </c>
      <c r="C1544" s="1448" t="s">
        <v>1436</v>
      </c>
      <c r="D1544" s="434" t="s">
        <v>101</v>
      </c>
      <c r="E1544" s="1448"/>
      <c r="F1544" s="1448" t="s">
        <v>1749</v>
      </c>
      <c r="G1544" s="1449">
        <v>199600</v>
      </c>
      <c r="H1544" s="1448" t="s">
        <v>534</v>
      </c>
      <c r="I1544" s="1448" t="s">
        <v>534</v>
      </c>
    </row>
    <row r="1545" spans="1:9" hidden="1" x14ac:dyDescent="0.4">
      <c r="A1545" s="434">
        <v>3</v>
      </c>
      <c r="B1545" s="1448" t="s">
        <v>1667</v>
      </c>
      <c r="C1545" s="1448" t="s">
        <v>1436</v>
      </c>
      <c r="D1545" s="434" t="s">
        <v>72</v>
      </c>
      <c r="E1545" s="1448"/>
      <c r="F1545" s="1448" t="s">
        <v>1749</v>
      </c>
      <c r="G1545" s="1449">
        <v>7814800</v>
      </c>
      <c r="H1545" s="1448" t="s">
        <v>534</v>
      </c>
      <c r="I1545" s="1448" t="s">
        <v>534</v>
      </c>
    </row>
    <row r="1546" spans="1:9" hidden="1" x14ac:dyDescent="0.4">
      <c r="A1546" s="434">
        <v>3</v>
      </c>
      <c r="B1546" s="1448" t="s">
        <v>1667</v>
      </c>
      <c r="C1546" s="1448" t="s">
        <v>1436</v>
      </c>
      <c r="D1546" s="434" t="s">
        <v>80</v>
      </c>
      <c r="E1546" s="1448"/>
      <c r="F1546" s="1448" t="s">
        <v>1749</v>
      </c>
      <c r="G1546" s="1449">
        <v>-200</v>
      </c>
      <c r="H1546" s="1448" t="s">
        <v>534</v>
      </c>
      <c r="I1546" s="1448" t="s">
        <v>534</v>
      </c>
    </row>
    <row r="1547" spans="1:9" hidden="1" x14ac:dyDescent="0.4">
      <c r="A1547" s="434">
        <v>3</v>
      </c>
      <c r="B1547" s="1448" t="s">
        <v>1667</v>
      </c>
      <c r="C1547" s="1448" t="s">
        <v>1436</v>
      </c>
      <c r="D1547" s="434" t="s">
        <v>82</v>
      </c>
      <c r="E1547" s="1448"/>
      <c r="F1547" s="1448" t="s">
        <v>1749</v>
      </c>
      <c r="G1547" s="1449">
        <v>0</v>
      </c>
      <c r="H1547" s="1448" t="s">
        <v>534</v>
      </c>
      <c r="I1547" s="1448" t="s">
        <v>534</v>
      </c>
    </row>
    <row r="1548" spans="1:9" hidden="1" x14ac:dyDescent="0.4">
      <c r="A1548" s="434">
        <v>3</v>
      </c>
      <c r="B1548" s="1448" t="s">
        <v>1667</v>
      </c>
      <c r="C1548" s="1448" t="s">
        <v>1436</v>
      </c>
      <c r="D1548" s="434" t="s">
        <v>84</v>
      </c>
      <c r="E1548" s="1448"/>
      <c r="F1548" s="1448" t="s">
        <v>1749</v>
      </c>
      <c r="G1548" s="1449">
        <v>705200</v>
      </c>
      <c r="H1548" s="1448" t="s">
        <v>534</v>
      </c>
      <c r="I1548" s="1448" t="s">
        <v>534</v>
      </c>
    </row>
    <row r="1549" spans="1:9" hidden="1" x14ac:dyDescent="0.4">
      <c r="A1549" s="434">
        <v>3</v>
      </c>
      <c r="B1549" s="1448" t="s">
        <v>1667</v>
      </c>
      <c r="C1549" s="1448" t="s">
        <v>1436</v>
      </c>
      <c r="D1549" s="434" t="s">
        <v>86</v>
      </c>
      <c r="E1549" s="1448"/>
      <c r="F1549" s="1448" t="s">
        <v>1749</v>
      </c>
      <c r="G1549" s="1449">
        <v>651200</v>
      </c>
      <c r="H1549" s="1448" t="s">
        <v>534</v>
      </c>
      <c r="I1549" s="1448" t="s">
        <v>534</v>
      </c>
    </row>
    <row r="1550" spans="1:9" hidden="1" x14ac:dyDescent="0.4">
      <c r="A1550" s="434">
        <v>3</v>
      </c>
      <c r="B1550" s="1448" t="s">
        <v>1667</v>
      </c>
      <c r="C1550" s="1448" t="s">
        <v>1436</v>
      </c>
      <c r="D1550" s="434" t="s">
        <v>90</v>
      </c>
      <c r="E1550" s="1448"/>
      <c r="F1550" s="1448" t="s">
        <v>1749</v>
      </c>
      <c r="G1550" s="1449">
        <v>782900</v>
      </c>
      <c r="H1550" s="1448" t="s">
        <v>534</v>
      </c>
      <c r="I1550" s="1448" t="s">
        <v>534</v>
      </c>
    </row>
    <row r="1551" spans="1:9" hidden="1" x14ac:dyDescent="0.4">
      <c r="A1551" s="434">
        <v>3</v>
      </c>
      <c r="B1551" s="1448" t="s">
        <v>1667</v>
      </c>
      <c r="C1551" s="1448" t="s">
        <v>1436</v>
      </c>
      <c r="D1551" s="434" t="s">
        <v>92</v>
      </c>
      <c r="E1551" s="1448"/>
      <c r="F1551" s="1448" t="s">
        <v>1749</v>
      </c>
      <c r="G1551" s="1449">
        <v>42100</v>
      </c>
      <c r="H1551" s="1448" t="s">
        <v>534</v>
      </c>
      <c r="I1551" s="1448" t="s">
        <v>534</v>
      </c>
    </row>
    <row r="1552" spans="1:9" hidden="1" x14ac:dyDescent="0.4">
      <c r="A1552" s="434">
        <v>3</v>
      </c>
      <c r="B1552" s="1448" t="s">
        <v>1667</v>
      </c>
      <c r="C1552" s="1448" t="s">
        <v>1436</v>
      </c>
      <c r="D1552" s="434" t="s">
        <v>93</v>
      </c>
      <c r="E1552" s="1448"/>
      <c r="F1552" s="1448" t="s">
        <v>1749</v>
      </c>
      <c r="G1552" s="1449">
        <v>126900</v>
      </c>
      <c r="H1552" s="1448" t="s">
        <v>534</v>
      </c>
      <c r="I1552" s="1448" t="s">
        <v>534</v>
      </c>
    </row>
    <row r="1553" spans="1:9" hidden="1" x14ac:dyDescent="0.4">
      <c r="A1553" s="434">
        <v>3</v>
      </c>
      <c r="B1553" s="1448" t="s">
        <v>1667</v>
      </c>
      <c r="C1553" s="1448" t="s">
        <v>1436</v>
      </c>
      <c r="D1553" s="434" t="s">
        <v>94</v>
      </c>
      <c r="E1553" s="1448"/>
      <c r="F1553" s="1448" t="s">
        <v>1749</v>
      </c>
      <c r="G1553" s="1449">
        <v>423400</v>
      </c>
      <c r="H1553" s="1448" t="s">
        <v>534</v>
      </c>
      <c r="I1553" s="1448" t="s">
        <v>534</v>
      </c>
    </row>
    <row r="1554" spans="1:9" hidden="1" x14ac:dyDescent="0.4">
      <c r="A1554" s="434">
        <v>3</v>
      </c>
      <c r="B1554" s="1448" t="s">
        <v>1667</v>
      </c>
      <c r="C1554" s="1448" t="s">
        <v>1436</v>
      </c>
      <c r="D1554" s="434" t="s">
        <v>96</v>
      </c>
      <c r="E1554" s="1448"/>
      <c r="F1554" s="1448" t="s">
        <v>1749</v>
      </c>
      <c r="G1554" s="1449">
        <v>42100</v>
      </c>
      <c r="H1554" s="1448" t="s">
        <v>534</v>
      </c>
      <c r="I1554" s="1448" t="s">
        <v>534</v>
      </c>
    </row>
    <row r="1555" spans="1:9" hidden="1" x14ac:dyDescent="0.4">
      <c r="A1555" s="434">
        <v>3</v>
      </c>
      <c r="B1555" s="1448" t="s">
        <v>1667</v>
      </c>
      <c r="C1555" s="1448" t="s">
        <v>1436</v>
      </c>
      <c r="D1555" s="434" t="s">
        <v>510</v>
      </c>
      <c r="E1555" s="1448"/>
      <c r="F1555" s="1448" t="s">
        <v>1749</v>
      </c>
      <c r="G1555" s="1449">
        <v>458900</v>
      </c>
      <c r="H1555" s="1448" t="s">
        <v>534</v>
      </c>
      <c r="I1555" s="1448" t="s">
        <v>534</v>
      </c>
    </row>
    <row r="1556" spans="1:9" hidden="1" x14ac:dyDescent="0.4">
      <c r="A1556" s="434">
        <v>3</v>
      </c>
      <c r="B1556" s="1448" t="s">
        <v>1667</v>
      </c>
      <c r="C1556" s="1448" t="s">
        <v>1436</v>
      </c>
      <c r="D1556" s="434" t="s">
        <v>100</v>
      </c>
      <c r="E1556" s="1448"/>
      <c r="F1556" s="1448" t="s">
        <v>1749</v>
      </c>
      <c r="G1556" s="1449">
        <v>253900</v>
      </c>
      <c r="H1556" s="1448" t="s">
        <v>534</v>
      </c>
      <c r="I1556" s="1448" t="s">
        <v>534</v>
      </c>
    </row>
    <row r="1557" spans="1:9" hidden="1" x14ac:dyDescent="0.4">
      <c r="A1557" s="434">
        <v>3</v>
      </c>
      <c r="B1557" s="1448" t="s">
        <v>1667</v>
      </c>
      <c r="C1557" s="1448" t="s">
        <v>1436</v>
      </c>
      <c r="D1557" s="434" t="s">
        <v>101</v>
      </c>
      <c r="E1557" s="1448"/>
      <c r="F1557" s="1448" t="s">
        <v>1749</v>
      </c>
      <c r="G1557" s="1449">
        <v>126900</v>
      </c>
      <c r="H1557" s="1448" t="s">
        <v>534</v>
      </c>
      <c r="I1557" s="1448" t="s">
        <v>534</v>
      </c>
    </row>
    <row r="1558" spans="1:9" hidden="1" x14ac:dyDescent="0.4">
      <c r="A1558" s="434">
        <v>3</v>
      </c>
      <c r="B1558" s="1448" t="s">
        <v>1671</v>
      </c>
      <c r="C1558" s="1448" t="s">
        <v>1436</v>
      </c>
      <c r="D1558" s="434" t="s">
        <v>73</v>
      </c>
      <c r="E1558" s="1448"/>
      <c r="F1558" s="1448" t="s">
        <v>1749</v>
      </c>
      <c r="G1558" s="1449">
        <v>-100</v>
      </c>
      <c r="H1558" s="1448" t="s">
        <v>1626</v>
      </c>
      <c r="I1558" s="1448" t="s">
        <v>1626</v>
      </c>
    </row>
    <row r="1559" spans="1:9" hidden="1" x14ac:dyDescent="0.4">
      <c r="A1559" s="434">
        <v>3</v>
      </c>
      <c r="B1559" s="1448" t="s">
        <v>1671</v>
      </c>
      <c r="C1559" s="1448" t="s">
        <v>1436</v>
      </c>
      <c r="D1559" s="434" t="s">
        <v>76</v>
      </c>
      <c r="E1559" s="1448"/>
      <c r="F1559" s="1448" t="s">
        <v>1749</v>
      </c>
      <c r="G1559" s="1449">
        <v>-200</v>
      </c>
      <c r="H1559" s="1448" t="s">
        <v>1626</v>
      </c>
      <c r="I1559" s="1448" t="s">
        <v>1626</v>
      </c>
    </row>
    <row r="1560" spans="1:9" hidden="1" x14ac:dyDescent="0.4">
      <c r="A1560" s="434">
        <v>3</v>
      </c>
      <c r="B1560" s="1448" t="s">
        <v>1671</v>
      </c>
      <c r="C1560" s="1448" t="s">
        <v>1436</v>
      </c>
      <c r="D1560" s="434" t="s">
        <v>84</v>
      </c>
      <c r="E1560" s="1448"/>
      <c r="F1560" s="1448" t="s">
        <v>1749</v>
      </c>
      <c r="G1560" s="1449">
        <v>-200</v>
      </c>
      <c r="H1560" s="1448" t="s">
        <v>1626</v>
      </c>
      <c r="I1560" s="1448" t="s">
        <v>1626</v>
      </c>
    </row>
    <row r="1561" spans="1:9" hidden="1" x14ac:dyDescent="0.4">
      <c r="A1561" s="434">
        <v>3</v>
      </c>
      <c r="B1561" s="1448" t="s">
        <v>1671</v>
      </c>
      <c r="C1561" s="1448" t="s">
        <v>1436</v>
      </c>
      <c r="D1561" s="434" t="s">
        <v>86</v>
      </c>
      <c r="E1561" s="1448"/>
      <c r="F1561" s="1448" t="s">
        <v>1749</v>
      </c>
      <c r="G1561" s="1449">
        <v>-200</v>
      </c>
      <c r="H1561" s="1448" t="s">
        <v>1626</v>
      </c>
      <c r="I1561" s="1448" t="s">
        <v>1626</v>
      </c>
    </row>
    <row r="1562" spans="1:9" hidden="1" x14ac:dyDescent="0.4">
      <c r="A1562" s="434">
        <v>3</v>
      </c>
      <c r="B1562" s="1448" t="s">
        <v>1671</v>
      </c>
      <c r="C1562" s="1448" t="s">
        <v>1436</v>
      </c>
      <c r="D1562" s="434" t="s">
        <v>90</v>
      </c>
      <c r="E1562" s="1448"/>
      <c r="F1562" s="1448" t="s">
        <v>1749</v>
      </c>
      <c r="G1562" s="1449">
        <v>-200</v>
      </c>
      <c r="H1562" s="1448" t="s">
        <v>1626</v>
      </c>
      <c r="I1562" s="1448" t="s">
        <v>1626</v>
      </c>
    </row>
    <row r="1563" spans="1:9" hidden="1" x14ac:dyDescent="0.4">
      <c r="A1563" s="434">
        <v>3</v>
      </c>
      <c r="B1563" s="1448" t="s">
        <v>1671</v>
      </c>
      <c r="C1563" s="1448" t="s">
        <v>1436</v>
      </c>
      <c r="D1563" s="434" t="s">
        <v>92</v>
      </c>
      <c r="E1563" s="1448"/>
      <c r="F1563" s="1448" t="s">
        <v>1749</v>
      </c>
      <c r="G1563" s="1449">
        <v>-200</v>
      </c>
      <c r="H1563" s="1448" t="s">
        <v>1626</v>
      </c>
      <c r="I1563" s="1448" t="s">
        <v>1626</v>
      </c>
    </row>
    <row r="1564" spans="1:9" hidden="1" x14ac:dyDescent="0.4">
      <c r="A1564" s="434">
        <v>3</v>
      </c>
      <c r="B1564" s="1448" t="s">
        <v>1671</v>
      </c>
      <c r="C1564" s="1448" t="s">
        <v>1436</v>
      </c>
      <c r="D1564" s="434" t="s">
        <v>93</v>
      </c>
      <c r="E1564" s="1448"/>
      <c r="F1564" s="1448" t="s">
        <v>1749</v>
      </c>
      <c r="G1564" s="1449">
        <v>-100</v>
      </c>
      <c r="H1564" s="1448" t="s">
        <v>1626</v>
      </c>
      <c r="I1564" s="1448" t="s">
        <v>1626</v>
      </c>
    </row>
    <row r="1565" spans="1:9" hidden="1" x14ac:dyDescent="0.4">
      <c r="A1565" s="434">
        <v>3</v>
      </c>
      <c r="B1565" s="1448" t="s">
        <v>1671</v>
      </c>
      <c r="C1565" s="1448" t="s">
        <v>1436</v>
      </c>
      <c r="D1565" s="434" t="s">
        <v>94</v>
      </c>
      <c r="E1565" s="1448"/>
      <c r="F1565" s="1448" t="s">
        <v>1749</v>
      </c>
      <c r="G1565" s="1449">
        <v>-100</v>
      </c>
      <c r="H1565" s="1448" t="s">
        <v>1626</v>
      </c>
      <c r="I1565" s="1448" t="s">
        <v>1626</v>
      </c>
    </row>
    <row r="1566" spans="1:9" hidden="1" x14ac:dyDescent="0.4">
      <c r="A1566" s="434">
        <v>3</v>
      </c>
      <c r="B1566" s="1448" t="s">
        <v>1671</v>
      </c>
      <c r="C1566" s="1448" t="s">
        <v>1436</v>
      </c>
      <c r="D1566" s="434" t="s">
        <v>96</v>
      </c>
      <c r="E1566" s="1448"/>
      <c r="F1566" s="1448" t="s">
        <v>1749</v>
      </c>
      <c r="G1566" s="1449">
        <v>-200</v>
      </c>
      <c r="H1566" s="1448" t="s">
        <v>1626</v>
      </c>
      <c r="I1566" s="1448" t="s">
        <v>1626</v>
      </c>
    </row>
    <row r="1567" spans="1:9" hidden="1" x14ac:dyDescent="0.4">
      <c r="A1567" s="434">
        <v>3</v>
      </c>
      <c r="B1567" s="1448" t="s">
        <v>1671</v>
      </c>
      <c r="C1567" s="1448" t="s">
        <v>1436</v>
      </c>
      <c r="D1567" s="434" t="s">
        <v>510</v>
      </c>
      <c r="E1567" s="1448"/>
      <c r="F1567" s="1448" t="s">
        <v>1749</v>
      </c>
      <c r="G1567" s="1449">
        <v>0</v>
      </c>
      <c r="H1567" s="1448" t="s">
        <v>1626</v>
      </c>
      <c r="I1567" s="1448" t="s">
        <v>1626</v>
      </c>
    </row>
    <row r="1568" spans="1:9" hidden="1" x14ac:dyDescent="0.4">
      <c r="A1568" s="434">
        <v>3</v>
      </c>
      <c r="B1568" s="1448" t="s">
        <v>1671</v>
      </c>
      <c r="C1568" s="1448" t="s">
        <v>1436</v>
      </c>
      <c r="D1568" s="434" t="s">
        <v>100</v>
      </c>
      <c r="E1568" s="1448"/>
      <c r="F1568" s="1448" t="s">
        <v>1749</v>
      </c>
      <c r="G1568" s="1449">
        <v>200</v>
      </c>
      <c r="H1568" s="1448" t="s">
        <v>1626</v>
      </c>
      <c r="I1568" s="1448" t="s">
        <v>1626</v>
      </c>
    </row>
    <row r="1569" spans="1:9" hidden="1" x14ac:dyDescent="0.4">
      <c r="A1569" s="434">
        <v>3</v>
      </c>
      <c r="B1569" s="1448" t="s">
        <v>1671</v>
      </c>
      <c r="C1569" s="1448" t="s">
        <v>1436</v>
      </c>
      <c r="D1569" s="434" t="s">
        <v>101</v>
      </c>
      <c r="E1569" s="1448"/>
      <c r="F1569" s="1448" t="s">
        <v>1749</v>
      </c>
      <c r="G1569" s="1449">
        <v>-100</v>
      </c>
      <c r="H1569" s="1448" t="s">
        <v>1626</v>
      </c>
      <c r="I1569" s="1448" t="s">
        <v>1626</v>
      </c>
    </row>
    <row r="1570" spans="1:9" hidden="1" x14ac:dyDescent="0.4">
      <c r="A1570" s="434">
        <v>3</v>
      </c>
      <c r="B1570" s="1448" t="s">
        <v>1674</v>
      </c>
      <c r="C1570" s="1448" t="s">
        <v>1436</v>
      </c>
      <c r="D1570" s="434" t="s">
        <v>73</v>
      </c>
      <c r="E1570" s="1448"/>
      <c r="F1570" s="1448" t="s">
        <v>1749</v>
      </c>
      <c r="G1570" s="1449">
        <v>109031800</v>
      </c>
      <c r="H1570" s="1448" t="s">
        <v>1626</v>
      </c>
      <c r="I1570" s="1448" t="s">
        <v>1626</v>
      </c>
    </row>
    <row r="1571" spans="1:9" hidden="1" x14ac:dyDescent="0.4">
      <c r="A1571" s="434">
        <v>3</v>
      </c>
      <c r="B1571" s="1448" t="s">
        <v>1674</v>
      </c>
      <c r="C1571" s="1448" t="s">
        <v>1436</v>
      </c>
      <c r="D1571" s="434" t="s">
        <v>76</v>
      </c>
      <c r="E1571" s="1448"/>
      <c r="F1571" s="1448" t="s">
        <v>1749</v>
      </c>
      <c r="G1571" s="1449">
        <v>0</v>
      </c>
      <c r="H1571" s="1448" t="s">
        <v>1626</v>
      </c>
      <c r="I1571" s="1448" t="s">
        <v>1626</v>
      </c>
    </row>
    <row r="1572" spans="1:9" hidden="1" x14ac:dyDescent="0.4">
      <c r="A1572" s="434">
        <v>3</v>
      </c>
      <c r="B1572" s="1448" t="s">
        <v>1674</v>
      </c>
      <c r="C1572" s="1448" t="s">
        <v>1436</v>
      </c>
      <c r="D1572" s="434" t="s">
        <v>80</v>
      </c>
      <c r="E1572" s="1448"/>
      <c r="F1572" s="1448" t="s">
        <v>1749</v>
      </c>
      <c r="G1572" s="1449">
        <v>100</v>
      </c>
      <c r="H1572" s="1448" t="s">
        <v>1626</v>
      </c>
      <c r="I1572" s="1448" t="s">
        <v>1626</v>
      </c>
    </row>
    <row r="1573" spans="1:9" hidden="1" x14ac:dyDescent="0.4">
      <c r="A1573" s="434">
        <v>3</v>
      </c>
      <c r="B1573" s="1448" t="s">
        <v>1674</v>
      </c>
      <c r="C1573" s="1448" t="s">
        <v>1436</v>
      </c>
      <c r="D1573" s="434" t="s">
        <v>82</v>
      </c>
      <c r="E1573" s="1448"/>
      <c r="F1573" s="1448" t="s">
        <v>1749</v>
      </c>
      <c r="G1573" s="1449">
        <v>100</v>
      </c>
      <c r="H1573" s="1448" t="s">
        <v>1626</v>
      </c>
      <c r="I1573" s="1448" t="s">
        <v>1626</v>
      </c>
    </row>
    <row r="1574" spans="1:9" hidden="1" x14ac:dyDescent="0.4">
      <c r="A1574" s="434">
        <v>3</v>
      </c>
      <c r="B1574" s="1448" t="s">
        <v>1674</v>
      </c>
      <c r="C1574" s="1448" t="s">
        <v>1436</v>
      </c>
      <c r="D1574" s="434" t="s">
        <v>84</v>
      </c>
      <c r="E1574" s="1448"/>
      <c r="F1574" s="1448" t="s">
        <v>1749</v>
      </c>
      <c r="G1574" s="1449">
        <v>9843200</v>
      </c>
      <c r="H1574" s="1448" t="s">
        <v>1626</v>
      </c>
      <c r="I1574" s="1448" t="s">
        <v>1626</v>
      </c>
    </row>
    <row r="1575" spans="1:9" hidden="1" x14ac:dyDescent="0.4">
      <c r="A1575" s="434">
        <v>3</v>
      </c>
      <c r="B1575" s="1448" t="s">
        <v>1674</v>
      </c>
      <c r="C1575" s="1448" t="s">
        <v>1436</v>
      </c>
      <c r="D1575" s="434" t="s">
        <v>86</v>
      </c>
      <c r="E1575" s="1448"/>
      <c r="F1575" s="1448" t="s">
        <v>1749</v>
      </c>
      <c r="G1575" s="1449">
        <v>9082400</v>
      </c>
      <c r="H1575" s="1448" t="s">
        <v>1626</v>
      </c>
      <c r="I1575" s="1448" t="s">
        <v>1626</v>
      </c>
    </row>
    <row r="1576" spans="1:9" hidden="1" x14ac:dyDescent="0.4">
      <c r="A1576" s="434">
        <v>3</v>
      </c>
      <c r="B1576" s="1448" t="s">
        <v>1674</v>
      </c>
      <c r="C1576" s="1448" t="s">
        <v>1436</v>
      </c>
      <c r="D1576" s="434" t="s">
        <v>90</v>
      </c>
      <c r="E1576" s="1448"/>
      <c r="F1576" s="1448" t="s">
        <v>1749</v>
      </c>
      <c r="G1576" s="1449">
        <v>10925700</v>
      </c>
      <c r="H1576" s="1448" t="s">
        <v>1626</v>
      </c>
      <c r="I1576" s="1448" t="s">
        <v>1626</v>
      </c>
    </row>
    <row r="1577" spans="1:9" hidden="1" x14ac:dyDescent="0.4">
      <c r="A1577" s="434">
        <v>3</v>
      </c>
      <c r="B1577" s="1448" t="s">
        <v>1674</v>
      </c>
      <c r="C1577" s="1448" t="s">
        <v>1436</v>
      </c>
      <c r="D1577" s="434" t="s">
        <v>92</v>
      </c>
      <c r="E1577" s="1448"/>
      <c r="F1577" s="1448" t="s">
        <v>1749</v>
      </c>
      <c r="G1577" s="1449">
        <v>590800</v>
      </c>
      <c r="H1577" s="1448" t="s">
        <v>1626</v>
      </c>
      <c r="I1577" s="1448" t="s">
        <v>1626</v>
      </c>
    </row>
    <row r="1578" spans="1:9" hidden="1" x14ac:dyDescent="0.4">
      <c r="A1578" s="434">
        <v>3</v>
      </c>
      <c r="B1578" s="1448" t="s">
        <v>1674</v>
      </c>
      <c r="C1578" s="1448" t="s">
        <v>1436</v>
      </c>
      <c r="D1578" s="434" t="s">
        <v>93</v>
      </c>
      <c r="E1578" s="1448"/>
      <c r="F1578" s="1448" t="s">
        <v>1749</v>
      </c>
      <c r="G1578" s="1449">
        <v>1771900</v>
      </c>
      <c r="H1578" s="1448" t="s">
        <v>1626</v>
      </c>
      <c r="I1578" s="1448" t="s">
        <v>1626</v>
      </c>
    </row>
    <row r="1579" spans="1:9" hidden="1" x14ac:dyDescent="0.4">
      <c r="A1579" s="434">
        <v>3</v>
      </c>
      <c r="B1579" s="1448" t="s">
        <v>1674</v>
      </c>
      <c r="C1579" s="1448" t="s">
        <v>1436</v>
      </c>
      <c r="D1579" s="434" t="s">
        <v>94</v>
      </c>
      <c r="E1579" s="1448"/>
      <c r="F1579" s="1448" t="s">
        <v>1749</v>
      </c>
      <c r="G1579" s="1449">
        <v>5905700</v>
      </c>
      <c r="H1579" s="1448" t="s">
        <v>1626</v>
      </c>
      <c r="I1579" s="1448" t="s">
        <v>1626</v>
      </c>
    </row>
    <row r="1580" spans="1:9" hidden="1" x14ac:dyDescent="0.4">
      <c r="A1580" s="434">
        <v>3</v>
      </c>
      <c r="B1580" s="1448" t="s">
        <v>1674</v>
      </c>
      <c r="C1580" s="1448" t="s">
        <v>1436</v>
      </c>
      <c r="D1580" s="434" t="s">
        <v>96</v>
      </c>
      <c r="E1580" s="1448"/>
      <c r="F1580" s="1448" t="s">
        <v>1749</v>
      </c>
      <c r="G1580" s="1449">
        <v>590800</v>
      </c>
      <c r="H1580" s="1448" t="s">
        <v>1626</v>
      </c>
      <c r="I1580" s="1448" t="s">
        <v>1626</v>
      </c>
    </row>
    <row r="1581" spans="1:9" hidden="1" x14ac:dyDescent="0.4">
      <c r="A1581" s="434">
        <v>3</v>
      </c>
      <c r="B1581" s="1448" t="s">
        <v>1674</v>
      </c>
      <c r="C1581" s="1448" t="s">
        <v>1436</v>
      </c>
      <c r="D1581" s="434" t="s">
        <v>510</v>
      </c>
      <c r="E1581" s="1448"/>
      <c r="F1581" s="1448" t="s">
        <v>1749</v>
      </c>
      <c r="G1581" s="1449">
        <v>6401900</v>
      </c>
      <c r="H1581" s="1448" t="s">
        <v>1626</v>
      </c>
      <c r="I1581" s="1448" t="s">
        <v>1626</v>
      </c>
    </row>
    <row r="1582" spans="1:9" hidden="1" x14ac:dyDescent="0.4">
      <c r="A1582" s="434">
        <v>3</v>
      </c>
      <c r="B1582" s="1448" t="s">
        <v>1674</v>
      </c>
      <c r="C1582" s="1448" t="s">
        <v>1436</v>
      </c>
      <c r="D1582" s="434" t="s">
        <v>100</v>
      </c>
      <c r="E1582" s="1448"/>
      <c r="F1582" s="1448" t="s">
        <v>1749</v>
      </c>
      <c r="G1582" s="1449">
        <v>3543500</v>
      </c>
      <c r="H1582" s="1448" t="s">
        <v>1626</v>
      </c>
      <c r="I1582" s="1448" t="s">
        <v>1626</v>
      </c>
    </row>
    <row r="1583" spans="1:9" hidden="1" x14ac:dyDescent="0.4">
      <c r="A1583" s="434">
        <v>3</v>
      </c>
      <c r="B1583" s="1448" t="s">
        <v>1674</v>
      </c>
      <c r="C1583" s="1448" t="s">
        <v>1436</v>
      </c>
      <c r="D1583" s="434" t="s">
        <v>101</v>
      </c>
      <c r="E1583" s="1448"/>
      <c r="F1583" s="1448" t="s">
        <v>1749</v>
      </c>
      <c r="G1583" s="1449">
        <v>1771900</v>
      </c>
      <c r="H1583" s="1448" t="s">
        <v>1626</v>
      </c>
      <c r="I1583" s="1448" t="s">
        <v>1626</v>
      </c>
    </row>
    <row r="1584" spans="1:9" hidden="1" x14ac:dyDescent="0.4">
      <c r="A1584" s="434">
        <v>3</v>
      </c>
      <c r="B1584" s="1448" t="s">
        <v>1690</v>
      </c>
      <c r="C1584" s="1448" t="s">
        <v>1436</v>
      </c>
      <c r="D1584" s="434" t="s">
        <v>73</v>
      </c>
      <c r="E1584" s="1448"/>
      <c r="F1584" s="1448" t="s">
        <v>1749</v>
      </c>
      <c r="G1584" s="1449">
        <v>3884800</v>
      </c>
      <c r="H1584" s="1448" t="s">
        <v>1626</v>
      </c>
      <c r="I1584" s="1448" t="s">
        <v>1626</v>
      </c>
    </row>
    <row r="1585" spans="1:9" hidden="1" x14ac:dyDescent="0.4">
      <c r="A1585" s="434">
        <v>3</v>
      </c>
      <c r="B1585" s="1448" t="s">
        <v>1690</v>
      </c>
      <c r="C1585" s="1448" t="s">
        <v>1436</v>
      </c>
      <c r="D1585" s="434" t="s">
        <v>76</v>
      </c>
      <c r="E1585" s="1448"/>
      <c r="F1585" s="1448" t="s">
        <v>1749</v>
      </c>
      <c r="G1585" s="1449">
        <v>0</v>
      </c>
      <c r="H1585" s="1448" t="s">
        <v>1626</v>
      </c>
      <c r="I1585" s="1448" t="s">
        <v>1626</v>
      </c>
    </row>
    <row r="1586" spans="1:9" hidden="1" x14ac:dyDescent="0.4">
      <c r="A1586" s="434">
        <v>3</v>
      </c>
      <c r="B1586" s="1448" t="s">
        <v>1690</v>
      </c>
      <c r="C1586" s="1448" t="s">
        <v>1436</v>
      </c>
      <c r="D1586" s="434" t="s">
        <v>80</v>
      </c>
      <c r="E1586" s="1448"/>
      <c r="F1586" s="1448" t="s">
        <v>1749</v>
      </c>
      <c r="G1586" s="1449">
        <v>0</v>
      </c>
      <c r="H1586" s="1448" t="s">
        <v>1626</v>
      </c>
      <c r="I1586" s="1448" t="s">
        <v>1626</v>
      </c>
    </row>
    <row r="1587" spans="1:9" hidden="1" x14ac:dyDescent="0.4">
      <c r="A1587" s="434">
        <v>3</v>
      </c>
      <c r="B1587" s="1448" t="s">
        <v>1690</v>
      </c>
      <c r="C1587" s="1448" t="s">
        <v>1436</v>
      </c>
      <c r="D1587" s="434" t="s">
        <v>82</v>
      </c>
      <c r="E1587" s="1448"/>
      <c r="F1587" s="1448" t="s">
        <v>1749</v>
      </c>
      <c r="G1587" s="1449">
        <v>0</v>
      </c>
      <c r="H1587" s="1448" t="s">
        <v>1626</v>
      </c>
      <c r="I1587" s="1448" t="s">
        <v>1626</v>
      </c>
    </row>
    <row r="1588" spans="1:9" hidden="1" x14ac:dyDescent="0.4">
      <c r="A1588" s="434">
        <v>3</v>
      </c>
      <c r="B1588" s="1448" t="s">
        <v>1690</v>
      </c>
      <c r="C1588" s="1448" t="s">
        <v>1436</v>
      </c>
      <c r="D1588" s="434" t="s">
        <v>84</v>
      </c>
      <c r="E1588" s="1448"/>
      <c r="F1588" s="1448" t="s">
        <v>1749</v>
      </c>
      <c r="G1588" s="1449">
        <v>350600</v>
      </c>
      <c r="H1588" s="1448" t="s">
        <v>1626</v>
      </c>
      <c r="I1588" s="1448" t="s">
        <v>1626</v>
      </c>
    </row>
    <row r="1589" spans="1:9" hidden="1" x14ac:dyDescent="0.4">
      <c r="A1589" s="434">
        <v>3</v>
      </c>
      <c r="B1589" s="1448" t="s">
        <v>1690</v>
      </c>
      <c r="C1589" s="1448" t="s">
        <v>1436</v>
      </c>
      <c r="D1589" s="434" t="s">
        <v>86</v>
      </c>
      <c r="E1589" s="1448"/>
      <c r="F1589" s="1448" t="s">
        <v>1749</v>
      </c>
      <c r="G1589" s="1449">
        <v>323500</v>
      </c>
      <c r="H1589" s="1448" t="s">
        <v>1626</v>
      </c>
      <c r="I1589" s="1448" t="s">
        <v>1626</v>
      </c>
    </row>
    <row r="1590" spans="1:9" hidden="1" x14ac:dyDescent="0.4">
      <c r="A1590" s="434">
        <v>3</v>
      </c>
      <c r="B1590" s="1448" t="s">
        <v>1690</v>
      </c>
      <c r="C1590" s="1448" t="s">
        <v>1436</v>
      </c>
      <c r="D1590" s="434" t="s">
        <v>90</v>
      </c>
      <c r="E1590" s="1448"/>
      <c r="F1590" s="1448" t="s">
        <v>1749</v>
      </c>
      <c r="G1590" s="1449">
        <v>389100</v>
      </c>
      <c r="H1590" s="1448" t="s">
        <v>1626</v>
      </c>
      <c r="I1590" s="1448" t="s">
        <v>1626</v>
      </c>
    </row>
    <row r="1591" spans="1:9" hidden="1" x14ac:dyDescent="0.4">
      <c r="A1591" s="434">
        <v>3</v>
      </c>
      <c r="B1591" s="1448" t="s">
        <v>1690</v>
      </c>
      <c r="C1591" s="1448" t="s">
        <v>1436</v>
      </c>
      <c r="D1591" s="434" t="s">
        <v>92</v>
      </c>
      <c r="E1591" s="1448"/>
      <c r="F1591" s="1448" t="s">
        <v>1749</v>
      </c>
      <c r="G1591" s="1449">
        <v>21300</v>
      </c>
      <c r="H1591" s="1448" t="s">
        <v>1626</v>
      </c>
      <c r="I1591" s="1448" t="s">
        <v>1626</v>
      </c>
    </row>
    <row r="1592" spans="1:9" hidden="1" x14ac:dyDescent="0.4">
      <c r="A1592" s="434">
        <v>3</v>
      </c>
      <c r="B1592" s="1448" t="s">
        <v>1690</v>
      </c>
      <c r="C1592" s="1448" t="s">
        <v>1436</v>
      </c>
      <c r="D1592" s="434" t="s">
        <v>93</v>
      </c>
      <c r="E1592" s="1448"/>
      <c r="F1592" s="1448" t="s">
        <v>1749</v>
      </c>
      <c r="G1592" s="1449">
        <v>63300</v>
      </c>
      <c r="H1592" s="1448" t="s">
        <v>1626</v>
      </c>
      <c r="I1592" s="1448" t="s">
        <v>1626</v>
      </c>
    </row>
    <row r="1593" spans="1:9" hidden="1" x14ac:dyDescent="0.4">
      <c r="A1593" s="434">
        <v>3</v>
      </c>
      <c r="B1593" s="1448" t="s">
        <v>1690</v>
      </c>
      <c r="C1593" s="1448" t="s">
        <v>1436</v>
      </c>
      <c r="D1593" s="434" t="s">
        <v>94</v>
      </c>
      <c r="E1593" s="1448"/>
      <c r="F1593" s="1448" t="s">
        <v>1749</v>
      </c>
      <c r="G1593" s="1449">
        <v>210600</v>
      </c>
      <c r="H1593" s="1448" t="s">
        <v>1626</v>
      </c>
      <c r="I1593" s="1448" t="s">
        <v>1626</v>
      </c>
    </row>
    <row r="1594" spans="1:9" hidden="1" x14ac:dyDescent="0.4">
      <c r="A1594" s="434">
        <v>3</v>
      </c>
      <c r="B1594" s="1448" t="s">
        <v>1690</v>
      </c>
      <c r="C1594" s="1448" t="s">
        <v>1436</v>
      </c>
      <c r="D1594" s="434" t="s">
        <v>96</v>
      </c>
      <c r="E1594" s="1448"/>
      <c r="F1594" s="1448" t="s">
        <v>1749</v>
      </c>
      <c r="G1594" s="1449">
        <v>21300</v>
      </c>
      <c r="H1594" s="1448" t="s">
        <v>1626</v>
      </c>
      <c r="I1594" s="1448" t="s">
        <v>1626</v>
      </c>
    </row>
    <row r="1595" spans="1:9" hidden="1" x14ac:dyDescent="0.4">
      <c r="A1595" s="434">
        <v>3</v>
      </c>
      <c r="B1595" s="1448" t="s">
        <v>1690</v>
      </c>
      <c r="C1595" s="1448" t="s">
        <v>1436</v>
      </c>
      <c r="D1595" s="434" t="s">
        <v>510</v>
      </c>
      <c r="E1595" s="1448"/>
      <c r="F1595" s="1448" t="s">
        <v>1749</v>
      </c>
      <c r="G1595" s="1449">
        <v>228100</v>
      </c>
      <c r="H1595" s="1448" t="s">
        <v>1626</v>
      </c>
      <c r="I1595" s="1448" t="s">
        <v>1626</v>
      </c>
    </row>
    <row r="1596" spans="1:9" hidden="1" x14ac:dyDescent="0.4">
      <c r="A1596" s="434">
        <v>3</v>
      </c>
      <c r="B1596" s="1448" t="s">
        <v>1690</v>
      </c>
      <c r="C1596" s="1448" t="s">
        <v>1436</v>
      </c>
      <c r="D1596" s="434" t="s">
        <v>100</v>
      </c>
      <c r="E1596" s="1448"/>
      <c r="F1596" s="1448" t="s">
        <v>1749</v>
      </c>
      <c r="G1596" s="1449">
        <v>126100</v>
      </c>
      <c r="H1596" s="1448" t="s">
        <v>1626</v>
      </c>
      <c r="I1596" s="1448" t="s">
        <v>1626</v>
      </c>
    </row>
    <row r="1597" spans="1:9" hidden="1" x14ac:dyDescent="0.4">
      <c r="A1597" s="434">
        <v>3</v>
      </c>
      <c r="B1597" s="1448" t="s">
        <v>1690</v>
      </c>
      <c r="C1597" s="1448" t="s">
        <v>1436</v>
      </c>
      <c r="D1597" s="434" t="s">
        <v>101</v>
      </c>
      <c r="E1597" s="1448"/>
      <c r="F1597" s="1448" t="s">
        <v>1749</v>
      </c>
      <c r="G1597" s="1449">
        <v>63300</v>
      </c>
      <c r="H1597" s="1448" t="s">
        <v>1626</v>
      </c>
      <c r="I1597" s="1448" t="s">
        <v>1626</v>
      </c>
    </row>
    <row r="1598" spans="1:9" hidden="1" x14ac:dyDescent="0.4">
      <c r="A1598" s="434">
        <v>3</v>
      </c>
      <c r="B1598" s="1448" t="s">
        <v>1699</v>
      </c>
      <c r="C1598" s="1448" t="s">
        <v>1436</v>
      </c>
      <c r="D1598" s="434" t="s">
        <v>72</v>
      </c>
      <c r="E1598" s="1448"/>
      <c r="F1598" s="1448" t="s">
        <v>1749</v>
      </c>
      <c r="G1598" s="1449">
        <v>6906200</v>
      </c>
      <c r="H1598" s="1448" t="s">
        <v>534</v>
      </c>
      <c r="I1598" s="1448" t="s">
        <v>534</v>
      </c>
    </row>
    <row r="1599" spans="1:9" hidden="1" x14ac:dyDescent="0.4">
      <c r="A1599" s="434">
        <v>3</v>
      </c>
      <c r="B1599" s="1448" t="s">
        <v>1699</v>
      </c>
      <c r="C1599" s="1448" t="s">
        <v>1436</v>
      </c>
      <c r="D1599" s="434" t="s">
        <v>76</v>
      </c>
      <c r="E1599" s="1448"/>
      <c r="F1599" s="1448" t="s">
        <v>1749</v>
      </c>
      <c r="G1599" s="1449">
        <v>200</v>
      </c>
      <c r="H1599" s="1448" t="s">
        <v>534</v>
      </c>
      <c r="I1599" s="1448" t="s">
        <v>534</v>
      </c>
    </row>
    <row r="1600" spans="1:9" hidden="1" x14ac:dyDescent="0.4">
      <c r="A1600" s="434">
        <v>3</v>
      </c>
      <c r="B1600" s="1448" t="s">
        <v>1699</v>
      </c>
      <c r="C1600" s="1448" t="s">
        <v>1436</v>
      </c>
      <c r="D1600" s="434" t="s">
        <v>80</v>
      </c>
      <c r="E1600" s="1448"/>
      <c r="F1600" s="1448" t="s">
        <v>1749</v>
      </c>
      <c r="G1600" s="1449">
        <v>-100</v>
      </c>
      <c r="H1600" s="1448" t="s">
        <v>534</v>
      </c>
      <c r="I1600" s="1448" t="s">
        <v>534</v>
      </c>
    </row>
    <row r="1601" spans="1:9" hidden="1" x14ac:dyDescent="0.4">
      <c r="A1601" s="434">
        <v>3</v>
      </c>
      <c r="B1601" s="1448" t="s">
        <v>1699</v>
      </c>
      <c r="C1601" s="1448" t="s">
        <v>1436</v>
      </c>
      <c r="D1601" s="434" t="s">
        <v>82</v>
      </c>
      <c r="E1601" s="1448"/>
      <c r="F1601" s="1448" t="s">
        <v>1749</v>
      </c>
      <c r="G1601" s="1449">
        <v>0</v>
      </c>
      <c r="H1601" s="1448" t="s">
        <v>534</v>
      </c>
      <c r="I1601" s="1448" t="s">
        <v>534</v>
      </c>
    </row>
    <row r="1602" spans="1:9" hidden="1" x14ac:dyDescent="0.4">
      <c r="A1602" s="434">
        <v>3</v>
      </c>
      <c r="B1602" s="1448" t="s">
        <v>1699</v>
      </c>
      <c r="C1602" s="1448" t="s">
        <v>1436</v>
      </c>
      <c r="D1602" s="434" t="s">
        <v>84</v>
      </c>
      <c r="E1602" s="1448"/>
      <c r="F1602" s="1448" t="s">
        <v>1749</v>
      </c>
      <c r="G1602" s="1449">
        <v>623600</v>
      </c>
      <c r="H1602" s="1448" t="s">
        <v>534</v>
      </c>
      <c r="I1602" s="1448" t="s">
        <v>534</v>
      </c>
    </row>
    <row r="1603" spans="1:9" hidden="1" x14ac:dyDescent="0.4">
      <c r="A1603" s="434">
        <v>3</v>
      </c>
      <c r="B1603" s="1448" t="s">
        <v>1699</v>
      </c>
      <c r="C1603" s="1448" t="s">
        <v>1436</v>
      </c>
      <c r="D1603" s="434" t="s">
        <v>86</v>
      </c>
      <c r="E1603" s="1448"/>
      <c r="F1603" s="1448" t="s">
        <v>1749</v>
      </c>
      <c r="G1603" s="1449">
        <v>575300</v>
      </c>
      <c r="H1603" s="1448" t="s">
        <v>534</v>
      </c>
      <c r="I1603" s="1448" t="s">
        <v>534</v>
      </c>
    </row>
    <row r="1604" spans="1:9" hidden="1" x14ac:dyDescent="0.4">
      <c r="A1604" s="434">
        <v>3</v>
      </c>
      <c r="B1604" s="1448" t="s">
        <v>1699</v>
      </c>
      <c r="C1604" s="1448" t="s">
        <v>1436</v>
      </c>
      <c r="D1604" s="434" t="s">
        <v>90</v>
      </c>
      <c r="E1604" s="1448"/>
      <c r="F1604" s="1448" t="s">
        <v>1749</v>
      </c>
      <c r="G1604" s="1449">
        <v>692100</v>
      </c>
      <c r="H1604" s="1448" t="s">
        <v>534</v>
      </c>
      <c r="I1604" s="1448" t="s">
        <v>534</v>
      </c>
    </row>
    <row r="1605" spans="1:9" hidden="1" x14ac:dyDescent="0.4">
      <c r="A1605" s="434">
        <v>3</v>
      </c>
      <c r="B1605" s="1448" t="s">
        <v>1699</v>
      </c>
      <c r="C1605" s="1448" t="s">
        <v>1436</v>
      </c>
      <c r="D1605" s="434" t="s">
        <v>92</v>
      </c>
      <c r="E1605" s="1448"/>
      <c r="F1605" s="1448" t="s">
        <v>1749</v>
      </c>
      <c r="G1605" s="1449">
        <v>37700</v>
      </c>
      <c r="H1605" s="1448" t="s">
        <v>534</v>
      </c>
      <c r="I1605" s="1448" t="s">
        <v>534</v>
      </c>
    </row>
    <row r="1606" spans="1:9" hidden="1" x14ac:dyDescent="0.4">
      <c r="A1606" s="434">
        <v>3</v>
      </c>
      <c r="B1606" s="1448" t="s">
        <v>1699</v>
      </c>
      <c r="C1606" s="1448" t="s">
        <v>1436</v>
      </c>
      <c r="D1606" s="434" t="s">
        <v>93</v>
      </c>
      <c r="E1606" s="1448"/>
      <c r="F1606" s="1448" t="s">
        <v>1749</v>
      </c>
      <c r="G1606" s="1449">
        <v>112200</v>
      </c>
      <c r="H1606" s="1448" t="s">
        <v>534</v>
      </c>
      <c r="I1606" s="1448" t="s">
        <v>534</v>
      </c>
    </row>
    <row r="1607" spans="1:9" hidden="1" x14ac:dyDescent="0.4">
      <c r="A1607" s="434">
        <v>3</v>
      </c>
      <c r="B1607" s="1448" t="s">
        <v>1699</v>
      </c>
      <c r="C1607" s="1448" t="s">
        <v>1436</v>
      </c>
      <c r="D1607" s="434" t="s">
        <v>94</v>
      </c>
      <c r="E1607" s="1448"/>
      <c r="F1607" s="1448" t="s">
        <v>1749</v>
      </c>
      <c r="G1607" s="1449">
        <v>374400</v>
      </c>
      <c r="H1607" s="1448" t="s">
        <v>534</v>
      </c>
      <c r="I1607" s="1448" t="s">
        <v>534</v>
      </c>
    </row>
    <row r="1608" spans="1:9" hidden="1" x14ac:dyDescent="0.4">
      <c r="A1608" s="434">
        <v>3</v>
      </c>
      <c r="B1608" s="1448" t="s">
        <v>1699</v>
      </c>
      <c r="C1608" s="1448" t="s">
        <v>1436</v>
      </c>
      <c r="D1608" s="434" t="s">
        <v>96</v>
      </c>
      <c r="E1608" s="1448"/>
      <c r="F1608" s="1448" t="s">
        <v>1749</v>
      </c>
      <c r="G1608" s="1449">
        <v>37700</v>
      </c>
      <c r="H1608" s="1448" t="s">
        <v>534</v>
      </c>
      <c r="I1608" s="1448" t="s">
        <v>534</v>
      </c>
    </row>
    <row r="1609" spans="1:9" hidden="1" x14ac:dyDescent="0.4">
      <c r="A1609" s="434">
        <v>3</v>
      </c>
      <c r="B1609" s="1448" t="s">
        <v>1699</v>
      </c>
      <c r="C1609" s="1448" t="s">
        <v>1436</v>
      </c>
      <c r="D1609" s="434" t="s">
        <v>510</v>
      </c>
      <c r="E1609" s="1448"/>
      <c r="F1609" s="1448" t="s">
        <v>1749</v>
      </c>
      <c r="G1609" s="1449">
        <v>405300</v>
      </c>
      <c r="H1609" s="1448" t="s">
        <v>534</v>
      </c>
      <c r="I1609" s="1448" t="s">
        <v>534</v>
      </c>
    </row>
    <row r="1610" spans="1:9" hidden="1" x14ac:dyDescent="0.4">
      <c r="A1610" s="434">
        <v>3</v>
      </c>
      <c r="B1610" s="1448" t="s">
        <v>1699</v>
      </c>
      <c r="C1610" s="1448" t="s">
        <v>1436</v>
      </c>
      <c r="D1610" s="434" t="s">
        <v>100</v>
      </c>
      <c r="E1610" s="1448"/>
      <c r="F1610" s="1448" t="s">
        <v>1749</v>
      </c>
      <c r="G1610" s="1449">
        <v>224500</v>
      </c>
      <c r="H1610" s="1448" t="s">
        <v>534</v>
      </c>
      <c r="I1610" s="1448" t="s">
        <v>534</v>
      </c>
    </row>
    <row r="1611" spans="1:9" hidden="1" x14ac:dyDescent="0.4">
      <c r="A1611" s="434">
        <v>3</v>
      </c>
      <c r="B1611" s="1448" t="s">
        <v>1699</v>
      </c>
      <c r="C1611" s="1448" t="s">
        <v>1436</v>
      </c>
      <c r="D1611" s="434" t="s">
        <v>101</v>
      </c>
      <c r="E1611" s="1448"/>
      <c r="F1611" s="1448" t="s">
        <v>1749</v>
      </c>
      <c r="G1611" s="1449">
        <v>112200</v>
      </c>
      <c r="H1611" s="1448" t="s">
        <v>534</v>
      </c>
      <c r="I1611" s="1448" t="s">
        <v>534</v>
      </c>
    </row>
    <row r="1612" spans="1:9" hidden="1" x14ac:dyDescent="0.4">
      <c r="A1612" s="434">
        <v>4</v>
      </c>
      <c r="B1612" s="1448" t="s">
        <v>1700</v>
      </c>
      <c r="C1612" s="1448" t="s">
        <v>1436</v>
      </c>
      <c r="D1612" s="434" t="s">
        <v>72</v>
      </c>
      <c r="E1612" s="1448"/>
      <c r="F1612" s="1448" t="s">
        <v>1749</v>
      </c>
      <c r="G1612" s="1449">
        <v>6906400</v>
      </c>
      <c r="H1612" s="1448" t="s">
        <v>534</v>
      </c>
      <c r="I1612" s="1448" t="s">
        <v>534</v>
      </c>
    </row>
    <row r="1613" spans="1:9" hidden="1" x14ac:dyDescent="0.4">
      <c r="A1613" s="434">
        <v>4</v>
      </c>
      <c r="B1613" s="1448" t="s">
        <v>1700</v>
      </c>
      <c r="C1613" s="1448" t="s">
        <v>1436</v>
      </c>
      <c r="D1613" s="434" t="s">
        <v>73</v>
      </c>
      <c r="E1613" s="1448"/>
      <c r="F1613" s="1448" t="s">
        <v>1749</v>
      </c>
      <c r="G1613" s="1449">
        <v>-200</v>
      </c>
      <c r="H1613" s="1448" t="s">
        <v>534</v>
      </c>
      <c r="I1613" s="1448" t="s">
        <v>534</v>
      </c>
    </row>
    <row r="1614" spans="1:9" hidden="1" x14ac:dyDescent="0.4">
      <c r="A1614" s="434">
        <v>4</v>
      </c>
      <c r="B1614" s="1448" t="s">
        <v>1700</v>
      </c>
      <c r="C1614" s="1448" t="s">
        <v>1436</v>
      </c>
      <c r="D1614" s="434" t="s">
        <v>76</v>
      </c>
      <c r="E1614" s="1448"/>
      <c r="F1614" s="1448" t="s">
        <v>1749</v>
      </c>
      <c r="G1614" s="1449">
        <v>0</v>
      </c>
      <c r="H1614" s="1448" t="s">
        <v>534</v>
      </c>
      <c r="I1614" s="1448" t="s">
        <v>534</v>
      </c>
    </row>
    <row r="1615" spans="1:9" hidden="1" x14ac:dyDescent="0.4">
      <c r="A1615" s="434">
        <v>4</v>
      </c>
      <c r="B1615" s="1448" t="s">
        <v>1700</v>
      </c>
      <c r="C1615" s="1448" t="s">
        <v>1436</v>
      </c>
      <c r="D1615" s="434" t="s">
        <v>80</v>
      </c>
      <c r="E1615" s="1448"/>
      <c r="F1615" s="1448" t="s">
        <v>1749</v>
      </c>
      <c r="G1615" s="1449">
        <v>0</v>
      </c>
      <c r="H1615" s="1448" t="s">
        <v>534</v>
      </c>
      <c r="I1615" s="1448" t="s">
        <v>534</v>
      </c>
    </row>
    <row r="1616" spans="1:9" hidden="1" x14ac:dyDescent="0.4">
      <c r="A1616" s="434">
        <v>4</v>
      </c>
      <c r="B1616" s="1448" t="s">
        <v>1700</v>
      </c>
      <c r="C1616" s="1448" t="s">
        <v>1436</v>
      </c>
      <c r="D1616" s="434" t="s">
        <v>82</v>
      </c>
      <c r="E1616" s="1448"/>
      <c r="F1616" s="1448" t="s">
        <v>1749</v>
      </c>
      <c r="G1616" s="1449">
        <v>100</v>
      </c>
      <c r="H1616" s="1448" t="s">
        <v>534</v>
      </c>
      <c r="I1616" s="1448" t="s">
        <v>534</v>
      </c>
    </row>
    <row r="1617" spans="1:9" hidden="1" x14ac:dyDescent="0.4">
      <c r="A1617" s="434">
        <v>4</v>
      </c>
      <c r="B1617" s="1448" t="s">
        <v>1700</v>
      </c>
      <c r="C1617" s="1448" t="s">
        <v>1436</v>
      </c>
      <c r="D1617" s="434" t="s">
        <v>84</v>
      </c>
      <c r="E1617" s="1448"/>
      <c r="F1617" s="1448" t="s">
        <v>1749</v>
      </c>
      <c r="G1617" s="1449">
        <v>623300</v>
      </c>
      <c r="H1617" s="1448" t="s">
        <v>534</v>
      </c>
      <c r="I1617" s="1448" t="s">
        <v>534</v>
      </c>
    </row>
    <row r="1618" spans="1:9" hidden="1" x14ac:dyDescent="0.4">
      <c r="A1618" s="434">
        <v>4</v>
      </c>
      <c r="B1618" s="1448" t="s">
        <v>1700</v>
      </c>
      <c r="C1618" s="1448" t="s">
        <v>1436</v>
      </c>
      <c r="D1618" s="434" t="s">
        <v>86</v>
      </c>
      <c r="E1618" s="1448"/>
      <c r="F1618" s="1448" t="s">
        <v>1749</v>
      </c>
      <c r="G1618" s="1449">
        <v>575300</v>
      </c>
      <c r="H1618" s="1448" t="s">
        <v>534</v>
      </c>
      <c r="I1618" s="1448" t="s">
        <v>534</v>
      </c>
    </row>
    <row r="1619" spans="1:9" hidden="1" x14ac:dyDescent="0.4">
      <c r="A1619" s="434">
        <v>4</v>
      </c>
      <c r="B1619" s="1448" t="s">
        <v>1700</v>
      </c>
      <c r="C1619" s="1448" t="s">
        <v>1436</v>
      </c>
      <c r="D1619" s="434" t="s">
        <v>90</v>
      </c>
      <c r="E1619" s="1448"/>
      <c r="F1619" s="1448" t="s">
        <v>1749</v>
      </c>
      <c r="G1619" s="1449">
        <v>692100</v>
      </c>
      <c r="H1619" s="1448" t="s">
        <v>534</v>
      </c>
      <c r="I1619" s="1448" t="s">
        <v>534</v>
      </c>
    </row>
    <row r="1620" spans="1:9" hidden="1" x14ac:dyDescent="0.4">
      <c r="A1620" s="434">
        <v>4</v>
      </c>
      <c r="B1620" s="1448" t="s">
        <v>1700</v>
      </c>
      <c r="C1620" s="1448" t="s">
        <v>1436</v>
      </c>
      <c r="D1620" s="434" t="s">
        <v>92</v>
      </c>
      <c r="E1620" s="1448"/>
      <c r="F1620" s="1448" t="s">
        <v>1749</v>
      </c>
      <c r="G1620" s="1449">
        <v>37300</v>
      </c>
      <c r="H1620" s="1448" t="s">
        <v>534</v>
      </c>
      <c r="I1620" s="1448" t="s">
        <v>534</v>
      </c>
    </row>
    <row r="1621" spans="1:9" hidden="1" x14ac:dyDescent="0.4">
      <c r="A1621" s="434">
        <v>4</v>
      </c>
      <c r="B1621" s="1448" t="s">
        <v>1700</v>
      </c>
      <c r="C1621" s="1448" t="s">
        <v>1436</v>
      </c>
      <c r="D1621" s="434" t="s">
        <v>93</v>
      </c>
      <c r="E1621" s="1448"/>
      <c r="F1621" s="1448" t="s">
        <v>1749</v>
      </c>
      <c r="G1621" s="1449">
        <v>112400</v>
      </c>
      <c r="H1621" s="1448" t="s">
        <v>534</v>
      </c>
      <c r="I1621" s="1448" t="s">
        <v>534</v>
      </c>
    </row>
    <row r="1622" spans="1:9" hidden="1" x14ac:dyDescent="0.4">
      <c r="A1622" s="434">
        <v>4</v>
      </c>
      <c r="B1622" s="1448" t="s">
        <v>1700</v>
      </c>
      <c r="C1622" s="1448" t="s">
        <v>1436</v>
      </c>
      <c r="D1622" s="434" t="s">
        <v>94</v>
      </c>
      <c r="E1622" s="1448"/>
      <c r="F1622" s="1448" t="s">
        <v>1749</v>
      </c>
      <c r="G1622" s="1449">
        <v>374000</v>
      </c>
      <c r="H1622" s="1448" t="s">
        <v>534</v>
      </c>
      <c r="I1622" s="1448" t="s">
        <v>534</v>
      </c>
    </row>
    <row r="1623" spans="1:9" hidden="1" x14ac:dyDescent="0.4">
      <c r="A1623" s="434">
        <v>4</v>
      </c>
      <c r="B1623" s="1448" t="s">
        <v>1700</v>
      </c>
      <c r="C1623" s="1448" t="s">
        <v>1436</v>
      </c>
      <c r="D1623" s="434" t="s">
        <v>96</v>
      </c>
      <c r="E1623" s="1448"/>
      <c r="F1623" s="1448" t="s">
        <v>1749</v>
      </c>
      <c r="G1623" s="1449">
        <v>37300</v>
      </c>
      <c r="H1623" s="1448" t="s">
        <v>534</v>
      </c>
      <c r="I1623" s="1448" t="s">
        <v>534</v>
      </c>
    </row>
    <row r="1624" spans="1:9" hidden="1" x14ac:dyDescent="0.4">
      <c r="A1624" s="434">
        <v>4</v>
      </c>
      <c r="B1624" s="1448" t="s">
        <v>1700</v>
      </c>
      <c r="C1624" s="1448" t="s">
        <v>1436</v>
      </c>
      <c r="D1624" s="434" t="s">
        <v>510</v>
      </c>
      <c r="E1624" s="1448"/>
      <c r="F1624" s="1448" t="s">
        <v>1749</v>
      </c>
      <c r="G1624" s="1449">
        <v>405500</v>
      </c>
      <c r="H1624" s="1448" t="s">
        <v>534</v>
      </c>
      <c r="I1624" s="1448" t="s">
        <v>534</v>
      </c>
    </row>
    <row r="1625" spans="1:9" hidden="1" x14ac:dyDescent="0.4">
      <c r="A1625" s="434">
        <v>4</v>
      </c>
      <c r="B1625" s="1448" t="s">
        <v>1700</v>
      </c>
      <c r="C1625" s="1448" t="s">
        <v>1436</v>
      </c>
      <c r="D1625" s="434" t="s">
        <v>100</v>
      </c>
      <c r="E1625" s="1448"/>
      <c r="F1625" s="1448" t="s">
        <v>1749</v>
      </c>
      <c r="G1625" s="1449">
        <v>224300</v>
      </c>
      <c r="H1625" s="1448" t="s">
        <v>534</v>
      </c>
      <c r="I1625" s="1448" t="s">
        <v>534</v>
      </c>
    </row>
    <row r="1626" spans="1:9" hidden="1" x14ac:dyDescent="0.4">
      <c r="A1626" s="434">
        <v>4</v>
      </c>
      <c r="B1626" s="1448" t="s">
        <v>1700</v>
      </c>
      <c r="C1626" s="1448" t="s">
        <v>1436</v>
      </c>
      <c r="D1626" s="434" t="s">
        <v>101</v>
      </c>
      <c r="E1626" s="1448"/>
      <c r="F1626" s="1448" t="s">
        <v>1749</v>
      </c>
      <c r="G1626" s="1449">
        <v>112400</v>
      </c>
      <c r="H1626" s="1448" t="s">
        <v>534</v>
      </c>
      <c r="I1626" s="1448" t="s">
        <v>534</v>
      </c>
    </row>
    <row r="1627" spans="1:9" hidden="1" x14ac:dyDescent="0.4">
      <c r="A1627" s="434">
        <v>4</v>
      </c>
      <c r="B1627" s="1448" t="s">
        <v>1702</v>
      </c>
      <c r="C1627" s="1448" t="s">
        <v>1436</v>
      </c>
      <c r="D1627" s="434" t="s">
        <v>72</v>
      </c>
      <c r="E1627" s="1448"/>
      <c r="F1627" s="1448" t="s">
        <v>1749</v>
      </c>
      <c r="G1627" s="1449">
        <v>100</v>
      </c>
      <c r="H1627" s="1448" t="s">
        <v>534</v>
      </c>
      <c r="I1627" s="1448" t="s">
        <v>534</v>
      </c>
    </row>
    <row r="1628" spans="1:9" hidden="1" x14ac:dyDescent="0.4">
      <c r="A1628" s="434">
        <v>4</v>
      </c>
      <c r="B1628" s="1448" t="s">
        <v>1702</v>
      </c>
      <c r="C1628" s="1448" t="s">
        <v>1436</v>
      </c>
      <c r="D1628" s="434" t="s">
        <v>80</v>
      </c>
      <c r="E1628" s="1448"/>
      <c r="F1628" s="1448" t="s">
        <v>1749</v>
      </c>
      <c r="G1628" s="1449">
        <v>100</v>
      </c>
      <c r="H1628" s="1448" t="s">
        <v>534</v>
      </c>
      <c r="I1628" s="1448" t="s">
        <v>534</v>
      </c>
    </row>
    <row r="1629" spans="1:9" hidden="1" x14ac:dyDescent="0.4">
      <c r="A1629" s="434">
        <v>4</v>
      </c>
      <c r="B1629" s="1448" t="s">
        <v>1702</v>
      </c>
      <c r="C1629" s="1448" t="s">
        <v>1436</v>
      </c>
      <c r="D1629" s="434" t="s">
        <v>82</v>
      </c>
      <c r="E1629" s="1448"/>
      <c r="F1629" s="1448" t="s">
        <v>1749</v>
      </c>
      <c r="G1629" s="1449">
        <v>-100</v>
      </c>
      <c r="H1629" s="1448" t="s">
        <v>534</v>
      </c>
      <c r="I1629" s="1448" t="s">
        <v>534</v>
      </c>
    </row>
    <row r="1630" spans="1:9" hidden="1" x14ac:dyDescent="0.4">
      <c r="A1630" s="434">
        <v>4</v>
      </c>
      <c r="B1630" s="1448" t="s">
        <v>1702</v>
      </c>
      <c r="C1630" s="1448" t="s">
        <v>1436</v>
      </c>
      <c r="D1630" s="434" t="s">
        <v>84</v>
      </c>
      <c r="E1630" s="1448"/>
      <c r="F1630" s="1448" t="s">
        <v>1749</v>
      </c>
      <c r="G1630" s="1449">
        <v>100</v>
      </c>
      <c r="H1630" s="1448" t="s">
        <v>534</v>
      </c>
      <c r="I1630" s="1448" t="s">
        <v>534</v>
      </c>
    </row>
    <row r="1631" spans="1:9" hidden="1" x14ac:dyDescent="0.4">
      <c r="A1631" s="434">
        <v>4</v>
      </c>
      <c r="B1631" s="1448" t="s">
        <v>1702</v>
      </c>
      <c r="C1631" s="1448" t="s">
        <v>1436</v>
      </c>
      <c r="D1631" s="434" t="s">
        <v>86</v>
      </c>
      <c r="E1631" s="1448"/>
      <c r="F1631" s="1448" t="s">
        <v>1749</v>
      </c>
      <c r="G1631" s="1449">
        <v>200</v>
      </c>
      <c r="H1631" s="1448" t="s">
        <v>534</v>
      </c>
      <c r="I1631" s="1448" t="s">
        <v>534</v>
      </c>
    </row>
    <row r="1632" spans="1:9" hidden="1" x14ac:dyDescent="0.4">
      <c r="A1632" s="434">
        <v>4</v>
      </c>
      <c r="B1632" s="1448" t="s">
        <v>1702</v>
      </c>
      <c r="C1632" s="1448" t="s">
        <v>1436</v>
      </c>
      <c r="D1632" s="434" t="s">
        <v>87</v>
      </c>
      <c r="E1632" s="1448"/>
      <c r="F1632" s="1448" t="s">
        <v>1749</v>
      </c>
      <c r="G1632" s="1449">
        <v>-200</v>
      </c>
      <c r="H1632" s="1448" t="s">
        <v>534</v>
      </c>
      <c r="I1632" s="1448" t="s">
        <v>534</v>
      </c>
    </row>
    <row r="1633" spans="1:9" hidden="1" x14ac:dyDescent="0.4">
      <c r="A1633" s="434">
        <v>4</v>
      </c>
      <c r="B1633" s="1448" t="s">
        <v>1702</v>
      </c>
      <c r="C1633" s="1448" t="s">
        <v>1436</v>
      </c>
      <c r="D1633" s="434" t="s">
        <v>90</v>
      </c>
      <c r="E1633" s="1448"/>
      <c r="F1633" s="1448" t="s">
        <v>1749</v>
      </c>
      <c r="G1633" s="1449">
        <v>-100</v>
      </c>
      <c r="H1633" s="1448" t="s">
        <v>534</v>
      </c>
      <c r="I1633" s="1448" t="s">
        <v>534</v>
      </c>
    </row>
    <row r="1634" spans="1:9" hidden="1" x14ac:dyDescent="0.4">
      <c r="A1634" s="434">
        <v>4</v>
      </c>
      <c r="B1634" s="1448" t="s">
        <v>1702</v>
      </c>
      <c r="C1634" s="1448" t="s">
        <v>1436</v>
      </c>
      <c r="D1634" s="434" t="s">
        <v>92</v>
      </c>
      <c r="E1634" s="1448"/>
      <c r="F1634" s="1448" t="s">
        <v>1749</v>
      </c>
      <c r="G1634" s="1449">
        <v>-200</v>
      </c>
      <c r="H1634" s="1448" t="s">
        <v>534</v>
      </c>
      <c r="I1634" s="1448" t="s">
        <v>534</v>
      </c>
    </row>
    <row r="1635" spans="1:9" hidden="1" x14ac:dyDescent="0.4">
      <c r="A1635" s="434">
        <v>4</v>
      </c>
      <c r="B1635" s="1448" t="s">
        <v>1702</v>
      </c>
      <c r="C1635" s="1448" t="s">
        <v>1436</v>
      </c>
      <c r="D1635" s="434" t="s">
        <v>93</v>
      </c>
      <c r="E1635" s="1448"/>
      <c r="F1635" s="1448" t="s">
        <v>1749</v>
      </c>
      <c r="G1635" s="1449">
        <v>-200</v>
      </c>
      <c r="H1635" s="1448" t="s">
        <v>534</v>
      </c>
      <c r="I1635" s="1448" t="s">
        <v>534</v>
      </c>
    </row>
    <row r="1636" spans="1:9" hidden="1" x14ac:dyDescent="0.4">
      <c r="A1636" s="434">
        <v>4</v>
      </c>
      <c r="B1636" s="1448" t="s">
        <v>1702</v>
      </c>
      <c r="C1636" s="1448" t="s">
        <v>1436</v>
      </c>
      <c r="D1636" s="434" t="s">
        <v>94</v>
      </c>
      <c r="E1636" s="1448"/>
      <c r="F1636" s="1448" t="s">
        <v>1749</v>
      </c>
      <c r="G1636" s="1449">
        <v>-200</v>
      </c>
      <c r="H1636" s="1448" t="s">
        <v>534</v>
      </c>
      <c r="I1636" s="1448" t="s">
        <v>534</v>
      </c>
    </row>
    <row r="1637" spans="1:9" hidden="1" x14ac:dyDescent="0.4">
      <c r="A1637" s="434">
        <v>4</v>
      </c>
      <c r="B1637" s="1448" t="s">
        <v>1702</v>
      </c>
      <c r="C1637" s="1448" t="s">
        <v>1436</v>
      </c>
      <c r="D1637" s="434" t="s">
        <v>96</v>
      </c>
      <c r="E1637" s="1448"/>
      <c r="F1637" s="1448" t="s">
        <v>1749</v>
      </c>
      <c r="G1637" s="1449">
        <v>-200</v>
      </c>
      <c r="H1637" s="1448" t="s">
        <v>534</v>
      </c>
      <c r="I1637" s="1448" t="s">
        <v>534</v>
      </c>
    </row>
    <row r="1638" spans="1:9" hidden="1" x14ac:dyDescent="0.4">
      <c r="A1638" s="434">
        <v>4</v>
      </c>
      <c r="B1638" s="1448" t="s">
        <v>1702</v>
      </c>
      <c r="C1638" s="1448" t="s">
        <v>1436</v>
      </c>
      <c r="D1638" s="434" t="s">
        <v>510</v>
      </c>
      <c r="E1638" s="1448"/>
      <c r="F1638" s="1448" t="s">
        <v>1749</v>
      </c>
      <c r="G1638" s="1449">
        <v>-100</v>
      </c>
      <c r="H1638" s="1448" t="s">
        <v>534</v>
      </c>
      <c r="I1638" s="1448" t="s">
        <v>534</v>
      </c>
    </row>
    <row r="1639" spans="1:9" hidden="1" x14ac:dyDescent="0.4">
      <c r="A1639" s="434">
        <v>4</v>
      </c>
      <c r="B1639" s="1448" t="s">
        <v>1702</v>
      </c>
      <c r="C1639" s="1448" t="s">
        <v>1436</v>
      </c>
      <c r="D1639" s="434" t="s">
        <v>100</v>
      </c>
      <c r="E1639" s="1448"/>
      <c r="F1639" s="1448" t="s">
        <v>1749</v>
      </c>
      <c r="G1639" s="1449">
        <v>200</v>
      </c>
      <c r="H1639" s="1448" t="s">
        <v>534</v>
      </c>
      <c r="I1639" s="1448" t="s">
        <v>534</v>
      </c>
    </row>
    <row r="1640" spans="1:9" hidden="1" x14ac:dyDescent="0.4">
      <c r="A1640" s="434">
        <v>4</v>
      </c>
      <c r="B1640" s="1448" t="s">
        <v>1702</v>
      </c>
      <c r="C1640" s="1448" t="s">
        <v>1436</v>
      </c>
      <c r="D1640" s="434" t="s">
        <v>101</v>
      </c>
      <c r="E1640" s="1448"/>
      <c r="F1640" s="1448" t="s">
        <v>1749</v>
      </c>
      <c r="G1640" s="1449">
        <v>-200</v>
      </c>
      <c r="H1640" s="1448" t="s">
        <v>534</v>
      </c>
      <c r="I1640" s="1448" t="s">
        <v>534</v>
      </c>
    </row>
    <row r="1641" spans="1:9" hidden="1" x14ac:dyDescent="0.4">
      <c r="A1641" s="434">
        <v>4</v>
      </c>
      <c r="B1641" s="1448" t="s">
        <v>1703</v>
      </c>
      <c r="C1641" s="1448" t="s">
        <v>1436</v>
      </c>
      <c r="D1641" s="434" t="s">
        <v>72</v>
      </c>
      <c r="E1641" s="1448"/>
      <c r="F1641" s="1448" t="s">
        <v>1749</v>
      </c>
      <c r="G1641" s="1449">
        <v>-100</v>
      </c>
      <c r="H1641" s="1448" t="s">
        <v>534</v>
      </c>
      <c r="I1641" s="1448" t="s">
        <v>534</v>
      </c>
    </row>
    <row r="1642" spans="1:9" hidden="1" x14ac:dyDescent="0.4">
      <c r="A1642" s="434">
        <v>4</v>
      </c>
      <c r="B1642" s="1448" t="s">
        <v>1703</v>
      </c>
      <c r="C1642" s="1448" t="s">
        <v>1436</v>
      </c>
      <c r="D1642" s="434" t="s">
        <v>80</v>
      </c>
      <c r="E1642" s="1448"/>
      <c r="F1642" s="1448" t="s">
        <v>1749</v>
      </c>
      <c r="G1642" s="1449">
        <v>-100</v>
      </c>
      <c r="H1642" s="1448" t="s">
        <v>534</v>
      </c>
      <c r="I1642" s="1448" t="s">
        <v>534</v>
      </c>
    </row>
    <row r="1643" spans="1:9" hidden="1" x14ac:dyDescent="0.4">
      <c r="A1643" s="434">
        <v>4</v>
      </c>
      <c r="B1643" s="1448" t="s">
        <v>1703</v>
      </c>
      <c r="C1643" s="1448" t="s">
        <v>1436</v>
      </c>
      <c r="D1643" s="434" t="s">
        <v>82</v>
      </c>
      <c r="E1643" s="1448"/>
      <c r="F1643" s="1448" t="s">
        <v>1749</v>
      </c>
      <c r="G1643" s="1449">
        <v>-200</v>
      </c>
      <c r="H1643" s="1448" t="s">
        <v>534</v>
      </c>
      <c r="I1643" s="1448" t="s">
        <v>534</v>
      </c>
    </row>
    <row r="1644" spans="1:9" hidden="1" x14ac:dyDescent="0.4">
      <c r="A1644" s="434">
        <v>4</v>
      </c>
      <c r="B1644" s="1448" t="s">
        <v>1703</v>
      </c>
      <c r="C1644" s="1448" t="s">
        <v>1436</v>
      </c>
      <c r="D1644" s="434" t="s">
        <v>84</v>
      </c>
      <c r="E1644" s="1448"/>
      <c r="F1644" s="1448" t="s">
        <v>1749</v>
      </c>
      <c r="G1644" s="1449">
        <v>-200</v>
      </c>
      <c r="H1644" s="1448" t="s">
        <v>534</v>
      </c>
      <c r="I1644" s="1448" t="s">
        <v>534</v>
      </c>
    </row>
    <row r="1645" spans="1:9" hidden="1" x14ac:dyDescent="0.4">
      <c r="A1645" s="434">
        <v>4</v>
      </c>
      <c r="B1645" s="1448" t="s">
        <v>1703</v>
      </c>
      <c r="C1645" s="1448" t="s">
        <v>1436</v>
      </c>
      <c r="D1645" s="434" t="s">
        <v>86</v>
      </c>
      <c r="E1645" s="1448"/>
      <c r="F1645" s="1448" t="s">
        <v>1749</v>
      </c>
      <c r="G1645" s="1449">
        <v>200</v>
      </c>
      <c r="H1645" s="1448" t="s">
        <v>534</v>
      </c>
      <c r="I1645" s="1448" t="s">
        <v>534</v>
      </c>
    </row>
    <row r="1646" spans="1:9" hidden="1" x14ac:dyDescent="0.4">
      <c r="A1646" s="434">
        <v>4</v>
      </c>
      <c r="B1646" s="1448" t="s">
        <v>1703</v>
      </c>
      <c r="C1646" s="1448" t="s">
        <v>1436</v>
      </c>
      <c r="D1646" s="434" t="s">
        <v>87</v>
      </c>
      <c r="E1646" s="1448"/>
      <c r="F1646" s="1448" t="s">
        <v>1749</v>
      </c>
      <c r="G1646" s="1449">
        <v>0</v>
      </c>
      <c r="H1646" s="1448" t="s">
        <v>534</v>
      </c>
      <c r="I1646" s="1448" t="s">
        <v>534</v>
      </c>
    </row>
    <row r="1647" spans="1:9" hidden="1" x14ac:dyDescent="0.4">
      <c r="A1647" s="434">
        <v>4</v>
      </c>
      <c r="B1647" s="1448" t="s">
        <v>1703</v>
      </c>
      <c r="C1647" s="1448" t="s">
        <v>1436</v>
      </c>
      <c r="D1647" s="434" t="s">
        <v>90</v>
      </c>
      <c r="E1647" s="1448"/>
      <c r="F1647" s="1448" t="s">
        <v>1749</v>
      </c>
      <c r="G1647" s="1449">
        <v>-200</v>
      </c>
      <c r="H1647" s="1448" t="s">
        <v>534</v>
      </c>
      <c r="I1647" s="1448" t="s">
        <v>534</v>
      </c>
    </row>
    <row r="1648" spans="1:9" hidden="1" x14ac:dyDescent="0.4">
      <c r="A1648" s="434">
        <v>4</v>
      </c>
      <c r="B1648" s="1448" t="s">
        <v>1703</v>
      </c>
      <c r="C1648" s="1448" t="s">
        <v>1436</v>
      </c>
      <c r="D1648" s="434" t="s">
        <v>92</v>
      </c>
      <c r="E1648" s="1448"/>
      <c r="F1648" s="1448" t="s">
        <v>1749</v>
      </c>
      <c r="G1648" s="1449">
        <v>200</v>
      </c>
      <c r="H1648" s="1448" t="s">
        <v>534</v>
      </c>
      <c r="I1648" s="1448" t="s">
        <v>534</v>
      </c>
    </row>
    <row r="1649" spans="1:9" hidden="1" x14ac:dyDescent="0.4">
      <c r="A1649" s="434">
        <v>4</v>
      </c>
      <c r="B1649" s="1448" t="s">
        <v>1703</v>
      </c>
      <c r="C1649" s="1448" t="s">
        <v>1436</v>
      </c>
      <c r="D1649" s="434" t="s">
        <v>93</v>
      </c>
      <c r="E1649" s="1448"/>
      <c r="F1649" s="1448" t="s">
        <v>1749</v>
      </c>
      <c r="G1649" s="1449">
        <v>0</v>
      </c>
      <c r="H1649" s="1448" t="s">
        <v>534</v>
      </c>
      <c r="I1649" s="1448" t="s">
        <v>534</v>
      </c>
    </row>
    <row r="1650" spans="1:9" hidden="1" x14ac:dyDescent="0.4">
      <c r="A1650" s="434">
        <v>4</v>
      </c>
      <c r="B1650" s="1448" t="s">
        <v>1703</v>
      </c>
      <c r="C1650" s="1448" t="s">
        <v>1436</v>
      </c>
      <c r="D1650" s="434" t="s">
        <v>94</v>
      </c>
      <c r="E1650" s="1448"/>
      <c r="F1650" s="1448" t="s">
        <v>1749</v>
      </c>
      <c r="G1650" s="1449">
        <v>-200</v>
      </c>
      <c r="H1650" s="1448" t="s">
        <v>534</v>
      </c>
      <c r="I1650" s="1448" t="s">
        <v>534</v>
      </c>
    </row>
    <row r="1651" spans="1:9" hidden="1" x14ac:dyDescent="0.4">
      <c r="A1651" s="434">
        <v>4</v>
      </c>
      <c r="B1651" s="1448" t="s">
        <v>1703</v>
      </c>
      <c r="C1651" s="1448" t="s">
        <v>1436</v>
      </c>
      <c r="D1651" s="434" t="s">
        <v>96</v>
      </c>
      <c r="E1651" s="1448"/>
      <c r="F1651" s="1448" t="s">
        <v>1749</v>
      </c>
      <c r="G1651" s="1449">
        <v>200</v>
      </c>
      <c r="H1651" s="1448" t="s">
        <v>534</v>
      </c>
      <c r="I1651" s="1448" t="s">
        <v>534</v>
      </c>
    </row>
    <row r="1652" spans="1:9" hidden="1" x14ac:dyDescent="0.4">
      <c r="A1652" s="434">
        <v>4</v>
      </c>
      <c r="B1652" s="1448" t="s">
        <v>1703</v>
      </c>
      <c r="C1652" s="1448" t="s">
        <v>1436</v>
      </c>
      <c r="D1652" s="434" t="s">
        <v>510</v>
      </c>
      <c r="E1652" s="1448"/>
      <c r="F1652" s="1448" t="s">
        <v>1749</v>
      </c>
      <c r="G1652" s="1449">
        <v>200</v>
      </c>
      <c r="H1652" s="1448" t="s">
        <v>534</v>
      </c>
      <c r="I1652" s="1448" t="s">
        <v>534</v>
      </c>
    </row>
    <row r="1653" spans="1:9" hidden="1" x14ac:dyDescent="0.4">
      <c r="A1653" s="434">
        <v>4</v>
      </c>
      <c r="B1653" s="1448" t="s">
        <v>1703</v>
      </c>
      <c r="C1653" s="1448" t="s">
        <v>1436</v>
      </c>
      <c r="D1653" s="434" t="s">
        <v>100</v>
      </c>
      <c r="E1653" s="1448"/>
      <c r="F1653" s="1448" t="s">
        <v>1749</v>
      </c>
      <c r="G1653" s="1449">
        <v>100</v>
      </c>
      <c r="H1653" s="1448" t="s">
        <v>534</v>
      </c>
      <c r="I1653" s="1448" t="s">
        <v>534</v>
      </c>
    </row>
    <row r="1654" spans="1:9" hidden="1" x14ac:dyDescent="0.4">
      <c r="A1654" s="434">
        <v>4</v>
      </c>
      <c r="B1654" s="1448" t="s">
        <v>1703</v>
      </c>
      <c r="C1654" s="1448" t="s">
        <v>1436</v>
      </c>
      <c r="D1654" s="434" t="s">
        <v>101</v>
      </c>
      <c r="E1654" s="1448"/>
      <c r="F1654" s="1448" t="s">
        <v>1749</v>
      </c>
      <c r="G1654" s="1449">
        <v>0</v>
      </c>
      <c r="H1654" s="1448" t="s">
        <v>534</v>
      </c>
      <c r="I1654" s="1448" t="s">
        <v>534</v>
      </c>
    </row>
    <row r="1655" spans="1:9" hidden="1" x14ac:dyDescent="0.4">
      <c r="A1655" s="434">
        <v>4</v>
      </c>
      <c r="B1655" s="1448" t="s">
        <v>1704</v>
      </c>
      <c r="C1655" s="1448" t="s">
        <v>1436</v>
      </c>
      <c r="D1655" s="434" t="s">
        <v>72</v>
      </c>
      <c r="E1655" s="1448"/>
      <c r="F1655" s="1448" t="s">
        <v>1749</v>
      </c>
      <c r="G1655" s="1449">
        <v>200</v>
      </c>
      <c r="H1655" s="1448" t="s">
        <v>534</v>
      </c>
      <c r="I1655" s="1448" t="s">
        <v>534</v>
      </c>
    </row>
    <row r="1656" spans="1:9" hidden="1" x14ac:dyDescent="0.4">
      <c r="A1656" s="434">
        <v>4</v>
      </c>
      <c r="B1656" s="1448" t="s">
        <v>1704</v>
      </c>
      <c r="C1656" s="1448" t="s">
        <v>1436</v>
      </c>
      <c r="D1656" s="434" t="s">
        <v>80</v>
      </c>
      <c r="E1656" s="1448"/>
      <c r="F1656" s="1448" t="s">
        <v>1749</v>
      </c>
      <c r="G1656" s="1449">
        <v>200</v>
      </c>
      <c r="H1656" s="1448" t="s">
        <v>534</v>
      </c>
      <c r="I1656" s="1448" t="s">
        <v>534</v>
      </c>
    </row>
    <row r="1657" spans="1:9" hidden="1" x14ac:dyDescent="0.4">
      <c r="A1657" s="434">
        <v>4</v>
      </c>
      <c r="B1657" s="1448" t="s">
        <v>1704</v>
      </c>
      <c r="C1657" s="1448" t="s">
        <v>1436</v>
      </c>
      <c r="D1657" s="434" t="s">
        <v>82</v>
      </c>
      <c r="E1657" s="1448"/>
      <c r="F1657" s="1448" t="s">
        <v>1749</v>
      </c>
      <c r="G1657" s="1449">
        <v>-200</v>
      </c>
      <c r="H1657" s="1448" t="s">
        <v>534</v>
      </c>
      <c r="I1657" s="1448" t="s">
        <v>534</v>
      </c>
    </row>
    <row r="1658" spans="1:9" hidden="1" x14ac:dyDescent="0.4">
      <c r="A1658" s="434">
        <v>4</v>
      </c>
      <c r="B1658" s="1448" t="s">
        <v>1704</v>
      </c>
      <c r="C1658" s="1448" t="s">
        <v>1436</v>
      </c>
      <c r="D1658" s="434" t="s">
        <v>84</v>
      </c>
      <c r="E1658" s="1448"/>
      <c r="F1658" s="1448" t="s">
        <v>1749</v>
      </c>
      <c r="G1658" s="1449">
        <v>-200</v>
      </c>
      <c r="H1658" s="1448" t="s">
        <v>534</v>
      </c>
      <c r="I1658" s="1448" t="s">
        <v>534</v>
      </c>
    </row>
    <row r="1659" spans="1:9" hidden="1" x14ac:dyDescent="0.4">
      <c r="A1659" s="434">
        <v>4</v>
      </c>
      <c r="B1659" s="1448" t="s">
        <v>1704</v>
      </c>
      <c r="C1659" s="1448" t="s">
        <v>1436</v>
      </c>
      <c r="D1659" s="434" t="s">
        <v>86</v>
      </c>
      <c r="E1659" s="1448"/>
      <c r="F1659" s="1448" t="s">
        <v>1749</v>
      </c>
      <c r="G1659" s="1449">
        <v>0</v>
      </c>
      <c r="H1659" s="1448" t="s">
        <v>534</v>
      </c>
      <c r="I1659" s="1448" t="s">
        <v>534</v>
      </c>
    </row>
    <row r="1660" spans="1:9" hidden="1" x14ac:dyDescent="0.4">
      <c r="A1660" s="434">
        <v>4</v>
      </c>
      <c r="B1660" s="1448" t="s">
        <v>1704</v>
      </c>
      <c r="C1660" s="1448" t="s">
        <v>1436</v>
      </c>
      <c r="D1660" s="434" t="s">
        <v>90</v>
      </c>
      <c r="E1660" s="1448"/>
      <c r="F1660" s="1448" t="s">
        <v>1749</v>
      </c>
      <c r="G1660" s="1449">
        <v>-200</v>
      </c>
      <c r="H1660" s="1448" t="s">
        <v>534</v>
      </c>
      <c r="I1660" s="1448" t="s">
        <v>534</v>
      </c>
    </row>
    <row r="1661" spans="1:9" hidden="1" x14ac:dyDescent="0.4">
      <c r="A1661" s="434">
        <v>4</v>
      </c>
      <c r="B1661" s="1448" t="s">
        <v>1704</v>
      </c>
      <c r="C1661" s="1448" t="s">
        <v>1436</v>
      </c>
      <c r="D1661" s="434" t="s">
        <v>92</v>
      </c>
      <c r="E1661" s="1448"/>
      <c r="F1661" s="1448" t="s">
        <v>1749</v>
      </c>
      <c r="G1661" s="1449">
        <v>0</v>
      </c>
      <c r="H1661" s="1448" t="s">
        <v>534</v>
      </c>
      <c r="I1661" s="1448" t="s">
        <v>534</v>
      </c>
    </row>
    <row r="1662" spans="1:9" hidden="1" x14ac:dyDescent="0.4">
      <c r="A1662" s="434">
        <v>4</v>
      </c>
      <c r="B1662" s="1448" t="s">
        <v>1704</v>
      </c>
      <c r="C1662" s="1448" t="s">
        <v>1436</v>
      </c>
      <c r="D1662" s="434" t="s">
        <v>93</v>
      </c>
      <c r="E1662" s="1448"/>
      <c r="F1662" s="1448" t="s">
        <v>1749</v>
      </c>
      <c r="G1662" s="1449">
        <v>0</v>
      </c>
      <c r="H1662" s="1448" t="s">
        <v>534</v>
      </c>
      <c r="I1662" s="1448" t="s">
        <v>534</v>
      </c>
    </row>
    <row r="1663" spans="1:9" hidden="1" x14ac:dyDescent="0.4">
      <c r="A1663" s="434">
        <v>4</v>
      </c>
      <c r="B1663" s="1448" t="s">
        <v>1704</v>
      </c>
      <c r="C1663" s="1448" t="s">
        <v>1436</v>
      </c>
      <c r="D1663" s="434" t="s">
        <v>94</v>
      </c>
      <c r="E1663" s="1448"/>
      <c r="F1663" s="1448" t="s">
        <v>1749</v>
      </c>
      <c r="G1663" s="1449">
        <v>0</v>
      </c>
      <c r="H1663" s="1448" t="s">
        <v>534</v>
      </c>
      <c r="I1663" s="1448" t="s">
        <v>534</v>
      </c>
    </row>
    <row r="1664" spans="1:9" hidden="1" x14ac:dyDescent="0.4">
      <c r="A1664" s="434">
        <v>4</v>
      </c>
      <c r="B1664" s="1448" t="s">
        <v>1704</v>
      </c>
      <c r="C1664" s="1448" t="s">
        <v>1436</v>
      </c>
      <c r="D1664" s="434" t="s">
        <v>96</v>
      </c>
      <c r="E1664" s="1448"/>
      <c r="F1664" s="1448" t="s">
        <v>1749</v>
      </c>
      <c r="G1664" s="1449">
        <v>0</v>
      </c>
      <c r="H1664" s="1448" t="s">
        <v>534</v>
      </c>
      <c r="I1664" s="1448" t="s">
        <v>534</v>
      </c>
    </row>
    <row r="1665" spans="1:9" hidden="1" x14ac:dyDescent="0.4">
      <c r="A1665" s="434">
        <v>4</v>
      </c>
      <c r="B1665" s="1448" t="s">
        <v>1704</v>
      </c>
      <c r="C1665" s="1448" t="s">
        <v>1436</v>
      </c>
      <c r="D1665" s="434" t="s">
        <v>510</v>
      </c>
      <c r="E1665" s="1448"/>
      <c r="F1665" s="1448" t="s">
        <v>1749</v>
      </c>
      <c r="G1665" s="1449">
        <v>200</v>
      </c>
      <c r="H1665" s="1448" t="s">
        <v>534</v>
      </c>
      <c r="I1665" s="1448" t="s">
        <v>534</v>
      </c>
    </row>
    <row r="1666" spans="1:9" hidden="1" x14ac:dyDescent="0.4">
      <c r="A1666" s="434">
        <v>4</v>
      </c>
      <c r="B1666" s="1448" t="s">
        <v>1704</v>
      </c>
      <c r="C1666" s="1448" t="s">
        <v>1436</v>
      </c>
      <c r="D1666" s="434" t="s">
        <v>100</v>
      </c>
      <c r="E1666" s="1448"/>
      <c r="F1666" s="1448" t="s">
        <v>1749</v>
      </c>
      <c r="G1666" s="1449">
        <v>0</v>
      </c>
      <c r="H1666" s="1448" t="s">
        <v>534</v>
      </c>
      <c r="I1666" s="1448" t="s">
        <v>534</v>
      </c>
    </row>
    <row r="1667" spans="1:9" hidden="1" x14ac:dyDescent="0.4">
      <c r="A1667" s="434">
        <v>4</v>
      </c>
      <c r="B1667" s="1448" t="s">
        <v>1704</v>
      </c>
      <c r="C1667" s="1448" t="s">
        <v>1436</v>
      </c>
      <c r="D1667" s="434" t="s">
        <v>101</v>
      </c>
      <c r="E1667" s="1448"/>
      <c r="F1667" s="1448" t="s">
        <v>1749</v>
      </c>
      <c r="G1667" s="1449">
        <v>0</v>
      </c>
      <c r="H1667" s="1448" t="s">
        <v>534</v>
      </c>
      <c r="I1667" s="1448" t="s">
        <v>534</v>
      </c>
    </row>
    <row r="1668" spans="1:9" hidden="1" x14ac:dyDescent="0.4">
      <c r="A1668" s="434">
        <v>4</v>
      </c>
      <c r="B1668" s="1448" t="s">
        <v>1705</v>
      </c>
      <c r="C1668" s="1448" t="s">
        <v>1436</v>
      </c>
      <c r="D1668" s="434" t="s">
        <v>72</v>
      </c>
      <c r="E1668" s="1448"/>
      <c r="F1668" s="1448" t="s">
        <v>1749</v>
      </c>
      <c r="G1668" s="1449">
        <v>200</v>
      </c>
      <c r="H1668" s="1448" t="s">
        <v>534</v>
      </c>
      <c r="I1668" s="1448" t="s">
        <v>534</v>
      </c>
    </row>
    <row r="1669" spans="1:9" hidden="1" x14ac:dyDescent="0.4">
      <c r="A1669" s="434">
        <v>4</v>
      </c>
      <c r="B1669" s="1448" t="s">
        <v>1705</v>
      </c>
      <c r="C1669" s="1448" t="s">
        <v>1436</v>
      </c>
      <c r="D1669" s="434" t="s">
        <v>80</v>
      </c>
      <c r="E1669" s="1448"/>
      <c r="F1669" s="1448" t="s">
        <v>1749</v>
      </c>
      <c r="G1669" s="1449">
        <v>100</v>
      </c>
      <c r="H1669" s="1448" t="s">
        <v>534</v>
      </c>
      <c r="I1669" s="1448" t="s">
        <v>534</v>
      </c>
    </row>
    <row r="1670" spans="1:9" hidden="1" x14ac:dyDescent="0.4">
      <c r="A1670" s="434">
        <v>4</v>
      </c>
      <c r="B1670" s="1448" t="s">
        <v>1705</v>
      </c>
      <c r="C1670" s="1448" t="s">
        <v>1436</v>
      </c>
      <c r="D1670" s="434" t="s">
        <v>82</v>
      </c>
      <c r="E1670" s="1448"/>
      <c r="F1670" s="1448" t="s">
        <v>1749</v>
      </c>
      <c r="G1670" s="1449">
        <v>0</v>
      </c>
      <c r="H1670" s="1448" t="s">
        <v>534</v>
      </c>
      <c r="I1670" s="1448" t="s">
        <v>534</v>
      </c>
    </row>
    <row r="1671" spans="1:9" hidden="1" x14ac:dyDescent="0.4">
      <c r="A1671" s="434">
        <v>4</v>
      </c>
      <c r="B1671" s="1448" t="s">
        <v>1705</v>
      </c>
      <c r="C1671" s="1448" t="s">
        <v>1436</v>
      </c>
      <c r="D1671" s="434" t="s">
        <v>84</v>
      </c>
      <c r="E1671" s="1448"/>
      <c r="F1671" s="1448" t="s">
        <v>1749</v>
      </c>
      <c r="G1671" s="1449">
        <v>-200</v>
      </c>
      <c r="H1671" s="1448" t="s">
        <v>534</v>
      </c>
      <c r="I1671" s="1448" t="s">
        <v>534</v>
      </c>
    </row>
    <row r="1672" spans="1:9" hidden="1" x14ac:dyDescent="0.4">
      <c r="A1672" s="434">
        <v>4</v>
      </c>
      <c r="B1672" s="1448" t="s">
        <v>1705</v>
      </c>
      <c r="C1672" s="1448" t="s">
        <v>1436</v>
      </c>
      <c r="D1672" s="434" t="s">
        <v>86</v>
      </c>
      <c r="E1672" s="1448"/>
      <c r="F1672" s="1448" t="s">
        <v>1749</v>
      </c>
      <c r="G1672" s="1449">
        <v>-200</v>
      </c>
      <c r="H1672" s="1448" t="s">
        <v>534</v>
      </c>
      <c r="I1672" s="1448" t="s">
        <v>534</v>
      </c>
    </row>
    <row r="1673" spans="1:9" hidden="1" x14ac:dyDescent="0.4">
      <c r="A1673" s="434">
        <v>4</v>
      </c>
      <c r="B1673" s="1448" t="s">
        <v>1705</v>
      </c>
      <c r="C1673" s="1448" t="s">
        <v>1436</v>
      </c>
      <c r="D1673" s="434" t="s">
        <v>87</v>
      </c>
      <c r="E1673" s="1448"/>
      <c r="F1673" s="1448" t="s">
        <v>1749</v>
      </c>
      <c r="G1673" s="1449">
        <v>-200</v>
      </c>
      <c r="H1673" s="1448" t="s">
        <v>534</v>
      </c>
      <c r="I1673" s="1448" t="s">
        <v>534</v>
      </c>
    </row>
    <row r="1674" spans="1:9" hidden="1" x14ac:dyDescent="0.4">
      <c r="A1674" s="434">
        <v>4</v>
      </c>
      <c r="B1674" s="1448" t="s">
        <v>1705</v>
      </c>
      <c r="C1674" s="1448" t="s">
        <v>1436</v>
      </c>
      <c r="D1674" s="434" t="s">
        <v>90</v>
      </c>
      <c r="E1674" s="1448"/>
      <c r="F1674" s="1448" t="s">
        <v>1749</v>
      </c>
      <c r="G1674" s="1449">
        <v>-100</v>
      </c>
      <c r="H1674" s="1448" t="s">
        <v>534</v>
      </c>
      <c r="I1674" s="1448" t="s">
        <v>534</v>
      </c>
    </row>
    <row r="1675" spans="1:9" hidden="1" x14ac:dyDescent="0.4">
      <c r="A1675" s="434">
        <v>4</v>
      </c>
      <c r="B1675" s="1448" t="s">
        <v>1705</v>
      </c>
      <c r="C1675" s="1448" t="s">
        <v>1436</v>
      </c>
      <c r="D1675" s="434" t="s">
        <v>92</v>
      </c>
      <c r="E1675" s="1448"/>
      <c r="F1675" s="1448" t="s">
        <v>1749</v>
      </c>
      <c r="G1675" s="1449">
        <v>0</v>
      </c>
      <c r="H1675" s="1448" t="s">
        <v>534</v>
      </c>
      <c r="I1675" s="1448" t="s">
        <v>534</v>
      </c>
    </row>
    <row r="1676" spans="1:9" hidden="1" x14ac:dyDescent="0.4">
      <c r="A1676" s="434">
        <v>4</v>
      </c>
      <c r="B1676" s="1448" t="s">
        <v>1705</v>
      </c>
      <c r="C1676" s="1448" t="s">
        <v>1436</v>
      </c>
      <c r="D1676" s="434" t="s">
        <v>93</v>
      </c>
      <c r="E1676" s="1448"/>
      <c r="F1676" s="1448" t="s">
        <v>1749</v>
      </c>
      <c r="G1676" s="1449">
        <v>0</v>
      </c>
      <c r="H1676" s="1448" t="s">
        <v>534</v>
      </c>
      <c r="I1676" s="1448" t="s">
        <v>534</v>
      </c>
    </row>
    <row r="1677" spans="1:9" hidden="1" x14ac:dyDescent="0.4">
      <c r="A1677" s="434">
        <v>4</v>
      </c>
      <c r="B1677" s="1448" t="s">
        <v>1705</v>
      </c>
      <c r="C1677" s="1448" t="s">
        <v>1436</v>
      </c>
      <c r="D1677" s="434" t="s">
        <v>94</v>
      </c>
      <c r="E1677" s="1448"/>
      <c r="F1677" s="1448" t="s">
        <v>1749</v>
      </c>
      <c r="G1677" s="1449">
        <v>100</v>
      </c>
      <c r="H1677" s="1448" t="s">
        <v>534</v>
      </c>
      <c r="I1677" s="1448" t="s">
        <v>534</v>
      </c>
    </row>
    <row r="1678" spans="1:9" hidden="1" x14ac:dyDescent="0.4">
      <c r="A1678" s="434">
        <v>4</v>
      </c>
      <c r="B1678" s="1448" t="s">
        <v>1705</v>
      </c>
      <c r="C1678" s="1448" t="s">
        <v>1436</v>
      </c>
      <c r="D1678" s="434" t="s">
        <v>96</v>
      </c>
      <c r="E1678" s="1448"/>
      <c r="F1678" s="1448" t="s">
        <v>1749</v>
      </c>
      <c r="G1678" s="1449">
        <v>0</v>
      </c>
      <c r="H1678" s="1448" t="s">
        <v>534</v>
      </c>
      <c r="I1678" s="1448" t="s">
        <v>534</v>
      </c>
    </row>
    <row r="1679" spans="1:9" hidden="1" x14ac:dyDescent="0.4">
      <c r="A1679" s="434">
        <v>4</v>
      </c>
      <c r="B1679" s="1448" t="s">
        <v>1705</v>
      </c>
      <c r="C1679" s="1448" t="s">
        <v>1436</v>
      </c>
      <c r="D1679" s="434" t="s">
        <v>510</v>
      </c>
      <c r="E1679" s="1448"/>
      <c r="F1679" s="1448" t="s">
        <v>1749</v>
      </c>
      <c r="G1679" s="1449">
        <v>0</v>
      </c>
      <c r="H1679" s="1448" t="s">
        <v>534</v>
      </c>
      <c r="I1679" s="1448" t="s">
        <v>534</v>
      </c>
    </row>
    <row r="1680" spans="1:9" hidden="1" x14ac:dyDescent="0.4">
      <c r="A1680" s="434">
        <v>4</v>
      </c>
      <c r="B1680" s="1448" t="s">
        <v>1705</v>
      </c>
      <c r="C1680" s="1448" t="s">
        <v>1436</v>
      </c>
      <c r="D1680" s="434" t="s">
        <v>100</v>
      </c>
      <c r="E1680" s="1448"/>
      <c r="F1680" s="1448" t="s">
        <v>1749</v>
      </c>
      <c r="G1680" s="1449">
        <v>0</v>
      </c>
      <c r="H1680" s="1448" t="s">
        <v>534</v>
      </c>
      <c r="I1680" s="1448" t="s">
        <v>534</v>
      </c>
    </row>
    <row r="1681" spans="1:9" hidden="1" x14ac:dyDescent="0.4">
      <c r="A1681" s="434">
        <v>4</v>
      </c>
      <c r="B1681" s="1448" t="s">
        <v>1705</v>
      </c>
      <c r="C1681" s="1448" t="s">
        <v>1436</v>
      </c>
      <c r="D1681" s="434" t="s">
        <v>101</v>
      </c>
      <c r="E1681" s="1448"/>
      <c r="F1681" s="1448" t="s">
        <v>1749</v>
      </c>
      <c r="G1681" s="1449">
        <v>0</v>
      </c>
      <c r="H1681" s="1448" t="s">
        <v>534</v>
      </c>
      <c r="I1681" s="1448" t="s">
        <v>534</v>
      </c>
    </row>
  </sheetData>
  <autoFilter ref="A1:I1681" xr:uid="{94A713B4-4789-43B9-90F6-B1488B98B6E0}">
    <filterColumn colId="4">
      <filters>
        <filter val="1.02.04.01 (ICE) Servicio de telecomunicaciones"/>
      </filters>
    </filterColumn>
  </autoFilter>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9"/>
  <dimension ref="A2:J214"/>
  <sheetViews>
    <sheetView showGridLines="0" zoomScale="90" zoomScaleNormal="90" workbookViewId="0">
      <selection activeCell="E62" sqref="E62"/>
    </sheetView>
  </sheetViews>
  <sheetFormatPr baseColWidth="10" defaultColWidth="11.44140625" defaultRowHeight="16.2" outlineLevelRow="2" x14ac:dyDescent="0.4"/>
  <cols>
    <col min="1" max="1" width="75.5546875" style="362" customWidth="1"/>
    <col min="2" max="2" width="18.33203125" style="384" bestFit="1" customWidth="1"/>
    <col min="3" max="3" width="8" style="1340" bestFit="1" customWidth="1"/>
    <col min="4" max="4" width="18.33203125" style="384" customWidth="1"/>
    <col min="5" max="5" width="8.33203125" style="1340" customWidth="1"/>
    <col min="6" max="6" width="11.109375" style="1341" customWidth="1"/>
    <col min="7" max="7" width="18.33203125" style="384" bestFit="1" customWidth="1"/>
    <col min="8" max="8" width="7.88671875" style="1340" bestFit="1" customWidth="1"/>
    <col min="9" max="9" width="10" style="1340" customWidth="1"/>
    <col min="10" max="10" width="14.33203125" style="362" bestFit="1" customWidth="1"/>
    <col min="11" max="16384" width="11.44140625" style="362"/>
  </cols>
  <sheetData>
    <row r="2" spans="1:10" x14ac:dyDescent="0.4">
      <c r="A2" s="1504" t="s">
        <v>0</v>
      </c>
      <c r="B2" s="1505"/>
      <c r="C2" s="1504"/>
      <c r="D2" s="1505"/>
      <c r="E2" s="1504"/>
      <c r="F2" s="1504"/>
      <c r="G2" s="1505"/>
      <c r="H2" s="1504"/>
      <c r="I2" s="1504"/>
    </row>
    <row r="3" spans="1:10" ht="16.8" thickBot="1" x14ac:dyDescent="0.45">
      <c r="A3" s="1514"/>
      <c r="B3" s="1515"/>
      <c r="C3" s="1514"/>
      <c r="D3" s="1515"/>
      <c r="E3" s="1514"/>
      <c r="F3" s="1514"/>
      <c r="G3" s="1515"/>
      <c r="H3" s="1514"/>
      <c r="I3" s="1514"/>
    </row>
    <row r="4" spans="1:10" ht="9" customHeight="1" x14ac:dyDescent="0.4">
      <c r="A4" s="1278"/>
      <c r="B4" s="741"/>
      <c r="C4" s="1279"/>
      <c r="D4" s="741"/>
      <c r="E4" s="1279"/>
      <c r="F4" s="1280"/>
      <c r="G4" s="741"/>
      <c r="H4" s="1279"/>
      <c r="I4" s="1281"/>
    </row>
    <row r="5" spans="1:10" x14ac:dyDescent="0.4">
      <c r="A5" s="1506" t="s">
        <v>39</v>
      </c>
      <c r="B5" s="1507"/>
      <c r="C5" s="1508"/>
      <c r="D5" s="1507"/>
      <c r="E5" s="1508"/>
      <c r="F5" s="1508"/>
      <c r="G5" s="1507"/>
      <c r="H5" s="1508"/>
      <c r="I5" s="1509"/>
    </row>
    <row r="6" spans="1:10" x14ac:dyDescent="0.4">
      <c r="A6" s="1510" t="s">
        <v>40</v>
      </c>
      <c r="B6" s="1511"/>
      <c r="C6" s="1512"/>
      <c r="D6" s="1511"/>
      <c r="E6" s="1512"/>
      <c r="F6" s="1512"/>
      <c r="G6" s="1511"/>
      <c r="H6" s="1512"/>
      <c r="I6" s="1513"/>
    </row>
    <row r="7" spans="1:10" ht="9" customHeight="1" thickBot="1" x14ac:dyDescent="0.45">
      <c r="A7" s="439"/>
      <c r="B7" s="712"/>
      <c r="C7" s="1137"/>
      <c r="D7" s="712"/>
      <c r="E7" s="1137"/>
      <c r="F7" s="1143"/>
      <c r="G7" s="712"/>
      <c r="H7" s="1137"/>
      <c r="I7" s="1282"/>
    </row>
    <row r="8" spans="1:10" ht="32.4" x14ac:dyDescent="0.4">
      <c r="A8" s="1283"/>
      <c r="B8" s="695" t="s">
        <v>6</v>
      </c>
      <c r="C8" s="1284"/>
      <c r="D8" s="1285" t="s">
        <v>1287</v>
      </c>
      <c r="E8" s="1284"/>
      <c r="F8" s="1284" t="s">
        <v>5</v>
      </c>
      <c r="G8" s="695" t="s">
        <v>38</v>
      </c>
      <c r="H8" s="1284"/>
      <c r="I8" s="1286" t="s">
        <v>5</v>
      </c>
    </row>
    <row r="9" spans="1:10" ht="32.4" x14ac:dyDescent="0.4">
      <c r="A9" s="698" t="s">
        <v>47</v>
      </c>
      <c r="B9" s="699" t="s">
        <v>1277</v>
      </c>
      <c r="C9" s="1287" t="s">
        <v>5</v>
      </c>
      <c r="D9" s="1288" t="s">
        <v>1288</v>
      </c>
      <c r="E9" s="1287" t="s">
        <v>5</v>
      </c>
      <c r="F9" s="1287" t="s">
        <v>11</v>
      </c>
      <c r="G9" s="699" t="s">
        <v>1285</v>
      </c>
      <c r="H9" s="1287" t="s">
        <v>5</v>
      </c>
      <c r="I9" s="1289" t="s">
        <v>11</v>
      </c>
    </row>
    <row r="10" spans="1:10" ht="16.8" thickBot="1" x14ac:dyDescent="0.45">
      <c r="A10" s="1290"/>
      <c r="B10" s="1250" t="s">
        <v>7</v>
      </c>
      <c r="C10" s="1291"/>
      <c r="D10" s="1250" t="s">
        <v>9</v>
      </c>
      <c r="E10" s="1291"/>
      <c r="F10" s="1292" t="s">
        <v>8</v>
      </c>
      <c r="G10" s="1250" t="s">
        <v>26</v>
      </c>
      <c r="H10" s="1291"/>
      <c r="I10" s="1293" t="s">
        <v>12</v>
      </c>
    </row>
    <row r="11" spans="1:10" ht="10.5" customHeight="1" x14ac:dyDescent="0.4">
      <c r="A11" s="1294"/>
      <c r="B11" s="1295"/>
      <c r="C11" s="1296"/>
      <c r="D11" s="1295"/>
      <c r="E11" s="1296"/>
      <c r="F11" s="1296"/>
      <c r="G11" s="1295"/>
      <c r="H11" s="1296"/>
      <c r="I11" s="1297"/>
    </row>
    <row r="12" spans="1:10" ht="15.9" customHeight="1" x14ac:dyDescent="0.4">
      <c r="A12" s="1298" t="s">
        <v>53</v>
      </c>
      <c r="B12" s="1299">
        <f>+B13+B24</f>
        <v>8328012780</v>
      </c>
      <c r="C12" s="1300">
        <f>+B12/$B$211</f>
        <v>0.55512539375156522</v>
      </c>
      <c r="D12" s="1299">
        <f>+D13+D24</f>
        <v>6279365852</v>
      </c>
      <c r="E12" s="1300">
        <f>+D12/$D$211</f>
        <v>0.61359978175801577</v>
      </c>
      <c r="F12" s="1300">
        <f>+C12-E12</f>
        <v>-5.8474388006450551E-2</v>
      </c>
      <c r="G12" s="1299">
        <f>+G13+G24</f>
        <v>6388646375.6600008</v>
      </c>
      <c r="H12" s="1300">
        <f>+G12/$G$211</f>
        <v>0.40008497938213033</v>
      </c>
      <c r="I12" s="1301">
        <f>+E12-H12</f>
        <v>0.21351480237588544</v>
      </c>
      <c r="J12" s="383"/>
    </row>
    <row r="13" spans="1:10" ht="15.9" hidden="1" customHeight="1" outlineLevel="1" x14ac:dyDescent="0.4">
      <c r="A13" s="708"/>
      <c r="B13" s="709">
        <f>SUM(B15:B23)+B34+B33</f>
        <v>6686690780</v>
      </c>
      <c r="C13" s="1157">
        <f>+B13/B211</f>
        <v>0.44571879873393533</v>
      </c>
      <c r="D13" s="709">
        <f>SUM(D15:D23)+D34+D33</f>
        <v>4993284352</v>
      </c>
      <c r="E13" s="1147"/>
      <c r="F13" s="1147"/>
      <c r="G13" s="709">
        <f>SUM(G15:G23)+G34+G33</f>
        <v>5139804781.420001</v>
      </c>
      <c r="H13" s="1147"/>
      <c r="I13" s="1302"/>
    </row>
    <row r="14" spans="1:10" ht="9.9" customHeight="1" collapsed="1" x14ac:dyDescent="0.4">
      <c r="A14" s="465"/>
      <c r="B14" s="712"/>
      <c r="C14" s="1137"/>
      <c r="D14" s="712"/>
      <c r="E14" s="1137"/>
      <c r="F14" s="1143"/>
      <c r="G14" s="712"/>
      <c r="H14" s="1143"/>
      <c r="I14" s="1303"/>
    </row>
    <row r="15" spans="1:10" ht="15.9" customHeight="1" x14ac:dyDescent="0.4">
      <c r="A15" s="1304" t="s">
        <v>1186</v>
      </c>
      <c r="B15" s="712">
        <f>+EGRESOS!B17</f>
        <v>3267571000</v>
      </c>
      <c r="C15" s="1137">
        <f t="shared" ref="C15:C33" si="0">+B15/$B$211</f>
        <v>0.21780845994165199</v>
      </c>
      <c r="D15" s="712">
        <v>2445933600</v>
      </c>
      <c r="E15" s="1137">
        <f t="shared" ref="E15:E33" si="1">+D15/$D$211</f>
        <v>0.23900889970865133</v>
      </c>
      <c r="F15" s="1137">
        <f>+C15-E15</f>
        <v>-2.1200439766999341E-2</v>
      </c>
      <c r="G15" s="712">
        <f>SUMIF('Reporte Ejec 2022'!$B:$B,A15,'Reporte Ejec 2022'!$J:$J)</f>
        <v>1018898201.83</v>
      </c>
      <c r="H15" s="1137">
        <f t="shared" ref="H15:H33" si="2">+G15/$G$211</f>
        <v>6.3807861963487061E-2</v>
      </c>
      <c r="I15" s="1282">
        <f>+E15-H15</f>
        <v>0.17520103774516427</v>
      </c>
      <c r="J15" s="383"/>
    </row>
    <row r="16" spans="1:10" s="425" customFormat="1" ht="15.9" customHeight="1" x14ac:dyDescent="0.4">
      <c r="A16" s="1304" t="s">
        <v>442</v>
      </c>
      <c r="B16" s="712">
        <f>+EGRESOS!B18</f>
        <v>1023149000</v>
      </c>
      <c r="C16" s="1137">
        <f t="shared" si="0"/>
        <v>6.8200662810644755E-2</v>
      </c>
      <c r="D16" s="712">
        <v>389979750</v>
      </c>
      <c r="E16" s="1137">
        <f t="shared" si="1"/>
        <v>3.8107588430100849E-2</v>
      </c>
      <c r="F16" s="1137">
        <f t="shared" ref="F16:F33" si="3">+C16-E16</f>
        <v>3.0093074380543906E-2</v>
      </c>
      <c r="G16" s="712">
        <f>SUMIF('Reporte Ejec 2022'!$B:$B,A16,'Reporte Ejec 2022'!$J:$J)</f>
        <v>1915239687.6600001</v>
      </c>
      <c r="H16" s="1137">
        <f t="shared" si="2"/>
        <v>0.11994068631950661</v>
      </c>
      <c r="I16" s="1282">
        <f t="shared" ref="I16:I33" si="4">+E16-H16</f>
        <v>-8.1833097889405765E-2</v>
      </c>
    </row>
    <row r="17" spans="1:9" s="425" customFormat="1" ht="15.9" customHeight="1" x14ac:dyDescent="0.4">
      <c r="A17" s="1304" t="s">
        <v>374</v>
      </c>
      <c r="B17" s="712">
        <f>+EGRESOS!B19</f>
        <v>5000000</v>
      </c>
      <c r="C17" s="1137">
        <f t="shared" si="0"/>
        <v>3.3328802945927112E-4</v>
      </c>
      <c r="D17" s="712">
        <v>4500000</v>
      </c>
      <c r="E17" s="1137">
        <f t="shared" si="1"/>
        <v>4.3972577533949857E-4</v>
      </c>
      <c r="F17" s="1137">
        <f t="shared" si="3"/>
        <v>-1.0643774588022745E-4</v>
      </c>
      <c r="G17" s="712">
        <f>SUMIF('Reporte Ejec 2022'!$B:$B,A17,'Reporte Ejec 2022'!$J:$J)</f>
        <v>1052100</v>
      </c>
      <c r="H17" s="1137">
        <f t="shared" si="2"/>
        <v>6.5887103786434539E-5</v>
      </c>
      <c r="I17" s="1282">
        <f t="shared" si="4"/>
        <v>3.7383867155306406E-4</v>
      </c>
    </row>
    <row r="18" spans="1:9" ht="15.9" customHeight="1" x14ac:dyDescent="0.4">
      <c r="A18" s="1304" t="s">
        <v>17</v>
      </c>
      <c r="B18" s="712">
        <f>+EGRESOS!B20</f>
        <v>13685280</v>
      </c>
      <c r="C18" s="1137">
        <f t="shared" si="0"/>
        <v>9.1222800075967472E-4</v>
      </c>
      <c r="D18" s="712">
        <v>12316752</v>
      </c>
      <c r="E18" s="1137">
        <f t="shared" si="1"/>
        <v>1.2035540717476266E-3</v>
      </c>
      <c r="F18" s="1137">
        <f t="shared" si="3"/>
        <v>-2.9132607098795191E-4</v>
      </c>
      <c r="G18" s="712">
        <f>SUMIF('Reporte Ejec 2022'!$B:$B,A18,'Reporte Ejec 2022'!$J:$J)</f>
        <v>10834183.800000001</v>
      </c>
      <c r="H18" s="1137">
        <f t="shared" si="2"/>
        <v>6.7848397725682713E-4</v>
      </c>
      <c r="I18" s="1282">
        <f t="shared" si="4"/>
        <v>5.250700944907995E-4</v>
      </c>
    </row>
    <row r="19" spans="1:9" ht="15.9" customHeight="1" x14ac:dyDescent="0.4">
      <c r="A19" s="1304" t="s">
        <v>18</v>
      </c>
      <c r="B19" s="712">
        <f>+EGRESOS!B21</f>
        <v>450204500</v>
      </c>
      <c r="C19" s="1137">
        <f t="shared" si="0"/>
        <v>3.0009554131739283E-2</v>
      </c>
      <c r="D19" s="712">
        <v>323982000</v>
      </c>
      <c r="E19" s="1137">
        <f t="shared" si="1"/>
        <v>3.1658496921342538E-2</v>
      </c>
      <c r="F19" s="1137">
        <f t="shared" si="3"/>
        <v>-1.6489427896032548E-3</v>
      </c>
      <c r="G19" s="712">
        <f>SUMIF('Reporte Ejec 2022'!$B:$B,A19,'Reporte Ejec 2022'!$J:$J)</f>
        <v>389911956.88</v>
      </c>
      <c r="H19" s="1137">
        <f t="shared" si="2"/>
        <v>2.4417992178048045E-2</v>
      </c>
      <c r="I19" s="1282">
        <f t="shared" si="4"/>
        <v>7.2405047432944937E-3</v>
      </c>
    </row>
    <row r="20" spans="1:9" ht="15.9" customHeight="1" x14ac:dyDescent="0.4">
      <c r="A20" s="1304" t="s">
        <v>568</v>
      </c>
      <c r="B20" s="712">
        <f>+EGRESOS!B22</f>
        <v>1000000</v>
      </c>
      <c r="C20" s="1137">
        <f t="shared" si="0"/>
        <v>6.6657605891854221E-5</v>
      </c>
      <c r="D20" s="712">
        <v>900000</v>
      </c>
      <c r="E20" s="1137">
        <f t="shared" si="1"/>
        <v>8.7945155067899723E-5</v>
      </c>
      <c r="F20" s="1137">
        <f t="shared" si="3"/>
        <v>-2.1287549176045501E-5</v>
      </c>
      <c r="G20" s="712">
        <f>SUMIF('Reporte Ejec 2022'!$B:$B,A20,'Reporte Ejec 2022'!$J:$J)</f>
        <v>145966.65</v>
      </c>
      <c r="H20" s="1137">
        <f t="shared" si="2"/>
        <v>9.1410700673967913E-6</v>
      </c>
      <c r="I20" s="1282">
        <f t="shared" si="4"/>
        <v>7.8804085000502933E-5</v>
      </c>
    </row>
    <row r="21" spans="1:9" ht="15.9" customHeight="1" x14ac:dyDescent="0.4">
      <c r="A21" s="1304" t="s">
        <v>35</v>
      </c>
      <c r="B21" s="712">
        <f>+EGRESOS!B23</f>
        <v>170431500</v>
      </c>
      <c r="C21" s="1137">
        <f t="shared" si="0"/>
        <v>1.1360555758557553E-2</v>
      </c>
      <c r="D21" s="712">
        <v>134379900</v>
      </c>
      <c r="E21" s="1137">
        <f t="shared" si="1"/>
        <v>1.3131179048343175E-2</v>
      </c>
      <c r="F21" s="1137">
        <f t="shared" si="3"/>
        <v>-1.7706232897856215E-3</v>
      </c>
      <c r="G21" s="712">
        <f>SUMIF('Reporte Ejec 2022'!$B:$B,A21,'Reporte Ejec 2022'!$J:$J)</f>
        <v>174228891.71000001</v>
      </c>
      <c r="H21" s="1137">
        <f t="shared" si="2"/>
        <v>1.0910975259663754E-2</v>
      </c>
      <c r="I21" s="1282">
        <f t="shared" si="4"/>
        <v>2.2202037886794208E-3</v>
      </c>
    </row>
    <row r="22" spans="1:9" s="425" customFormat="1" ht="15.9" customHeight="1" x14ac:dyDescent="0.4">
      <c r="A22" s="1304" t="s">
        <v>465</v>
      </c>
      <c r="B22" s="712">
        <f>+EGRESOS!B24</f>
        <v>1242809000</v>
      </c>
      <c r="C22" s="1137">
        <f t="shared" si="0"/>
        <v>8.2842672520849453E-2</v>
      </c>
      <c r="D22" s="712">
        <v>1302268150</v>
      </c>
      <c r="E22" s="1137">
        <f t="shared" si="1"/>
        <v>0.12725352710192989</v>
      </c>
      <c r="F22" s="1137">
        <f t="shared" si="3"/>
        <v>-4.4410854581080433E-2</v>
      </c>
      <c r="G22" s="712">
        <f>SUMIF('Reporte Ejec 2022'!$B:$B,A22,'Reporte Ejec 2022'!$J:$J)</f>
        <v>1233749865.77</v>
      </c>
      <c r="H22" s="1137">
        <f t="shared" si="2"/>
        <v>7.7262812900377981E-2</v>
      </c>
      <c r="I22" s="1282">
        <f t="shared" si="4"/>
        <v>4.9990714201551906E-2</v>
      </c>
    </row>
    <row r="23" spans="1:9" ht="15.9" customHeight="1" x14ac:dyDescent="0.4">
      <c r="A23" s="1304" t="s">
        <v>14</v>
      </c>
      <c r="B23" s="712">
        <f>+EGRESOS!B25</f>
        <v>512840500</v>
      </c>
      <c r="C23" s="1137">
        <f t="shared" si="0"/>
        <v>3.4184719934381463E-2</v>
      </c>
      <c r="D23" s="712">
        <v>379024200</v>
      </c>
      <c r="E23" s="1137">
        <f t="shared" si="1"/>
        <v>3.7037046714985151E-2</v>
      </c>
      <c r="F23" s="1137">
        <f t="shared" si="3"/>
        <v>-2.8523267806036881E-3</v>
      </c>
      <c r="G23" s="712">
        <f>SUMIF('Reporte Ejec 2022'!$B:$B,A23,'Reporte Ejec 2022'!$J:$J)</f>
        <v>395263927.12</v>
      </c>
      <c r="H23" s="1137">
        <f t="shared" si="2"/>
        <v>2.4753155963491244E-2</v>
      </c>
      <c r="I23" s="1282">
        <f t="shared" si="4"/>
        <v>1.2283890751493907E-2</v>
      </c>
    </row>
    <row r="24" spans="1:9" ht="10.199999999999999" hidden="1" customHeight="1" x14ac:dyDescent="0.4">
      <c r="A24" s="1305" t="s">
        <v>56</v>
      </c>
      <c r="B24" s="712">
        <f>+EGRESOS!B26</f>
        <v>1641322000</v>
      </c>
      <c r="C24" s="1137">
        <f t="shared" si="0"/>
        <v>0.10940659501762996</v>
      </c>
      <c r="D24" s="1306">
        <f>SUM(D25:D32)</f>
        <v>1286081500</v>
      </c>
      <c r="E24" s="1137">
        <f t="shared" si="1"/>
        <v>0.12567181883050785</v>
      </c>
      <c r="F24" s="1137">
        <f t="shared" si="3"/>
        <v>-1.6265223812877885E-2</v>
      </c>
      <c r="G24" s="1306">
        <f>SUM(G25:G32)</f>
        <v>1248841594.24</v>
      </c>
      <c r="H24" s="1307">
        <f t="shared" si="2"/>
        <v>7.8207922946970113E-2</v>
      </c>
      <c r="I24" s="1308">
        <f t="shared" si="4"/>
        <v>4.7463895883537735E-2</v>
      </c>
    </row>
    <row r="25" spans="1:9" ht="15.9" customHeight="1" outlineLevel="1" x14ac:dyDescent="0.4">
      <c r="A25" s="1304" t="s">
        <v>1191</v>
      </c>
      <c r="B25" s="712">
        <f>+EGRESOS!B27</f>
        <v>569261500</v>
      </c>
      <c r="C25" s="1137">
        <f t="shared" si="0"/>
        <v>3.7945608716405774E-2</v>
      </c>
      <c r="D25" s="712">
        <v>448680250</v>
      </c>
      <c r="E25" s="1137">
        <f t="shared" si="1"/>
        <v>4.3843615735726683E-2</v>
      </c>
      <c r="F25" s="1137">
        <f t="shared" si="3"/>
        <v>-5.8980070193209097E-3</v>
      </c>
      <c r="G25" s="712">
        <f>SUMIF('Reporte Ejec 2022'!$B:$B,A25,'Reporte Ejec 2022'!$J:$J)</f>
        <v>435070350.92000002</v>
      </c>
      <c r="H25" s="1137">
        <f t="shared" si="2"/>
        <v>2.7246008331400569E-2</v>
      </c>
      <c r="I25" s="1282">
        <f t="shared" si="4"/>
        <v>1.6597607404326115E-2</v>
      </c>
    </row>
    <row r="26" spans="1:9" ht="15.9" customHeight="1" x14ac:dyDescent="0.4">
      <c r="A26" s="1304" t="s">
        <v>447</v>
      </c>
      <c r="B26" s="712">
        <f>+EGRESOS!B28</f>
        <v>30771500</v>
      </c>
      <c r="C26" s="1137">
        <f t="shared" si="0"/>
        <v>2.0511545197011921E-3</v>
      </c>
      <c r="D26" s="712">
        <v>24303850</v>
      </c>
      <c r="E26" s="1137">
        <f t="shared" si="1"/>
        <v>2.3748953966633052E-3</v>
      </c>
      <c r="F26" s="1137">
        <f t="shared" si="3"/>
        <v>-3.2374087696211305E-4</v>
      </c>
      <c r="G26" s="712">
        <f>SUMIF('Reporte Ejec 2022'!$B:$B,A26,'Reporte Ejec 2022'!$J:$J)</f>
        <v>23583689.210000001</v>
      </c>
      <c r="H26" s="1137">
        <f t="shared" si="2"/>
        <v>1.4769137711684122E-3</v>
      </c>
      <c r="I26" s="1282">
        <f t="shared" si="4"/>
        <v>8.9798162549489303E-4</v>
      </c>
    </row>
    <row r="27" spans="1:9" ht="15.9" customHeight="1" x14ac:dyDescent="0.4">
      <c r="A27" s="1304" t="s">
        <v>448</v>
      </c>
      <c r="B27" s="712">
        <f>+EGRESOS!B29</f>
        <v>92313000</v>
      </c>
      <c r="C27" s="1137">
        <f t="shared" si="0"/>
        <v>6.1533635726947391E-3</v>
      </c>
      <c r="D27" s="712">
        <v>72846950</v>
      </c>
      <c r="E27" s="1137">
        <f t="shared" si="1"/>
        <v>7.1183736821928195E-3</v>
      </c>
      <c r="F27" s="1137">
        <f t="shared" si="3"/>
        <v>-9.6501010949808039E-4</v>
      </c>
      <c r="G27" s="712">
        <f>SUMIF('Reporte Ejec 2022'!$B:$B,A27,'Reporte Ejec 2022'!$J:$J)</f>
        <v>70751069.810000002</v>
      </c>
      <c r="H27" s="1137">
        <f t="shared" si="2"/>
        <v>4.4307414500263714E-3</v>
      </c>
      <c r="I27" s="1282">
        <f t="shared" si="4"/>
        <v>2.6876322321664481E-3</v>
      </c>
    </row>
    <row r="28" spans="1:9" ht="15.9" customHeight="1" x14ac:dyDescent="0.4">
      <c r="A28" s="1304" t="s">
        <v>609</v>
      </c>
      <c r="B28" s="712">
        <f>+EGRESOS!B30</f>
        <v>307708500</v>
      </c>
      <c r="C28" s="1137">
        <f t="shared" si="0"/>
        <v>2.0511111922573624E-2</v>
      </c>
      <c r="D28" s="712">
        <v>242604350</v>
      </c>
      <c r="E28" s="1137">
        <f t="shared" si="1"/>
        <v>2.3706530200996685E-2</v>
      </c>
      <c r="F28" s="1137">
        <f t="shared" si="3"/>
        <v>-3.1954182784230609E-3</v>
      </c>
      <c r="G28" s="712">
        <f>SUMIF('Reporte Ejec 2022'!$B:$B,A28,'Reporte Ejec 2022'!$J:$J)</f>
        <v>235517494.71000001</v>
      </c>
      <c r="H28" s="1137">
        <f t="shared" si="2"/>
        <v>1.4749135650108183E-2</v>
      </c>
      <c r="I28" s="1282">
        <f t="shared" si="4"/>
        <v>8.9573945508885019E-3</v>
      </c>
    </row>
    <row r="29" spans="1:9" ht="15.9" customHeight="1" x14ac:dyDescent="0.4">
      <c r="A29" s="1304" t="s">
        <v>1192</v>
      </c>
      <c r="B29" s="712">
        <f>+EGRESOS!B31</f>
        <v>30771500</v>
      </c>
      <c r="C29" s="1137">
        <f t="shared" si="0"/>
        <v>2.0511545197011921E-3</v>
      </c>
      <c r="D29" s="712">
        <v>24303850</v>
      </c>
      <c r="E29" s="1137">
        <f t="shared" si="1"/>
        <v>2.3748953966633052E-3</v>
      </c>
      <c r="F29" s="1137">
        <f t="shared" si="3"/>
        <v>-3.2374087696211305E-4</v>
      </c>
      <c r="G29" s="712">
        <f>SUMIF('Reporte Ejec 2022'!$B:$B,A29,'Reporte Ejec 2022'!$J:$J)</f>
        <v>23583739.899999999</v>
      </c>
      <c r="H29" s="1137">
        <f t="shared" si="2"/>
        <v>1.4769169455979253E-3</v>
      </c>
      <c r="I29" s="1282">
        <f t="shared" si="4"/>
        <v>8.9797845106537994E-4</v>
      </c>
    </row>
    <row r="30" spans="1:9" ht="15.9" customHeight="1" x14ac:dyDescent="0.4">
      <c r="A30" s="1304" t="s">
        <v>1194</v>
      </c>
      <c r="B30" s="712">
        <f>+EGRESOS!B32</f>
        <v>333557000</v>
      </c>
      <c r="C30" s="1137">
        <f t="shared" si="0"/>
        <v>2.2234111048469219E-2</v>
      </c>
      <c r="D30" s="712">
        <v>254799500</v>
      </c>
      <c r="E30" s="1137">
        <f t="shared" si="1"/>
        <v>2.489820170969257E-2</v>
      </c>
      <c r="F30" s="1137">
        <f t="shared" si="3"/>
        <v>-2.6640906612233513E-3</v>
      </c>
      <c r="G30" s="712">
        <f>SUMIF('Reporte Ejec 2022'!$B:$B,A30,'Reporte Ejec 2022'!$J:$J)</f>
        <v>248081856.47999999</v>
      </c>
      <c r="H30" s="1137">
        <f t="shared" si="2"/>
        <v>1.5535970939482099E-2</v>
      </c>
      <c r="I30" s="1282">
        <f t="shared" si="4"/>
        <v>9.362230770210471E-3</v>
      </c>
    </row>
    <row r="31" spans="1:9" ht="15.9" customHeight="1" x14ac:dyDescent="0.4">
      <c r="A31" s="1304" t="s">
        <v>1195</v>
      </c>
      <c r="B31" s="712">
        <f>+EGRESOS!B33</f>
        <v>184626000</v>
      </c>
      <c r="C31" s="1137">
        <f t="shared" si="0"/>
        <v>1.2306727145389478E-2</v>
      </c>
      <c r="D31" s="712">
        <v>145695800</v>
      </c>
      <c r="E31" s="1137">
        <f t="shared" si="1"/>
        <v>1.4236933026379671E-2</v>
      </c>
      <c r="F31" s="1137">
        <f t="shared" si="3"/>
        <v>-1.9302058809901931E-3</v>
      </c>
      <c r="G31" s="712">
        <f>SUMIF('Reporte Ejec 2022'!$B:$B,A31,'Reporte Ejec 2022'!$J:$J)</f>
        <v>141502370.56999999</v>
      </c>
      <c r="H31" s="1137">
        <f t="shared" si="2"/>
        <v>8.8614973631518969E-3</v>
      </c>
      <c r="I31" s="1282">
        <f>+E31-H31</f>
        <v>5.3754356632277744E-3</v>
      </c>
    </row>
    <row r="32" spans="1:9" ht="15.9" customHeight="1" x14ac:dyDescent="0.4">
      <c r="A32" s="1304" t="s">
        <v>543</v>
      </c>
      <c r="B32" s="712">
        <f>+EGRESOS!B34</f>
        <v>92313000</v>
      </c>
      <c r="C32" s="1137">
        <f t="shared" si="0"/>
        <v>6.1533635726947391E-3</v>
      </c>
      <c r="D32" s="712">
        <v>72846950</v>
      </c>
      <c r="E32" s="1137">
        <f t="shared" si="1"/>
        <v>7.1183736821928195E-3</v>
      </c>
      <c r="F32" s="1137">
        <f t="shared" si="3"/>
        <v>-9.6501010949808039E-4</v>
      </c>
      <c r="G32" s="712">
        <f>SUMIF('Reporte Ejec 2022'!$B:$B,A32,'Reporte Ejec 2022'!$J:$J)</f>
        <v>70751022.640000001</v>
      </c>
      <c r="H32" s="1137">
        <f t="shared" si="2"/>
        <v>4.4307384960346544E-3</v>
      </c>
      <c r="I32" s="1282">
        <f t="shared" si="4"/>
        <v>2.6876351861581651E-3</v>
      </c>
    </row>
    <row r="33" spans="1:10" ht="15.9" hidden="1" customHeight="1" x14ac:dyDescent="0.4">
      <c r="A33" s="1304" t="s">
        <v>375</v>
      </c>
      <c r="B33" s="712">
        <v>0</v>
      </c>
      <c r="C33" s="1137">
        <f t="shared" si="0"/>
        <v>0</v>
      </c>
      <c r="D33" s="712">
        <v>0</v>
      </c>
      <c r="E33" s="1137">
        <f t="shared" si="1"/>
        <v>0</v>
      </c>
      <c r="F33" s="1137">
        <f t="shared" si="3"/>
        <v>0</v>
      </c>
      <c r="G33" s="712">
        <f>+[2]Sheet1!$I$51</f>
        <v>480000</v>
      </c>
      <c r="H33" s="1137">
        <f t="shared" si="2"/>
        <v>3.0059699474848947E-5</v>
      </c>
      <c r="I33" s="1282">
        <f t="shared" si="4"/>
        <v>-3.0059699474848947E-5</v>
      </c>
    </row>
    <row r="34" spans="1:10" ht="15.9" hidden="1" customHeight="1" x14ac:dyDescent="0.4">
      <c r="A34" s="1304"/>
      <c r="B34" s="712"/>
      <c r="C34" s="1137"/>
      <c r="D34" s="412"/>
      <c r="E34" s="1137"/>
      <c r="F34" s="1137"/>
      <c r="G34" s="412"/>
      <c r="H34" s="1137"/>
      <c r="I34" s="1282"/>
    </row>
    <row r="35" spans="1:10" ht="9.9" customHeight="1" x14ac:dyDescent="0.4">
      <c r="A35" s="439"/>
      <c r="B35" s="712"/>
      <c r="C35" s="1137"/>
      <c r="D35" s="712"/>
      <c r="E35" s="1137"/>
      <c r="F35" s="1143"/>
      <c r="G35" s="712"/>
      <c r="H35" s="1143"/>
      <c r="I35" s="1303"/>
    </row>
    <row r="36" spans="1:10" ht="15.9" customHeight="1" x14ac:dyDescent="0.4">
      <c r="A36" s="1298" t="s">
        <v>54</v>
      </c>
      <c r="B36" s="1299">
        <f>+B38+B45+B53+B62+B73+B80+B84+B90+B106+B101</f>
        <v>2754673408</v>
      </c>
      <c r="C36" s="1300">
        <f>+B36/$B$211</f>
        <v>0.18361993439123495</v>
      </c>
      <c r="D36" s="1299">
        <f>+D38+D45+D53+D62+D73+D80+D84+D90+D106+D101</f>
        <v>2344287940</v>
      </c>
      <c r="E36" s="1300">
        <f>+D36/$D$211</f>
        <v>0.22907640711900801</v>
      </c>
      <c r="F36" s="1300">
        <f>+C36-E36</f>
        <v>-4.5456472727773062E-2</v>
      </c>
      <c r="G36" s="1299">
        <f>+G38+G45+G53+G62+G73+G80+G84+G90+G106+G101</f>
        <v>7082753521.4200001</v>
      </c>
      <c r="H36" s="1300">
        <f>+G36/$G$211</f>
        <v>0.44355300480898607</v>
      </c>
      <c r="I36" s="1301">
        <f>+E36-H36</f>
        <v>-0.21447659768997807</v>
      </c>
      <c r="J36" s="384"/>
    </row>
    <row r="37" spans="1:10" ht="9.9" customHeight="1" outlineLevel="1" x14ac:dyDescent="0.4">
      <c r="A37" s="465"/>
      <c r="B37" s="710"/>
      <c r="C37" s="1137"/>
      <c r="D37" s="726"/>
      <c r="E37" s="1143"/>
      <c r="F37" s="376"/>
      <c r="G37" s="726"/>
      <c r="H37" s="376"/>
      <c r="I37" s="1282"/>
    </row>
    <row r="38" spans="1:10" ht="15.9" customHeight="1" outlineLevel="1" x14ac:dyDescent="0.4">
      <c r="A38" s="718" t="s">
        <v>105</v>
      </c>
      <c r="B38" s="719">
        <f>SUM(B40:B43)</f>
        <v>451464500</v>
      </c>
      <c r="C38" s="1150">
        <f>+B38/$B$211</f>
        <v>3.009354271516302E-2</v>
      </c>
      <c r="D38" s="719">
        <f>SUM(D40:D43)</f>
        <v>373625000</v>
      </c>
      <c r="E38" s="1309">
        <f>+D38/$D$211</f>
        <v>3.6509453958048922E-2</v>
      </c>
      <c r="F38" s="1136">
        <f>+C38-E38</f>
        <v>-6.4159112428859022E-3</v>
      </c>
      <c r="G38" s="719">
        <f>SUM(G40:G43)</f>
        <v>535862016.96999997</v>
      </c>
      <c r="H38" s="1150">
        <f>+G38/$G$211</f>
        <v>3.3558023312717927E-2</v>
      </c>
      <c r="I38" s="443">
        <f>+E38-H38</f>
        <v>2.9514306453309949E-3</v>
      </c>
    </row>
    <row r="39" spans="1:10" ht="9.9" customHeight="1" outlineLevel="1" x14ac:dyDescent="0.4">
      <c r="A39" s="447"/>
      <c r="B39" s="717"/>
      <c r="C39" s="1137"/>
      <c r="D39" s="726"/>
      <c r="E39" s="1137"/>
      <c r="F39" s="1310"/>
      <c r="G39" s="726"/>
      <c r="H39" s="1310"/>
      <c r="I39" s="1282"/>
    </row>
    <row r="40" spans="1:10" ht="15.9" customHeight="1" outlineLevel="1" x14ac:dyDescent="0.4">
      <c r="A40" s="674" t="s">
        <v>621</v>
      </c>
      <c r="B40" s="712">
        <f>SUMIF('PRESUPUESTO 2024'!$B:$B,A40,'PRESUPUESTO 2024'!BE:BE)</f>
        <v>237584500</v>
      </c>
      <c r="C40" s="1137">
        <f>+B40/$B$211</f>
        <v>1.5836813967013239E-2</v>
      </c>
      <c r="D40" s="712">
        <v>209700000</v>
      </c>
      <c r="E40" s="1137">
        <f>+D40/$D$211</f>
        <v>2.0491221130820636E-2</v>
      </c>
      <c r="F40" s="1137">
        <f>+C40-E40</f>
        <v>-4.6544071638073975E-3</v>
      </c>
      <c r="G40" s="712">
        <f>SUMIF('Reporte Ejec 2022'!$B:$B,A40,'Reporte Ejec 2022'!$J:$J)</f>
        <v>336914156.14999998</v>
      </c>
      <c r="H40" s="1137">
        <f>+G40/$G$211</f>
        <v>2.1099038088940272E-2</v>
      </c>
      <c r="I40" s="1282">
        <f>+E40-H40</f>
        <v>-6.0781695811963632E-4</v>
      </c>
    </row>
    <row r="41" spans="1:10" ht="15.9" customHeight="1" outlineLevel="1" x14ac:dyDescent="0.4">
      <c r="A41" s="674" t="s">
        <v>109</v>
      </c>
      <c r="B41" s="712">
        <f>SUMIF('PRESUPUESTO 2024'!$B:$B,A41,'PRESUPUESTO 2024'!BE:BE)</f>
        <v>213880000</v>
      </c>
      <c r="C41" s="1137">
        <f>+B41/$B$211</f>
        <v>1.4256728748149781E-2</v>
      </c>
      <c r="D41" s="712">
        <v>163925000</v>
      </c>
      <c r="E41" s="1137">
        <f>+D41/$D$211</f>
        <v>1.601823282722829E-2</v>
      </c>
      <c r="F41" s="1137">
        <f>+C41-E41</f>
        <v>-1.7615040790785082E-3</v>
      </c>
      <c r="G41" s="712">
        <f>SUMIF('Reporte Ejec 2022'!$B:$B,A41,'Reporte Ejec 2022'!$J:$J)</f>
        <v>126761804.39</v>
      </c>
      <c r="H41" s="1137">
        <f>+G41/$G$211</f>
        <v>7.9383786351103925E-3</v>
      </c>
      <c r="I41" s="1282">
        <f>+E41-H41</f>
        <v>8.0798541921178971E-3</v>
      </c>
    </row>
    <row r="42" spans="1:10" ht="15.9" hidden="1" customHeight="1" outlineLevel="1" x14ac:dyDescent="0.4">
      <c r="A42" s="674" t="s">
        <v>111</v>
      </c>
      <c r="B42" s="712">
        <f>SUMIF('PRESUPUESTO 2024'!$B:$B,A42,'PRESUPUESTO 2024'!BE:BE)</f>
        <v>0</v>
      </c>
      <c r="C42" s="1137">
        <f>+B42/$B$211</f>
        <v>0</v>
      </c>
      <c r="D42" s="712">
        <v>0</v>
      </c>
      <c r="E42" s="1137">
        <f>+D42/$D$211</f>
        <v>0</v>
      </c>
      <c r="F42" s="1137">
        <f>+C42-E42</f>
        <v>0</v>
      </c>
      <c r="G42" s="712">
        <f>SUMIF('Reporte Ejec 2022'!$B:$B,A42,'Reporte Ejec 2022'!$J:$J)</f>
        <v>1652889.42</v>
      </c>
      <c r="H42" s="1137">
        <f>+G42/$G$211</f>
        <v>1.0351116506324455E-4</v>
      </c>
      <c r="I42" s="1282">
        <f>+E42-H42</f>
        <v>-1.0351116506324455E-4</v>
      </c>
    </row>
    <row r="43" spans="1:10" ht="15.9" hidden="1" customHeight="1" outlineLevel="1" x14ac:dyDescent="0.4">
      <c r="A43" s="674" t="s">
        <v>113</v>
      </c>
      <c r="B43" s="712">
        <f>SUMIF('PRESUPUESTO 2024'!$B:$B,A43,'PRESUPUESTO 2024'!BE:BE)</f>
        <v>0</v>
      </c>
      <c r="C43" s="1137">
        <f>+B43/$B$211</f>
        <v>0</v>
      </c>
      <c r="D43" s="712">
        <v>0</v>
      </c>
      <c r="E43" s="1137">
        <f>+D43/$D$211</f>
        <v>0</v>
      </c>
      <c r="F43" s="1137">
        <f>+C43-E43</f>
        <v>0</v>
      </c>
      <c r="G43" s="712">
        <f>SUMIF('Reporte Ejec 2022'!$B:$B,A43,'Reporte Ejec 2022'!$J:$J)</f>
        <v>70533167.010000005</v>
      </c>
      <c r="H43" s="1137">
        <f>+G43/$G$211</f>
        <v>4.4170954236040219E-3</v>
      </c>
      <c r="I43" s="1282">
        <f>+E43-H43</f>
        <v>-4.4170954236040219E-3</v>
      </c>
    </row>
    <row r="44" spans="1:10" ht="3" customHeight="1" outlineLevel="1" x14ac:dyDescent="0.4">
      <c r="A44" s="720"/>
      <c r="B44" s="717"/>
      <c r="C44" s="1137"/>
      <c r="D44" s="726"/>
      <c r="E44" s="1137"/>
      <c r="F44" s="1311"/>
      <c r="G44" s="726"/>
      <c r="H44" s="1311"/>
      <c r="I44" s="1282"/>
    </row>
    <row r="45" spans="1:10" ht="15.9" customHeight="1" outlineLevel="1" x14ac:dyDescent="0.4">
      <c r="A45" s="718" t="s">
        <v>115</v>
      </c>
      <c r="B45" s="719">
        <f>SUM(B47:B51)</f>
        <v>132078800</v>
      </c>
      <c r="C45" s="1150">
        <f>+B45/$B$211</f>
        <v>8.8040565970690359E-3</v>
      </c>
      <c r="D45" s="719">
        <f>SUM(D47:D51)</f>
        <v>132969060</v>
      </c>
      <c r="E45" s="1309">
        <f>+D45/$D$211</f>
        <v>1.2993316223258736E-2</v>
      </c>
      <c r="F45" s="1136">
        <f>+C45-E45</f>
        <v>-4.1892596261896998E-3</v>
      </c>
      <c r="G45" s="719">
        <f>SUM(G47:G51)</f>
        <v>260402430.34999999</v>
      </c>
      <c r="H45" s="1150">
        <f>+G45/$G$211</f>
        <v>1.6307539164252677E-2</v>
      </c>
      <c r="I45" s="443">
        <f>+E45-H45</f>
        <v>-3.3142229409939411E-3</v>
      </c>
    </row>
    <row r="46" spans="1:10" ht="9.9" customHeight="1" outlineLevel="1" x14ac:dyDescent="0.4">
      <c r="A46" s="732"/>
      <c r="B46" s="733"/>
      <c r="C46" s="1141"/>
      <c r="D46" s="729"/>
      <c r="E46" s="1141"/>
      <c r="F46" s="1312"/>
      <c r="G46" s="729"/>
      <c r="H46" s="1312"/>
      <c r="I46" s="1313"/>
    </row>
    <row r="47" spans="1:10" ht="15.9" customHeight="1" outlineLevel="1" x14ac:dyDescent="0.4">
      <c r="A47" s="674" t="s">
        <v>117</v>
      </c>
      <c r="B47" s="712">
        <f>SUMIF('PRESUPUESTO 2024'!$B:$B,A47,'PRESUPUESTO 2024'!BE:BE)</f>
        <v>9631900</v>
      </c>
      <c r="C47" s="1137">
        <f>+B47/$B$211</f>
        <v>6.4203939418975068E-4</v>
      </c>
      <c r="D47" s="712">
        <v>8395200</v>
      </c>
      <c r="E47" s="1137">
        <f>+D47/$D$211</f>
        <v>8.2035240647336863E-4</v>
      </c>
      <c r="F47" s="1137">
        <f>+C47-E47</f>
        <v>-1.7831301228361796E-4</v>
      </c>
      <c r="G47" s="712">
        <f>SUMIF('Reporte Ejec 2022'!$B:$B,A47,'Reporte Ejec 2022'!$J:$J)</f>
        <v>8870448.2899999991</v>
      </c>
      <c r="H47" s="1137">
        <f>+G47/$G$211</f>
        <v>5.5550627042622448E-4</v>
      </c>
      <c r="I47" s="1282">
        <f>+E47-H47</f>
        <v>2.6484613604714415E-4</v>
      </c>
    </row>
    <row r="48" spans="1:10" ht="15.9" customHeight="1" outlineLevel="1" x14ac:dyDescent="0.4">
      <c r="A48" s="447" t="s">
        <v>119</v>
      </c>
      <c r="B48" s="712">
        <f>SUMIF('PRESUPUESTO 2024'!$B:$B,A48,'PRESUPUESTO 2024'!BE:BE)</f>
        <v>35374320</v>
      </c>
      <c r="C48" s="1137">
        <f>+B48/$B$211</f>
        <v>2.3579674812523369E-3</v>
      </c>
      <c r="D48" s="712">
        <v>29478600</v>
      </c>
      <c r="E48" s="1137">
        <f>+D48/$D$211</f>
        <v>2.8805556090939874E-3</v>
      </c>
      <c r="F48" s="1137">
        <f>+C48-E48</f>
        <v>-5.2258812784165051E-4</v>
      </c>
      <c r="G48" s="712">
        <f>SUMIF('Reporte Ejec 2022'!$B:$B,A48,'Reporte Ejec 2022'!$J:$J)</f>
        <v>34661649.549999997</v>
      </c>
      <c r="H48" s="1137">
        <f>+G48/$G$211</f>
        <v>2.1706641016156943E-3</v>
      </c>
      <c r="I48" s="1282">
        <f>+E48-H48</f>
        <v>7.0989150747829315E-4</v>
      </c>
    </row>
    <row r="49" spans="1:9" ht="15.9" customHeight="1" outlineLevel="1" x14ac:dyDescent="0.4">
      <c r="A49" s="674" t="s">
        <v>121</v>
      </c>
      <c r="B49" s="712">
        <f>SUMIF('PRESUPUESTO 2024'!$B:$B,A49,'PRESUPUESTO 2024'!BE:BE)</f>
        <v>5000000</v>
      </c>
      <c r="C49" s="1137">
        <f>+B49/$B$211</f>
        <v>3.3328802945927112E-4</v>
      </c>
      <c r="D49" s="712">
        <v>3915000</v>
      </c>
      <c r="E49" s="1137">
        <f>+D49/$D$211</f>
        <v>3.8256142454536377E-4</v>
      </c>
      <c r="F49" s="1137">
        <f>+C49-E49</f>
        <v>-4.9273395086092654E-5</v>
      </c>
      <c r="G49" s="712">
        <f>SUMIF('Reporte Ejec 2022'!$B:$B,A49,'Reporte Ejec 2022'!$J:$J)</f>
        <v>3576732.5</v>
      </c>
      <c r="H49" s="1137">
        <f>+G49/$G$211</f>
        <v>2.2399063344151075E-4</v>
      </c>
      <c r="I49" s="1282">
        <f>+E49-H49</f>
        <v>1.5857079110385302E-4</v>
      </c>
    </row>
    <row r="50" spans="1:9" ht="15.9" customHeight="1" outlineLevel="1" x14ac:dyDescent="0.4">
      <c r="A50" s="674" t="s">
        <v>1200</v>
      </c>
      <c r="B50" s="712">
        <f>SUMIF('PRESUPUESTO 2024'!$B:$B,A50,'PRESUPUESTO 2024'!BE:BE)</f>
        <v>81291200</v>
      </c>
      <c r="C50" s="1137">
        <f>+B50/$B$211</f>
        <v>5.4186767720758996E-3</v>
      </c>
      <c r="D50" s="712">
        <v>90844200</v>
      </c>
      <c r="E50" s="1137">
        <f>+D50/$D$211</f>
        <v>8.8770080622436621E-3</v>
      </c>
      <c r="F50" s="1137">
        <f>+C50-E50</f>
        <v>-3.4583312901677625E-3</v>
      </c>
      <c r="G50" s="712">
        <f>SUMIF('Reporte Ejec 2022'!$B:$B,A50,'Reporte Ejec 2022'!$J:$J)</f>
        <v>213076075.00999999</v>
      </c>
      <c r="H50" s="1137">
        <f>+G50/$G$211</f>
        <v>1.3343755791835358E-2</v>
      </c>
      <c r="I50" s="1282">
        <f>+E50-H50</f>
        <v>-4.4667477295916962E-3</v>
      </c>
    </row>
    <row r="51" spans="1:9" ht="15.9" customHeight="1" outlineLevel="1" x14ac:dyDescent="0.4">
      <c r="A51" s="720" t="s">
        <v>124</v>
      </c>
      <c r="B51" s="1469">
        <f>SUMIF('PRESUPUESTO 2024'!$B:$B,A51,'PRESUPUESTO 2024'!BE:BE)</f>
        <v>781380</v>
      </c>
      <c r="C51" s="1138">
        <f>+B51/$B$211</f>
        <v>5.2084920091777051E-5</v>
      </c>
      <c r="D51" s="1469">
        <v>336060</v>
      </c>
      <c r="E51" s="1138">
        <f>+D51/$D$211</f>
        <v>3.2838720902353756E-5</v>
      </c>
      <c r="F51" s="1138">
        <f>+C51-E51</f>
        <v>1.9246199189423295E-5</v>
      </c>
      <c r="G51" s="1469">
        <f>SUMIF('Reporte Ejec 2022'!$B:$B,A51,'Reporte Ejec 2022'!$J:$J)</f>
        <v>217525</v>
      </c>
      <c r="H51" s="1138">
        <f>+G51/$G$211</f>
        <v>1.3622366933888579E-5</v>
      </c>
      <c r="I51" s="1321">
        <f>+E51-H51</f>
        <v>1.9216353968465175E-5</v>
      </c>
    </row>
    <row r="52" spans="1:9" ht="9.9" customHeight="1" outlineLevel="1" x14ac:dyDescent="0.4">
      <c r="A52" s="674"/>
      <c r="B52" s="717"/>
      <c r="C52" s="1137"/>
      <c r="D52" s="726"/>
      <c r="E52" s="1137"/>
      <c r="F52" s="1311"/>
      <c r="G52" s="726"/>
      <c r="H52" s="1311"/>
      <c r="I52" s="1282"/>
    </row>
    <row r="53" spans="1:9" ht="15.9" customHeight="1" outlineLevel="1" x14ac:dyDescent="0.4">
      <c r="A53" s="718" t="s">
        <v>327</v>
      </c>
      <c r="B53" s="719">
        <f>SUM(B55:B60)</f>
        <v>196425908</v>
      </c>
      <c r="C53" s="1150">
        <f>+B53/$B$211</f>
        <v>1.3093280762413615E-2</v>
      </c>
      <c r="D53" s="719">
        <f>SUM(D55:D60)</f>
        <v>157417500</v>
      </c>
      <c r="E53" s="1309">
        <f>+D53/$D$211</f>
        <v>1.5382340497667894E-2</v>
      </c>
      <c r="F53" s="1136">
        <f>+C53-E53</f>
        <v>-2.2890597352542789E-3</v>
      </c>
      <c r="G53" s="719">
        <f>SUM(G55:G60)</f>
        <v>382150270.13000005</v>
      </c>
      <c r="H53" s="1150">
        <f>+G53/$G$211</f>
        <v>2.3931921404875305E-2</v>
      </c>
      <c r="I53" s="443">
        <f>+E53-H53</f>
        <v>-8.549580907207411E-3</v>
      </c>
    </row>
    <row r="54" spans="1:9" ht="9.9" customHeight="1" outlineLevel="1" x14ac:dyDescent="0.4">
      <c r="A54" s="674"/>
      <c r="B54" s="717"/>
      <c r="C54" s="1137"/>
      <c r="D54" s="726"/>
      <c r="E54" s="1137"/>
      <c r="F54" s="1311"/>
      <c r="G54" s="726"/>
      <c r="H54" s="1311"/>
      <c r="I54" s="1282"/>
    </row>
    <row r="55" spans="1:9" ht="15.9" customHeight="1" outlineLevel="1" x14ac:dyDescent="0.4">
      <c r="A55" s="674" t="s">
        <v>436</v>
      </c>
      <c r="B55" s="712">
        <f>SUMIF('PRESUPUESTO 2024'!$B:$B,A55,'PRESUPUESTO 2024'!BE:BE)</f>
        <v>2400000</v>
      </c>
      <c r="C55" s="1137">
        <f t="shared" ref="C55:C60" si="5">+B55/$B$211</f>
        <v>1.5997825414045013E-4</v>
      </c>
      <c r="D55" s="712">
        <v>1350000</v>
      </c>
      <c r="E55" s="1137">
        <f t="shared" ref="E55:E60" si="6">+D55/$D$211</f>
        <v>1.3191773260184958E-4</v>
      </c>
      <c r="F55" s="1137">
        <f t="shared" ref="F55:F60" si="7">+C55-E55</f>
        <v>2.8060521538600554E-5</v>
      </c>
      <c r="G55" s="712">
        <f>SUMIF('Reporte Ejec 2022'!$B:$B,A55,'Reporte Ejec 2022'!$J:$J)</f>
        <v>1049736.1000000001</v>
      </c>
      <c r="H55" s="1137">
        <f t="shared" ref="H55:H60" si="8">+G55/$G$211</f>
        <v>6.5739066028958304E-5</v>
      </c>
      <c r="I55" s="1282">
        <f t="shared" ref="I55:I60" si="9">+E55-H55</f>
        <v>6.6178666572891273E-5</v>
      </c>
    </row>
    <row r="56" spans="1:9" ht="15.9" customHeight="1" outlineLevel="1" x14ac:dyDescent="0.4">
      <c r="A56" s="674" t="s">
        <v>437</v>
      </c>
      <c r="B56" s="712">
        <f>SUMIF('PRESUPUESTO 2024'!$B:$B,A56,'PRESUPUESTO 2024'!BE:BE)</f>
        <v>42350000</v>
      </c>
      <c r="C56" s="1137">
        <f t="shared" si="5"/>
        <v>2.8229496095200264E-3</v>
      </c>
      <c r="D56" s="712">
        <v>1800000</v>
      </c>
      <c r="E56" s="1137">
        <f t="shared" si="6"/>
        <v>1.7589031013579945E-4</v>
      </c>
      <c r="F56" s="1137">
        <f t="shared" si="7"/>
        <v>2.6470592993842268E-3</v>
      </c>
      <c r="G56" s="712">
        <f>SUMIF('Reporte Ejec 2022'!$B:$B,A56,'Reporte Ejec 2022'!$J:$J)</f>
        <v>340148356.54000002</v>
      </c>
      <c r="H56" s="1137">
        <f t="shared" si="8"/>
        <v>2.1301577863450358E-2</v>
      </c>
      <c r="I56" s="1282">
        <f t="shared" si="9"/>
        <v>-2.1125687553314558E-2</v>
      </c>
    </row>
    <row r="57" spans="1:9" ht="15.9" customHeight="1" outlineLevel="1" x14ac:dyDescent="0.4">
      <c r="A57" s="674" t="s">
        <v>438</v>
      </c>
      <c r="B57" s="712">
        <f>SUMIF('PRESUPUESTO 2024'!$B:$B,A57,'PRESUPUESTO 2024'!BE:BE)</f>
        <v>10635000</v>
      </c>
      <c r="C57" s="1137">
        <f t="shared" si="5"/>
        <v>7.0890363865986966E-4</v>
      </c>
      <c r="D57" s="712">
        <v>31162500</v>
      </c>
      <c r="E57" s="1137">
        <f t="shared" si="6"/>
        <v>3.0451009942260277E-3</v>
      </c>
      <c r="F57" s="1137">
        <f t="shared" si="7"/>
        <v>-2.336197355566158E-3</v>
      </c>
      <c r="G57" s="712">
        <f>SUMIF('Reporte Ejec 2022'!$B:$B,A57,'Reporte Ejec 2022'!$J:$J)</f>
        <v>27940621.879999999</v>
      </c>
      <c r="H57" s="1137">
        <f t="shared" si="8"/>
        <v>1.749763951777477E-3</v>
      </c>
      <c r="I57" s="1282">
        <f t="shared" si="9"/>
        <v>1.2953370424485507E-3</v>
      </c>
    </row>
    <row r="58" spans="1:9" ht="15.9" customHeight="1" outlineLevel="1" x14ac:dyDescent="0.4">
      <c r="A58" s="674" t="s">
        <v>439</v>
      </c>
      <c r="B58" s="712">
        <f>SUMIF('PRESUPUESTO 2024'!$B:$B,A58,'PRESUPUESTO 2024'!BE:BE)</f>
        <v>9060000</v>
      </c>
      <c r="C58" s="1137">
        <f t="shared" si="5"/>
        <v>6.0391790938019922E-4</v>
      </c>
      <c r="D58" s="712">
        <v>315000</v>
      </c>
      <c r="E58" s="1137">
        <f t="shared" si="6"/>
        <v>3.0780804273764904E-5</v>
      </c>
      <c r="F58" s="1137">
        <f t="shared" si="7"/>
        <v>5.7313710510643434E-4</v>
      </c>
      <c r="G58" s="712">
        <f>SUMIF('Reporte Ejec 2022'!$B:$B,A58,'Reporte Ejec 2022'!$J:$J)</f>
        <v>3458124.11</v>
      </c>
      <c r="H58" s="1137">
        <f t="shared" si="8"/>
        <v>2.1656285727776975E-4</v>
      </c>
      <c r="I58" s="1282">
        <f t="shared" si="9"/>
        <v>-1.8578205300400484E-4</v>
      </c>
    </row>
    <row r="59" spans="1:9" ht="15.9" customHeight="1" outlineLevel="1" x14ac:dyDescent="0.4">
      <c r="A59" s="674" t="s">
        <v>452</v>
      </c>
      <c r="B59" s="712">
        <f>SUMIF('PRESUPUESTO 2024'!$B:$B,A59,'PRESUPUESTO 2024'!BE:BE)</f>
        <v>36000000</v>
      </c>
      <c r="C59" s="1137">
        <f t="shared" si="5"/>
        <v>2.3996738121067522E-3</v>
      </c>
      <c r="D59" s="712">
        <v>13500000</v>
      </c>
      <c r="E59" s="1137">
        <f t="shared" si="6"/>
        <v>1.3191773260184958E-3</v>
      </c>
      <c r="F59" s="1137">
        <f t="shared" si="7"/>
        <v>1.0804964860882565E-3</v>
      </c>
      <c r="G59" s="712">
        <f>SUMIF('Reporte Ejec 2022'!$B:$B,A59,'Reporte Ejec 2022'!$J:$J)</f>
        <v>8875863.8300000001</v>
      </c>
      <c r="H59" s="1137">
        <f t="shared" si="8"/>
        <v>5.5584541522808706E-4</v>
      </c>
      <c r="I59" s="1282">
        <f t="shared" si="9"/>
        <v>7.6333191079040871E-4</v>
      </c>
    </row>
    <row r="60" spans="1:9" ht="15.9" customHeight="1" outlineLevel="1" x14ac:dyDescent="0.4">
      <c r="A60" s="674" t="s">
        <v>544</v>
      </c>
      <c r="B60" s="712">
        <f>SUMIF('PRESUPUESTO 2024'!$B:$B,A60,'PRESUPUESTO 2024'!BE:BE)</f>
        <v>95980908</v>
      </c>
      <c r="C60" s="1137">
        <f t="shared" si="5"/>
        <v>6.3978575386063182E-3</v>
      </c>
      <c r="D60" s="712">
        <v>109290000</v>
      </c>
      <c r="E60" s="1137">
        <f t="shared" si="6"/>
        <v>1.0679473330411957E-2</v>
      </c>
      <c r="F60" s="1137">
        <f t="shared" si="7"/>
        <v>-4.2816157918056383E-3</v>
      </c>
      <c r="G60" s="712">
        <f>SUMIF('Reporte Ejec 2022'!$B:$B,A60,'Reporte Ejec 2022'!$J:$J)</f>
        <v>677567.67</v>
      </c>
      <c r="H60" s="1137">
        <f t="shared" si="8"/>
        <v>4.2432251112653393E-5</v>
      </c>
      <c r="I60" s="1282">
        <f t="shared" si="9"/>
        <v>1.0637041079299303E-2</v>
      </c>
    </row>
    <row r="61" spans="1:9" ht="9.9" customHeight="1" outlineLevel="1" x14ac:dyDescent="0.4">
      <c r="A61" s="674"/>
      <c r="B61" s="717"/>
      <c r="C61" s="1137"/>
      <c r="D61" s="726"/>
      <c r="E61" s="1137"/>
      <c r="F61" s="1311"/>
      <c r="G61" s="726"/>
      <c r="H61" s="1311"/>
      <c r="I61" s="1282"/>
    </row>
    <row r="62" spans="1:9" ht="15.9" customHeight="1" outlineLevel="1" x14ac:dyDescent="0.4">
      <c r="A62" s="676" t="s">
        <v>140</v>
      </c>
      <c r="B62" s="719">
        <f>SUM(B64:B71)</f>
        <v>829519000</v>
      </c>
      <c r="C62" s="1150">
        <f>+B62/$B$211</f>
        <v>5.5293750581805023E-2</v>
      </c>
      <c r="D62" s="719">
        <f>SUM(D64:D71)</f>
        <v>1028555950</v>
      </c>
      <c r="E62" s="1309">
        <f>+D62/$D$211</f>
        <v>0.10050723613195657</v>
      </c>
      <c r="F62" s="1136">
        <f>+C62-E62</f>
        <v>-4.5213485550151547E-2</v>
      </c>
      <c r="G62" s="719">
        <f>SUM(G64:G71)</f>
        <v>5335837512.9300003</v>
      </c>
      <c r="H62" s="1150">
        <f>+G62/$G$211</f>
        <v>0.33415348351104429</v>
      </c>
      <c r="I62" s="443">
        <f>+E62-H62</f>
        <v>-0.23364624737908773</v>
      </c>
    </row>
    <row r="63" spans="1:9" ht="9.9" customHeight="1" outlineLevel="1" x14ac:dyDescent="0.4">
      <c r="A63" s="674"/>
      <c r="B63" s="717"/>
      <c r="C63" s="1137"/>
      <c r="D63" s="726"/>
      <c r="E63" s="1137"/>
      <c r="F63" s="1137"/>
      <c r="G63" s="726"/>
      <c r="H63" s="1311"/>
      <c r="I63" s="1282"/>
    </row>
    <row r="64" spans="1:9" ht="15.9" customHeight="1" outlineLevel="1" x14ac:dyDescent="0.4">
      <c r="A64" s="674" t="s">
        <v>641</v>
      </c>
      <c r="B64" s="712">
        <f>SUMIF('PRESUPUESTO 2024'!$B:$B,A64,'PRESUPUESTO 2024'!BE:BE)</f>
        <v>100000</v>
      </c>
      <c r="C64" s="1137">
        <f t="shared" ref="C64:C71" si="10">+B64/$B$211</f>
        <v>6.6657605891854221E-6</v>
      </c>
      <c r="D64" s="712">
        <v>90000</v>
      </c>
      <c r="E64" s="1137">
        <f t="shared" ref="E64:E71" si="11">+D64/$D$211</f>
        <v>8.7945155067899713E-6</v>
      </c>
      <c r="F64" s="1137">
        <f t="shared" ref="F64:F71" si="12">+C64-E64</f>
        <v>-2.1287549176045491E-6</v>
      </c>
      <c r="G64" s="712">
        <f>SUMIF('Reporte Ejec 2022'!$B:$B,A64,'Reporte Ejec 2022'!$J:$J)</f>
        <v>62400</v>
      </c>
      <c r="H64" s="1137">
        <f t="shared" ref="H64:H71" si="13">+G64/$G$211</f>
        <v>3.9077609317303634E-6</v>
      </c>
      <c r="I64" s="1282">
        <f>+E64-H64</f>
        <v>4.8867545750596079E-6</v>
      </c>
    </row>
    <row r="65" spans="1:9" ht="15.9" customHeight="1" outlineLevel="1" x14ac:dyDescent="0.4">
      <c r="A65" s="674" t="s">
        <v>400</v>
      </c>
      <c r="B65" s="712">
        <f>SUMIF('PRESUPUESTO 2024'!$B:$B,A65,'PRESUPUESTO 2024'!BE:BE)</f>
        <v>12500000</v>
      </c>
      <c r="C65" s="1137">
        <f t="shared" si="10"/>
        <v>8.332200736481778E-4</v>
      </c>
      <c r="D65" s="712">
        <v>13950000</v>
      </c>
      <c r="E65" s="1137">
        <f t="shared" si="11"/>
        <v>1.3631499035524457E-3</v>
      </c>
      <c r="F65" s="1137">
        <f t="shared" si="12"/>
        <v>-5.2992982990426787E-4</v>
      </c>
      <c r="G65" s="712">
        <f>SUMIF('Reporte Ejec 2022'!$B:$B,A65,'Reporte Ejec 2022'!$J:$J)</f>
        <v>5435017.5</v>
      </c>
      <c r="H65" s="1137">
        <f t="shared" si="13"/>
        <v>3.4036456810530174E-4</v>
      </c>
      <c r="I65" s="1282">
        <f t="shared" ref="I65:I70" si="14">+E65-H65</f>
        <v>1.022785335447144E-3</v>
      </c>
    </row>
    <row r="66" spans="1:9" ht="15.9" hidden="1" customHeight="1" outlineLevel="1" x14ac:dyDescent="0.4">
      <c r="A66" s="674"/>
      <c r="B66" s="712">
        <f>SUMIF('PRESUPUESTO 2024'!$B:$B,A66,'PRESUPUESTO 2024'!BE:BE)</f>
        <v>0</v>
      </c>
      <c r="C66" s="1137">
        <f t="shared" si="10"/>
        <v>0</v>
      </c>
      <c r="D66" s="712">
        <v>0</v>
      </c>
      <c r="E66" s="1137">
        <f t="shared" si="11"/>
        <v>0</v>
      </c>
      <c r="F66" s="1137">
        <f t="shared" si="12"/>
        <v>0</v>
      </c>
      <c r="G66" s="712">
        <f>SUMIF('Reporte Ejec 2022'!$B:$B,A66,'Reporte Ejec 2022'!$J:$J)</f>
        <v>0</v>
      </c>
      <c r="H66" s="1137">
        <f t="shared" si="13"/>
        <v>0</v>
      </c>
      <c r="I66" s="1282">
        <f t="shared" si="14"/>
        <v>0</v>
      </c>
    </row>
    <row r="67" spans="1:9" ht="15.9" hidden="1" customHeight="1" outlineLevel="1" x14ac:dyDescent="0.4">
      <c r="A67" s="674" t="s">
        <v>344</v>
      </c>
      <c r="B67" s="712">
        <f>SUMIF('PRESUPUESTO 2024'!$B:$B,A67,'PRESUPUESTO 2024'!BE:BE)</f>
        <v>0</v>
      </c>
      <c r="C67" s="1137">
        <f t="shared" si="10"/>
        <v>0</v>
      </c>
      <c r="D67" s="712">
        <v>0</v>
      </c>
      <c r="E67" s="1137">
        <f t="shared" si="11"/>
        <v>0</v>
      </c>
      <c r="F67" s="1137">
        <f t="shared" si="12"/>
        <v>0</v>
      </c>
      <c r="G67" s="712">
        <f>SUMIF('Reporte Ejec 2022'!$B:$B,A67,'Reporte Ejec 2022'!$J:$J)</f>
        <v>0</v>
      </c>
      <c r="H67" s="1137">
        <f t="shared" si="13"/>
        <v>0</v>
      </c>
      <c r="I67" s="1282">
        <f t="shared" si="14"/>
        <v>0</v>
      </c>
    </row>
    <row r="68" spans="1:9" ht="15.9" customHeight="1" outlineLevel="1" x14ac:dyDescent="0.4">
      <c r="A68" s="674" t="s">
        <v>142</v>
      </c>
      <c r="B68" s="712">
        <f>SUMIF('PRESUPUESTO 2024'!$B:$B,A68,'PRESUPUESTO 2024'!BE:BE)</f>
        <v>104000000</v>
      </c>
      <c r="C68" s="1137">
        <f t="shared" si="10"/>
        <v>6.9323910127528391E-3</v>
      </c>
      <c r="D68" s="712">
        <v>150750000</v>
      </c>
      <c r="E68" s="1137">
        <f t="shared" si="11"/>
        <v>1.4730813473873203E-2</v>
      </c>
      <c r="F68" s="1137">
        <f t="shared" si="12"/>
        <v>-7.7984224611203643E-3</v>
      </c>
      <c r="G68" s="712">
        <f>SUMIF('Reporte Ejec 2022'!$B:$B,A68,'Reporte Ejec 2022'!$J:$J)</f>
        <v>55351880.369999997</v>
      </c>
      <c r="H68" s="1137">
        <f t="shared" si="13"/>
        <v>3.4663768526874807E-3</v>
      </c>
      <c r="I68" s="1282">
        <f t="shared" si="14"/>
        <v>1.1264436621185724E-2</v>
      </c>
    </row>
    <row r="69" spans="1:9" ht="15.9" hidden="1" customHeight="1" outlineLevel="1" x14ac:dyDescent="0.4">
      <c r="A69" s="674" t="s">
        <v>645</v>
      </c>
      <c r="B69" s="712">
        <f>SUMIF('PRESUPUESTO 2024'!$B:$B,A69,'PRESUPUESTO 2024'!BE:BE)</f>
        <v>0</v>
      </c>
      <c r="C69" s="1137">
        <f t="shared" si="10"/>
        <v>0</v>
      </c>
      <c r="D69" s="712">
        <v>97235000</v>
      </c>
      <c r="E69" s="1137">
        <f t="shared" si="11"/>
        <v>9.5014968366969217E-3</v>
      </c>
      <c r="F69" s="1137">
        <f t="shared" si="12"/>
        <v>-9.5014968366969217E-3</v>
      </c>
      <c r="G69" s="712">
        <f>SUMIF('Reporte Ejec 2022'!$B:$B,A69,'Reporte Ejec 2022'!$J:$J)</f>
        <v>10000000</v>
      </c>
      <c r="H69" s="1137">
        <f t="shared" si="13"/>
        <v>6.2624373905935306E-4</v>
      </c>
      <c r="I69" s="1282">
        <f t="shared" si="14"/>
        <v>8.8752530976375678E-3</v>
      </c>
    </row>
    <row r="70" spans="1:9" ht="15.9" customHeight="1" outlineLevel="1" x14ac:dyDescent="0.4">
      <c r="A70" s="674" t="s">
        <v>146</v>
      </c>
      <c r="B70" s="712">
        <f>SUMIF('PRESUPUESTO 2024'!$B:$B,A70,'PRESUPUESTO 2024'!BE:BE)</f>
        <v>87819000</v>
      </c>
      <c r="C70" s="1137">
        <f t="shared" si="10"/>
        <v>5.8538042918167459E-3</v>
      </c>
      <c r="D70" s="712">
        <v>76640400</v>
      </c>
      <c r="E70" s="1137">
        <f t="shared" si="11"/>
        <v>7.4890576249620686E-3</v>
      </c>
      <c r="F70" s="1137">
        <f t="shared" si="12"/>
        <v>-1.6352533331453227E-3</v>
      </c>
      <c r="G70" s="712">
        <f>SUMIF('Reporte Ejec 2022'!$B:$B,A70,'Reporte Ejec 2022'!$J:$J)</f>
        <v>105582092.18000001</v>
      </c>
      <c r="H70" s="1137">
        <f t="shared" si="13"/>
        <v>6.6120124184512489E-3</v>
      </c>
      <c r="I70" s="1282">
        <f t="shared" si="14"/>
        <v>8.7704520651081964E-4</v>
      </c>
    </row>
    <row r="71" spans="1:9" ht="15.9" customHeight="1" outlineLevel="1" x14ac:dyDescent="0.4">
      <c r="A71" s="674" t="s">
        <v>148</v>
      </c>
      <c r="B71" s="712">
        <f>+EGRESOS!B72</f>
        <v>625100000</v>
      </c>
      <c r="C71" s="1137">
        <f t="shared" si="10"/>
        <v>4.1667669442998073E-2</v>
      </c>
      <c r="D71" s="712">
        <v>689890550</v>
      </c>
      <c r="E71" s="1137">
        <f t="shared" si="11"/>
        <v>6.7413923777365145E-2</v>
      </c>
      <c r="F71" s="1137">
        <f t="shared" si="12"/>
        <v>-2.5746254334367072E-2</v>
      </c>
      <c r="G71" s="712">
        <f>SUMIF('Reporte Ejec 2022'!$B:$B,A71,'Reporte Ejec 2022'!$J:$J)</f>
        <v>5159406122.8800001</v>
      </c>
      <c r="H71" s="1137">
        <f t="shared" si="13"/>
        <v>0.32310457817180915</v>
      </c>
      <c r="I71" s="1282">
        <f>+E71-H71</f>
        <v>-0.25569065439444399</v>
      </c>
    </row>
    <row r="72" spans="1:9" ht="9.9" customHeight="1" outlineLevel="1" x14ac:dyDescent="0.4">
      <c r="A72" s="674"/>
      <c r="B72" s="717"/>
      <c r="C72" s="1137"/>
      <c r="D72" s="726"/>
      <c r="E72" s="1137"/>
      <c r="F72" s="1311"/>
      <c r="G72" s="726"/>
      <c r="H72" s="1311"/>
      <c r="I72" s="1282"/>
    </row>
    <row r="73" spans="1:9" ht="15.9" customHeight="1" outlineLevel="1" x14ac:dyDescent="0.4">
      <c r="A73" s="718" t="s">
        <v>150</v>
      </c>
      <c r="B73" s="719">
        <f>SUM(B75:B78)</f>
        <v>764648300</v>
      </c>
      <c r="C73" s="1150">
        <f>+B73/$B$211</f>
        <v>5.0969625027276318E-2</v>
      </c>
      <c r="D73" s="719">
        <f>SUM(D75:D78)</f>
        <v>418537710</v>
      </c>
      <c r="E73" s="1309">
        <f>+D73/$D$211</f>
        <v>4.0898182008570712E-2</v>
      </c>
      <c r="F73" s="1136">
        <f>+C73-E73</f>
        <v>1.0071443018705606E-2</v>
      </c>
      <c r="G73" s="719">
        <f>SUM(G75:G78)</f>
        <v>409403419.26999998</v>
      </c>
      <c r="H73" s="1150">
        <f>+G73/$G$211</f>
        <v>2.563863280673288E-2</v>
      </c>
      <c r="I73" s="443">
        <f>+E73-H73</f>
        <v>1.5259549201837832E-2</v>
      </c>
    </row>
    <row r="74" spans="1:9" ht="9.9" customHeight="1" outlineLevel="1" x14ac:dyDescent="0.4">
      <c r="A74" s="674"/>
      <c r="B74" s="717"/>
      <c r="C74" s="1137"/>
      <c r="D74" s="726"/>
      <c r="E74" s="1137"/>
      <c r="F74" s="1311"/>
      <c r="G74" s="726"/>
      <c r="H74" s="1311"/>
      <c r="I74" s="1282"/>
    </row>
    <row r="75" spans="1:9" ht="15.9" customHeight="1" outlineLevel="1" x14ac:dyDescent="0.4">
      <c r="A75" s="674" t="s">
        <v>545</v>
      </c>
      <c r="B75" s="712">
        <f>SUMIF('PRESUPUESTO 2024'!$B:$B,A75,'PRESUPUESTO 2024'!BE:BE)</f>
        <v>14377500</v>
      </c>
      <c r="C75" s="1137">
        <f>+B75/$B$211</f>
        <v>9.5836972871013405E-4</v>
      </c>
      <c r="D75" s="712">
        <v>8874000</v>
      </c>
      <c r="E75" s="1137">
        <f>+D75/$D$211</f>
        <v>8.6713922896949121E-4</v>
      </c>
      <c r="F75" s="1137">
        <f>+C75-E75</f>
        <v>9.1230499740642835E-5</v>
      </c>
      <c r="G75" s="712">
        <f>SUMIF('Reporte Ejec 2022'!$B:$B,A75,'Reporte Ejec 2022'!$J:$J)</f>
        <v>9068201.8000000007</v>
      </c>
      <c r="H75" s="1137">
        <f>+G75/$G$211</f>
        <v>5.6789046017767563E-4</v>
      </c>
      <c r="I75" s="1282">
        <f>+E75-H75</f>
        <v>2.9924876879181559E-4</v>
      </c>
    </row>
    <row r="76" spans="1:9" ht="15.9" customHeight="1" outlineLevel="1" x14ac:dyDescent="0.4">
      <c r="A76" s="674" t="s">
        <v>542</v>
      </c>
      <c r="B76" s="712">
        <f>SUMIF('PRESUPUESTO 2024'!$B:$B,A76,'PRESUPUESTO 2024'!BE:BE)</f>
        <v>707940800</v>
      </c>
      <c r="C76" s="1137">
        <f>+B76/$B$211</f>
        <v>4.7189638841163992E-2</v>
      </c>
      <c r="D76" s="712">
        <v>370486710</v>
      </c>
      <c r="E76" s="1137">
        <f>+D76/$D$211</f>
        <v>3.6202790179495549E-2</v>
      </c>
      <c r="F76" s="1137">
        <f>+C76-E76</f>
        <v>1.0986848661668443E-2</v>
      </c>
      <c r="G76" s="712">
        <f>SUMIF('Reporte Ejec 2022'!$B:$B,A76,'Reporte Ejec 2022'!$J:$J)</f>
        <v>393083248</v>
      </c>
      <c r="H76" s="1137">
        <f>+G76/$G$211</f>
        <v>2.4616592298911499E-2</v>
      </c>
      <c r="I76" s="1282">
        <f>+E76-H76</f>
        <v>1.158619788058405E-2</v>
      </c>
    </row>
    <row r="77" spans="1:9" ht="15.9" customHeight="1" outlineLevel="1" x14ac:dyDescent="0.4">
      <c r="A77" s="674" t="s">
        <v>156</v>
      </c>
      <c r="B77" s="712">
        <f>SUMIF('PRESUPUESTO 2024'!$B:$B,A77,'PRESUPUESTO 2024'!BE:BE)</f>
        <v>16750000</v>
      </c>
      <c r="C77" s="1137">
        <f>+B77/$B$211</f>
        <v>1.1165148986885583E-3</v>
      </c>
      <c r="D77" s="712">
        <v>15777000</v>
      </c>
      <c r="E77" s="1137">
        <f>+D77/$D$211</f>
        <v>1.5416785683402821E-3</v>
      </c>
      <c r="F77" s="1137">
        <f>+C77-E77</f>
        <v>-4.2516366965172372E-4</v>
      </c>
      <c r="G77" s="712">
        <f>SUMIF('Reporte Ejec 2022'!$B:$B,A77,'Reporte Ejec 2022'!$J:$J)</f>
        <v>2600964.5099999998</v>
      </c>
      <c r="H77" s="1137">
        <f>+G77/$G$211</f>
        <v>1.628837739903078E-4</v>
      </c>
      <c r="I77" s="1282">
        <f>+E77-H77</f>
        <v>1.3787947943499743E-3</v>
      </c>
    </row>
    <row r="78" spans="1:9" ht="15.9" customHeight="1" outlineLevel="1" x14ac:dyDescent="0.4">
      <c r="A78" s="674" t="s">
        <v>440</v>
      </c>
      <c r="B78" s="712">
        <f>SUMIF('PRESUPUESTO 2024'!$B:$B,A78,'PRESUPUESTO 2024'!BE:BE)</f>
        <v>25580000</v>
      </c>
      <c r="C78" s="1137">
        <f>+B78/$B$211</f>
        <v>1.705101558713631E-3</v>
      </c>
      <c r="D78" s="712">
        <v>23400000</v>
      </c>
      <c r="E78" s="1137">
        <f>+D78/$D$211</f>
        <v>2.2865740317653928E-3</v>
      </c>
      <c r="F78" s="1137">
        <f>+C78-E78</f>
        <v>-5.814724730517618E-4</v>
      </c>
      <c r="G78" s="712">
        <f>SUMIF('Reporte Ejec 2022'!$B:$B,A78,'Reporte Ejec 2022'!$J:$J)</f>
        <v>4651004.96</v>
      </c>
      <c r="H78" s="1137">
        <f>+G78/$G$211</f>
        <v>2.9126627365339968E-4</v>
      </c>
      <c r="I78" s="1282">
        <f>+E78-H78</f>
        <v>1.9953077581119933E-3</v>
      </c>
    </row>
    <row r="79" spans="1:9" ht="7.2" customHeight="1" outlineLevel="1" x14ac:dyDescent="0.4">
      <c r="A79" s="674"/>
      <c r="B79" s="717"/>
      <c r="C79" s="1137"/>
      <c r="D79" s="726"/>
      <c r="E79" s="1137"/>
      <c r="F79" s="1311"/>
      <c r="G79" s="726"/>
      <c r="H79" s="1311"/>
      <c r="I79" s="1282"/>
    </row>
    <row r="80" spans="1:9" ht="15.9" customHeight="1" outlineLevel="1" x14ac:dyDescent="0.4">
      <c r="A80" s="718" t="s">
        <v>328</v>
      </c>
      <c r="B80" s="719">
        <f>SUM(B82)</f>
        <v>104106900</v>
      </c>
      <c r="C80" s="1150">
        <f>+B80/$B$211</f>
        <v>6.9395167108226782E-3</v>
      </c>
      <c r="D80" s="719">
        <f>SUM(D82)</f>
        <v>76370220</v>
      </c>
      <c r="E80" s="1309">
        <f>+D80/$D$211</f>
        <v>7.4626564894106854E-3</v>
      </c>
      <c r="F80" s="1136">
        <f>+C80-E80</f>
        <v>-5.2313977858800716E-4</v>
      </c>
      <c r="G80" s="719">
        <f>SUM(G82)</f>
        <v>60531293.960000001</v>
      </c>
      <c r="H80" s="1150">
        <f>+G80/$G$211</f>
        <v>3.7907343859611238E-3</v>
      </c>
      <c r="I80" s="443">
        <f>+E80-H80</f>
        <v>3.6719221034495616E-3</v>
      </c>
    </row>
    <row r="81" spans="1:9" ht="5.4" customHeight="1" x14ac:dyDescent="0.4">
      <c r="A81" s="674"/>
      <c r="B81" s="717"/>
      <c r="C81" s="1137"/>
      <c r="D81" s="726"/>
      <c r="E81" s="1137"/>
      <c r="F81" s="1311"/>
      <c r="G81" s="726"/>
      <c r="H81" s="1311"/>
      <c r="I81" s="1282"/>
    </row>
    <row r="82" spans="1:9" ht="15.9" customHeight="1" outlineLevel="1" x14ac:dyDescent="0.4">
      <c r="A82" s="674" t="s">
        <v>1207</v>
      </c>
      <c r="B82" s="712">
        <f>SUMIF('PRESUPUESTO 2024'!$B:$B,A82,'PRESUPUESTO 2024'!BE:BE)</f>
        <v>104106900</v>
      </c>
      <c r="C82" s="1137">
        <f>+B82/$B$211</f>
        <v>6.9395167108226782E-3</v>
      </c>
      <c r="D82" s="712">
        <v>76370220</v>
      </c>
      <c r="E82" s="1137">
        <f>+D82/$D$211</f>
        <v>7.4626564894106854E-3</v>
      </c>
      <c r="F82" s="1137">
        <f>+C82-E82</f>
        <v>-5.2313977858800716E-4</v>
      </c>
      <c r="G82" s="712">
        <f>SUMIF('Reporte Ejec 2022'!$B:$B,A82,'Reporte Ejec 2022'!$J:$J)</f>
        <v>60531293.960000001</v>
      </c>
      <c r="H82" s="1137">
        <f>+G82/$G$211</f>
        <v>3.7907343859611238E-3</v>
      </c>
      <c r="I82" s="1282">
        <f>+E82-H82</f>
        <v>3.6719221034495616E-3</v>
      </c>
    </row>
    <row r="83" spans="1:9" ht="7.95" customHeight="1" outlineLevel="2" x14ac:dyDescent="0.4">
      <c r="A83" s="674"/>
      <c r="B83" s="717"/>
      <c r="C83" s="1137"/>
      <c r="D83" s="726"/>
      <c r="E83" s="1137"/>
      <c r="F83" s="1311"/>
      <c r="G83" s="726"/>
      <c r="H83" s="1311"/>
      <c r="I83" s="1282"/>
    </row>
    <row r="84" spans="1:9" ht="15.9" customHeight="1" outlineLevel="2" x14ac:dyDescent="0.4">
      <c r="A84" s="718" t="s">
        <v>163</v>
      </c>
      <c r="B84" s="719">
        <f>SUM(B86:B88)</f>
        <v>106120000</v>
      </c>
      <c r="C84" s="1150">
        <f>+B84/$B$211</f>
        <v>7.0737051372435703E-3</v>
      </c>
      <c r="D84" s="719">
        <f>SUM(D86:D88)</f>
        <v>86275000</v>
      </c>
      <c r="E84" s="1309">
        <f>+D84/$D$211</f>
        <v>8.4305202816478322E-3</v>
      </c>
      <c r="F84" s="1136">
        <f>+C84-E84</f>
        <v>-1.3568151444042619E-3</v>
      </c>
      <c r="G84" s="719">
        <f>SUM(G86:G88)</f>
        <v>48517757.18</v>
      </c>
      <c r="H84" s="1150">
        <f>+G84/$G$211</f>
        <v>3.0383941667176976E-3</v>
      </c>
      <c r="I84" s="443">
        <f>+E84-H84</f>
        <v>5.3921261149301345E-3</v>
      </c>
    </row>
    <row r="85" spans="1:9" ht="9.9" customHeight="1" outlineLevel="2" x14ac:dyDescent="0.4">
      <c r="A85" s="732"/>
      <c r="B85" s="733"/>
      <c r="C85" s="1141"/>
      <c r="D85" s="729"/>
      <c r="E85" s="1141"/>
      <c r="F85" s="1312"/>
      <c r="G85" s="729"/>
      <c r="H85" s="1312"/>
      <c r="I85" s="1313"/>
    </row>
    <row r="86" spans="1:9" ht="15.9" customHeight="1" outlineLevel="2" x14ac:dyDescent="0.4">
      <c r="A86" s="674" t="s">
        <v>165</v>
      </c>
      <c r="B86" s="712">
        <v>105970000</v>
      </c>
      <c r="C86" s="1137">
        <f>+B86/$B$211</f>
        <v>7.0637064963597921E-3</v>
      </c>
      <c r="D86" s="712">
        <v>86140000</v>
      </c>
      <c r="E86" s="1137">
        <f>+D86/$D$211</f>
        <v>8.4173285083876462E-3</v>
      </c>
      <c r="F86" s="1137">
        <f>+C86-E86</f>
        <v>-1.353622012027854E-3</v>
      </c>
      <c r="G86" s="712">
        <f>SUMIF('Reporte Ejec 2022'!$B:$B,A86,'Reporte Ejec 2022'!$J:$J)</f>
        <v>48517757.18</v>
      </c>
      <c r="H86" s="1137">
        <f>+G86/$G$211</f>
        <v>3.0383941667176976E-3</v>
      </c>
      <c r="I86" s="1282">
        <f>+E86-H86</f>
        <v>5.3789343416699486E-3</v>
      </c>
    </row>
    <row r="87" spans="1:9" ht="15.9" hidden="1" customHeight="1" outlineLevel="2" x14ac:dyDescent="0.4">
      <c r="A87" s="674" t="s">
        <v>167</v>
      </c>
      <c r="B87" s="712">
        <v>0</v>
      </c>
      <c r="C87" s="1137">
        <f>+B87/$B$211</f>
        <v>0</v>
      </c>
      <c r="D87" s="712">
        <v>0</v>
      </c>
      <c r="E87" s="1137">
        <f>+D87/$D$211</f>
        <v>0</v>
      </c>
      <c r="F87" s="1137">
        <f>+C87-E87</f>
        <v>0</v>
      </c>
      <c r="G87" s="712">
        <f>SUMIF('Reporte Ejec 2022'!$B:$B,A87,'Reporte Ejec 2022'!$J:$J)</f>
        <v>0</v>
      </c>
      <c r="H87" s="1137">
        <f>+G87/$G$211</f>
        <v>0</v>
      </c>
      <c r="I87" s="1282">
        <f>+E87-H87</f>
        <v>0</v>
      </c>
    </row>
    <row r="88" spans="1:9" ht="15.9" customHeight="1" outlineLevel="2" x14ac:dyDescent="0.4">
      <c r="A88" s="674" t="s">
        <v>169</v>
      </c>
      <c r="B88" s="712">
        <v>150000</v>
      </c>
      <c r="C88" s="1137">
        <f>+B88/$B$211</f>
        <v>9.9986408837781332E-6</v>
      </c>
      <c r="D88" s="712">
        <v>135000</v>
      </c>
      <c r="E88" s="1137">
        <f>+D88/$D$211</f>
        <v>1.3191773260184958E-5</v>
      </c>
      <c r="F88" s="1137">
        <f>+C88-E88</f>
        <v>-3.1931323764068245E-6</v>
      </c>
      <c r="G88" s="712">
        <f>SUMIF('Reporte Ejec 2022'!$B:$B,A88,'Reporte Ejec 2022'!$J:$J)</f>
        <v>0</v>
      </c>
      <c r="H88" s="1137">
        <f>+G88/$G$211</f>
        <v>0</v>
      </c>
      <c r="I88" s="1282">
        <f>+E88-H88</f>
        <v>1.3191773260184958E-5</v>
      </c>
    </row>
    <row r="89" spans="1:9" ht="9.9" customHeight="1" outlineLevel="2" x14ac:dyDescent="0.4">
      <c r="A89" s="674"/>
      <c r="B89" s="717"/>
      <c r="C89" s="1137"/>
      <c r="D89" s="726"/>
      <c r="E89" s="1137"/>
      <c r="F89" s="1311"/>
      <c r="G89" s="726"/>
      <c r="H89" s="1311"/>
      <c r="I89" s="1282"/>
    </row>
    <row r="90" spans="1:9" ht="15.9" customHeight="1" outlineLevel="2" x14ac:dyDescent="0.4">
      <c r="A90" s="718" t="s">
        <v>171</v>
      </c>
      <c r="B90" s="719">
        <f>SUM(B92:B99)</f>
        <v>163900000</v>
      </c>
      <c r="C90" s="1150">
        <f>+B90/$B$211</f>
        <v>1.0925181605674907E-2</v>
      </c>
      <c r="D90" s="719">
        <f>SUM(D92:D99)</f>
        <v>66163500</v>
      </c>
      <c r="E90" s="1309">
        <f>+D90/$D$211</f>
        <v>6.4652880748166481E-3</v>
      </c>
      <c r="F90" s="1136">
        <f>+C90-E90</f>
        <v>4.4598935308582588E-3</v>
      </c>
      <c r="G90" s="719">
        <f>SUM(G92:G99)</f>
        <v>41875483.379999995</v>
      </c>
      <c r="H90" s="1150">
        <f>+G90/$G$211</f>
        <v>2.6224259286808994E-3</v>
      </c>
      <c r="I90" s="443">
        <f>+E90-H90</f>
        <v>3.8428621461357487E-3</v>
      </c>
    </row>
    <row r="91" spans="1:9" ht="9.9" customHeight="1" outlineLevel="2" x14ac:dyDescent="0.4">
      <c r="A91" s="674"/>
      <c r="B91" s="717"/>
      <c r="C91" s="1137"/>
      <c r="D91" s="726"/>
      <c r="E91" s="1137"/>
      <c r="F91" s="1311"/>
      <c r="G91" s="726"/>
      <c r="H91" s="1311"/>
      <c r="I91" s="1282"/>
    </row>
    <row r="92" spans="1:9" ht="15.9" customHeight="1" outlineLevel="2" x14ac:dyDescent="0.4">
      <c r="A92" s="674" t="s">
        <v>661</v>
      </c>
      <c r="B92" s="712">
        <v>500000</v>
      </c>
      <c r="C92" s="1137">
        <f t="shared" ref="C92:C99" si="15">+B92/$B$211</f>
        <v>3.3328802945927111E-5</v>
      </c>
      <c r="D92" s="712">
        <v>0</v>
      </c>
      <c r="E92" s="1137">
        <f t="shared" ref="E92:E99" si="16">+D92/$D$211</f>
        <v>0</v>
      </c>
      <c r="F92" s="1137">
        <f t="shared" ref="F92:F99" si="17">+C92-E92</f>
        <v>3.3328802945927111E-5</v>
      </c>
      <c r="G92" s="712">
        <f>SUMIF('Reporte Ejec 2022'!$B:$B,A92,'Reporte Ejec 2022'!$J:$J)</f>
        <v>0</v>
      </c>
      <c r="H92" s="1137">
        <f t="shared" ref="H92:H99" si="18">+G92/$G$211</f>
        <v>0</v>
      </c>
      <c r="I92" s="1282">
        <f>+E92-H92</f>
        <v>0</v>
      </c>
    </row>
    <row r="93" spans="1:9" ht="15.9" hidden="1" customHeight="1" outlineLevel="2" x14ac:dyDescent="0.4">
      <c r="A93" s="674" t="s">
        <v>175</v>
      </c>
      <c r="B93" s="712">
        <v>0</v>
      </c>
      <c r="C93" s="1137">
        <f t="shared" si="15"/>
        <v>0</v>
      </c>
      <c r="D93" s="1314">
        <v>0</v>
      </c>
      <c r="E93" s="1137">
        <f t="shared" si="16"/>
        <v>0</v>
      </c>
      <c r="F93" s="1137">
        <f t="shared" si="17"/>
        <v>0</v>
      </c>
      <c r="G93" s="712">
        <f>SUMIF('Reporte Ejec 2022'!$B:$B,A93,'Reporte Ejec 2022'!$J:$J)</f>
        <v>0</v>
      </c>
      <c r="H93" s="1137">
        <f t="shared" si="18"/>
        <v>0</v>
      </c>
      <c r="I93" s="1282">
        <f t="shared" ref="I93:I99" si="19">+E93-H93</f>
        <v>0</v>
      </c>
    </row>
    <row r="94" spans="1:9" ht="15.9" hidden="1" customHeight="1" outlineLevel="2" x14ac:dyDescent="0.4">
      <c r="A94" s="674" t="s">
        <v>403</v>
      </c>
      <c r="B94" s="712">
        <v>0</v>
      </c>
      <c r="C94" s="1137">
        <f t="shared" si="15"/>
        <v>0</v>
      </c>
      <c r="D94" s="712">
        <v>0</v>
      </c>
      <c r="E94" s="1137">
        <f t="shared" si="16"/>
        <v>0</v>
      </c>
      <c r="F94" s="1137">
        <f t="shared" si="17"/>
        <v>0</v>
      </c>
      <c r="G94" s="712">
        <f>SUMIF('Reporte Ejec 2022'!$B:$B,A94,'Reporte Ejec 2022'!$J:$J)</f>
        <v>0</v>
      </c>
      <c r="H94" s="1137">
        <f t="shared" si="18"/>
        <v>0</v>
      </c>
      <c r="I94" s="1282">
        <f t="shared" si="19"/>
        <v>0</v>
      </c>
    </row>
    <row r="95" spans="1:9" ht="15.9" customHeight="1" outlineLevel="2" x14ac:dyDescent="0.4">
      <c r="A95" s="674" t="s">
        <v>1210</v>
      </c>
      <c r="B95" s="712">
        <v>74200000</v>
      </c>
      <c r="C95" s="1137">
        <f t="shared" si="15"/>
        <v>4.9459943571755838E-3</v>
      </c>
      <c r="D95" s="712">
        <v>53203500</v>
      </c>
      <c r="E95" s="1137">
        <f t="shared" si="16"/>
        <v>5.1988778418388922E-3</v>
      </c>
      <c r="F95" s="1137">
        <f t="shared" si="17"/>
        <v>-2.5288348466330837E-4</v>
      </c>
      <c r="G95" s="712">
        <f>SUMIF('Reporte Ejec 2022'!$B:$B,A95,'Reporte Ejec 2022'!$J:$J)</f>
        <v>33241392.359999999</v>
      </c>
      <c r="H95" s="1137">
        <f t="shared" si="18"/>
        <v>2.0817213843065414E-3</v>
      </c>
      <c r="I95" s="1282">
        <f t="shared" si="19"/>
        <v>3.1171564575323508E-3</v>
      </c>
    </row>
    <row r="96" spans="1:9" ht="15.9" customHeight="1" outlineLevel="2" x14ac:dyDescent="0.4">
      <c r="A96" s="674" t="s">
        <v>1211</v>
      </c>
      <c r="B96" s="712">
        <v>44100000</v>
      </c>
      <c r="C96" s="1137">
        <f t="shared" si="15"/>
        <v>2.9396004198307714E-3</v>
      </c>
      <c r="D96" s="712">
        <v>5220000</v>
      </c>
      <c r="E96" s="1137">
        <f t="shared" si="16"/>
        <v>5.1008189939381833E-4</v>
      </c>
      <c r="F96" s="1137">
        <f t="shared" si="17"/>
        <v>2.429518520436953E-3</v>
      </c>
      <c r="G96" s="712">
        <f>SUMIF('Reporte Ejec 2022'!$B:$B,A96,'Reporte Ejec 2022'!$J:$J)</f>
        <v>4013331.11</v>
      </c>
      <c r="H96" s="1137">
        <f t="shared" si="18"/>
        <v>2.5133234804096237E-4</v>
      </c>
      <c r="I96" s="1282">
        <f t="shared" si="19"/>
        <v>2.5874955135285596E-4</v>
      </c>
    </row>
    <row r="97" spans="1:10" ht="15.9" customHeight="1" outlineLevel="2" x14ac:dyDescent="0.4">
      <c r="A97" s="720" t="s">
        <v>1212</v>
      </c>
      <c r="B97" s="1469">
        <v>5800000</v>
      </c>
      <c r="C97" s="1138">
        <f t="shared" si="15"/>
        <v>3.866141141727545E-4</v>
      </c>
      <c r="D97" s="1469">
        <v>1890000</v>
      </c>
      <c r="E97" s="1138">
        <f t="shared" si="16"/>
        <v>1.8468482564258941E-4</v>
      </c>
      <c r="F97" s="1138">
        <f t="shared" si="17"/>
        <v>2.0192928853016509E-4</v>
      </c>
      <c r="G97" s="1469">
        <f>SUMIF('Reporte Ejec 2022'!$B:$B,A97,'Reporte Ejec 2022'!$J:$J)</f>
        <v>795399.91</v>
      </c>
      <c r="H97" s="1138">
        <f t="shared" si="18"/>
        <v>4.9811421368587295E-5</v>
      </c>
      <c r="I97" s="1321">
        <f t="shared" si="19"/>
        <v>1.3487340427400211E-4</v>
      </c>
    </row>
    <row r="98" spans="1:10" ht="15.9" customHeight="1" outlineLevel="2" x14ac:dyDescent="0.4">
      <c r="A98" s="674" t="s">
        <v>1213</v>
      </c>
      <c r="B98" s="712">
        <f>+EGRESOS!B99</f>
        <v>39000000</v>
      </c>
      <c r="C98" s="1137">
        <f t="shared" si="15"/>
        <v>2.5996466297823146E-3</v>
      </c>
      <c r="D98" s="712">
        <v>4950000</v>
      </c>
      <c r="E98" s="1137">
        <f t="shared" si="16"/>
        <v>4.8369835287344847E-4</v>
      </c>
      <c r="F98" s="1137">
        <f t="shared" si="17"/>
        <v>2.1159482769088659E-3</v>
      </c>
      <c r="G98" s="712">
        <f>SUMIF('Reporte Ejec 2022'!$B:$B,A98,'Reporte Ejec 2022'!$J:$J)</f>
        <v>3825360</v>
      </c>
      <c r="H98" s="1137">
        <f t="shared" si="18"/>
        <v>2.3956077496480871E-4</v>
      </c>
      <c r="I98" s="1282">
        <f t="shared" si="19"/>
        <v>2.4413757790863976E-4</v>
      </c>
    </row>
    <row r="99" spans="1:10" ht="15.9" customHeight="1" outlineLevel="2" x14ac:dyDescent="0.4">
      <c r="A99" s="674" t="s">
        <v>1267</v>
      </c>
      <c r="B99" s="712">
        <v>300000</v>
      </c>
      <c r="C99" s="1137">
        <f t="shared" si="15"/>
        <v>1.9997281767556266E-5</v>
      </c>
      <c r="D99" s="712">
        <v>900000</v>
      </c>
      <c r="E99" s="1137">
        <f t="shared" si="16"/>
        <v>8.7945155067899723E-5</v>
      </c>
      <c r="F99" s="1137">
        <f t="shared" si="17"/>
        <v>-6.794787330034345E-5</v>
      </c>
      <c r="G99" s="712">
        <f>SUMIF('Reporte Ejec 2022'!$B:$B,A99,'Reporte Ejec 2022'!$J:$J)</f>
        <v>0</v>
      </c>
      <c r="H99" s="1137">
        <f t="shared" si="18"/>
        <v>0</v>
      </c>
      <c r="I99" s="1282">
        <f t="shared" si="19"/>
        <v>8.7945155067899723E-5</v>
      </c>
    </row>
    <row r="100" spans="1:10" ht="9.9" customHeight="1" outlineLevel="2" x14ac:dyDescent="0.4">
      <c r="A100" s="674"/>
      <c r="B100" s="717"/>
      <c r="C100" s="1137"/>
      <c r="D100" s="1314"/>
      <c r="E100" s="1137"/>
      <c r="F100" s="1137"/>
      <c r="G100" s="1314"/>
      <c r="H100" s="1137"/>
      <c r="I100" s="1282"/>
    </row>
    <row r="101" spans="1:10" ht="15.9" customHeight="1" outlineLevel="2" x14ac:dyDescent="0.4">
      <c r="A101" s="676" t="s">
        <v>405</v>
      </c>
      <c r="B101" s="719">
        <f>+B103+B104</f>
        <v>2160000</v>
      </c>
      <c r="C101" s="1150">
        <f>+B101/$B$211</f>
        <v>1.4398042872640511E-4</v>
      </c>
      <c r="D101" s="719">
        <f>+D103+D104</f>
        <v>1404000</v>
      </c>
      <c r="E101" s="1309">
        <f>+D101/$D$211</f>
        <v>1.3719444190592357E-4</v>
      </c>
      <c r="F101" s="1136">
        <f>+C101-E101</f>
        <v>6.7859868204815416E-6</v>
      </c>
      <c r="G101" s="719">
        <f>+G103+G104</f>
        <v>1179264.8</v>
      </c>
      <c r="H101" s="1150">
        <f>+G101/$G$211</f>
        <v>7.3850719769308031E-5</v>
      </c>
      <c r="I101" s="443">
        <f>+E101-H101</f>
        <v>6.334372213661554E-5</v>
      </c>
    </row>
    <row r="102" spans="1:10" ht="9.9" customHeight="1" outlineLevel="2" x14ac:dyDescent="0.4">
      <c r="A102" s="677"/>
      <c r="B102" s="717"/>
      <c r="C102" s="1137"/>
      <c r="D102" s="1314"/>
      <c r="E102" s="1137"/>
      <c r="F102" s="1137"/>
      <c r="G102" s="1314"/>
      <c r="H102" s="1137"/>
      <c r="I102" s="1282"/>
    </row>
    <row r="103" spans="1:10" ht="15.9" hidden="1" customHeight="1" outlineLevel="2" x14ac:dyDescent="0.4">
      <c r="A103" s="674" t="s">
        <v>188</v>
      </c>
      <c r="B103" s="717">
        <v>0</v>
      </c>
      <c r="C103" s="1137">
        <f>+B103/$B$211</f>
        <v>0</v>
      </c>
      <c r="D103" s="1314">
        <v>0</v>
      </c>
      <c r="E103" s="1137">
        <f>+D103/$D$211</f>
        <v>0</v>
      </c>
      <c r="F103" s="1137">
        <f>+C103-E103</f>
        <v>0</v>
      </c>
      <c r="G103" s="1314">
        <v>0</v>
      </c>
      <c r="H103" s="1137">
        <f>+G103/$G$211</f>
        <v>0</v>
      </c>
      <c r="I103" s="1282">
        <f>+E103-H103</f>
        <v>0</v>
      </c>
    </row>
    <row r="104" spans="1:10" ht="15.9" customHeight="1" outlineLevel="2" x14ac:dyDescent="0.4">
      <c r="A104" s="674" t="s">
        <v>407</v>
      </c>
      <c r="B104" s="712">
        <v>2160000</v>
      </c>
      <c r="C104" s="1137">
        <f>+B104/$B$211</f>
        <v>1.4398042872640511E-4</v>
      </c>
      <c r="D104" s="712">
        <v>1404000</v>
      </c>
      <c r="E104" s="1137">
        <f>+D104/$D$211</f>
        <v>1.3719444190592357E-4</v>
      </c>
      <c r="F104" s="1137">
        <f>+C104-E104</f>
        <v>6.7859868204815416E-6</v>
      </c>
      <c r="G104" s="712">
        <f>SUMIF('Reporte Ejec 2022'!$B:$B,A104,'Reporte Ejec 2022'!$J:$J)</f>
        <v>1179264.8</v>
      </c>
      <c r="H104" s="1137">
        <f>+G104/$G$211</f>
        <v>7.3850719769308031E-5</v>
      </c>
      <c r="I104" s="1282">
        <f>+E104-H104</f>
        <v>6.334372213661554E-5</v>
      </c>
    </row>
    <row r="105" spans="1:10" ht="9.9" customHeight="1" outlineLevel="2" x14ac:dyDescent="0.4">
      <c r="A105" s="674"/>
      <c r="B105" s="717"/>
      <c r="C105" s="1137"/>
      <c r="D105" s="726"/>
      <c r="E105" s="1137"/>
      <c r="F105" s="1311"/>
      <c r="G105" s="726"/>
      <c r="H105" s="1311"/>
      <c r="I105" s="1282"/>
    </row>
    <row r="106" spans="1:10" ht="15.9" customHeight="1" outlineLevel="2" x14ac:dyDescent="0.4">
      <c r="A106" s="718" t="s">
        <v>186</v>
      </c>
      <c r="B106" s="719">
        <f>SUM(B108:B110)</f>
        <v>4250000</v>
      </c>
      <c r="C106" s="1150">
        <f>+B106/$B$211</f>
        <v>2.8329482504038043E-4</v>
      </c>
      <c r="D106" s="1315">
        <f>SUM(D108:D110)</f>
        <v>2970000</v>
      </c>
      <c r="E106" s="1309">
        <f>+D106/$D$211</f>
        <v>2.9021901172406907E-4</v>
      </c>
      <c r="F106" s="1136">
        <f>+C106-E106</f>
        <v>-6.9241866836886393E-6</v>
      </c>
      <c r="G106" s="1315">
        <f>SUM(G108:G110)</f>
        <v>6994072.4500000002</v>
      </c>
      <c r="H106" s="1150">
        <f>+G106/$G$211</f>
        <v>4.3799940823400103E-4</v>
      </c>
      <c r="I106" s="443">
        <f>+E106-H106</f>
        <v>-1.4778039650993196E-4</v>
      </c>
    </row>
    <row r="107" spans="1:10" ht="9.9" customHeight="1" outlineLevel="2" x14ac:dyDescent="0.4">
      <c r="A107" s="674"/>
      <c r="B107" s="717"/>
      <c r="C107" s="1137"/>
      <c r="D107" s="726"/>
      <c r="E107" s="1137"/>
      <c r="F107" s="1311"/>
      <c r="G107" s="726"/>
      <c r="H107" s="1311"/>
      <c r="I107" s="1282"/>
    </row>
    <row r="108" spans="1:10" ht="15.9" customHeight="1" outlineLevel="2" x14ac:dyDescent="0.4">
      <c r="A108" s="674" t="s">
        <v>409</v>
      </c>
      <c r="B108" s="712">
        <v>500000</v>
      </c>
      <c r="C108" s="1137">
        <f>+B108/$B$211</f>
        <v>3.3328802945927111E-5</v>
      </c>
      <c r="D108" s="1314">
        <v>450000</v>
      </c>
      <c r="E108" s="1137">
        <f>+D108/$D$211</f>
        <v>4.3972577533949861E-5</v>
      </c>
      <c r="F108" s="1137">
        <f>+C108-E108</f>
        <v>-1.0643774588022751E-5</v>
      </c>
      <c r="G108" s="712">
        <f>SUMIF('Reporte Ejec 2022'!$B:$B,A108,'Reporte Ejec 2022'!$J:$J)</f>
        <v>6194072.4500000002</v>
      </c>
      <c r="H108" s="1137">
        <f>+G108/$G$211</f>
        <v>3.8789990910925281E-4</v>
      </c>
      <c r="I108" s="1282">
        <f>+E108-H108</f>
        <v>-3.4392733157530297E-4</v>
      </c>
    </row>
    <row r="109" spans="1:10" ht="15.9" customHeight="1" outlineLevel="2" x14ac:dyDescent="0.4">
      <c r="A109" s="674" t="s">
        <v>188</v>
      </c>
      <c r="B109" s="712">
        <v>3600000</v>
      </c>
      <c r="C109" s="1137">
        <f>+B109/$B$211</f>
        <v>2.399673812106752E-4</v>
      </c>
      <c r="D109" s="712">
        <v>2340000</v>
      </c>
      <c r="E109" s="1137">
        <f>+D109/$D$211</f>
        <v>2.2865740317653928E-4</v>
      </c>
      <c r="F109" s="1137">
        <f>+C109-E109</f>
        <v>1.1309978034135921E-5</v>
      </c>
      <c r="G109" s="712">
        <f>SUMIF('Reporte Ejec 2022'!$B:$B,A109,'Reporte Ejec 2022'!$J:$J)</f>
        <v>800000</v>
      </c>
      <c r="H109" s="1137">
        <f>+G109/$G$211</f>
        <v>5.0099499124748249E-5</v>
      </c>
      <c r="I109" s="1282">
        <f>+E109-H109</f>
        <v>1.7855790405179103E-4</v>
      </c>
    </row>
    <row r="110" spans="1:10" ht="15.9" customHeight="1" outlineLevel="2" x14ac:dyDescent="0.4">
      <c r="A110" s="674" t="s">
        <v>190</v>
      </c>
      <c r="B110" s="712">
        <v>150000</v>
      </c>
      <c r="C110" s="1137">
        <f>+B110/$B$211</f>
        <v>9.9986408837781332E-6</v>
      </c>
      <c r="D110" s="712">
        <v>180000</v>
      </c>
      <c r="E110" s="1137">
        <f>+D110/$D$211</f>
        <v>1.7589031013579943E-5</v>
      </c>
      <c r="F110" s="1137">
        <f>+C110-E110</f>
        <v>-7.5903901298018093E-6</v>
      </c>
      <c r="G110" s="712">
        <f>SUMIF('Reporte Ejec 2022'!$B:$B,A110,'Reporte Ejec 2022'!$J:$J)</f>
        <v>0</v>
      </c>
      <c r="H110" s="1137">
        <f>+G110/$G$211</f>
        <v>0</v>
      </c>
      <c r="I110" s="1282">
        <f>+E110-H110</f>
        <v>1.7589031013579943E-5</v>
      </c>
    </row>
    <row r="111" spans="1:10" ht="9.9" customHeight="1" outlineLevel="1" x14ac:dyDescent="0.4">
      <c r="A111" s="465"/>
      <c r="B111" s="717"/>
      <c r="C111" s="1137"/>
      <c r="D111" s="726"/>
      <c r="E111" s="1137"/>
      <c r="F111" s="1311"/>
      <c r="G111" s="726"/>
      <c r="H111" s="1311"/>
      <c r="I111" s="1282"/>
    </row>
    <row r="112" spans="1:10" ht="15.9" customHeight="1" x14ac:dyDescent="0.4">
      <c r="A112" s="1316" t="s">
        <v>22</v>
      </c>
      <c r="B112" s="1317">
        <f>+B114+B125+B121+B134+B139</f>
        <v>190587961.80000001</v>
      </c>
      <c r="C112" s="1318">
        <f>+B112/$B$211</f>
        <v>1.2704137245396168E-2</v>
      </c>
      <c r="D112" s="1317">
        <f>+D114+D125+D121+D134+D139</f>
        <v>164913948.40000001</v>
      </c>
      <c r="E112" s="1300">
        <f>+D112/$D$211</f>
        <v>1.6114869738775125E-2</v>
      </c>
      <c r="F112" s="1318">
        <f>+C112-E112</f>
        <v>-3.4107324933789571E-3</v>
      </c>
      <c r="G112" s="1317">
        <f>+G114+G125+G121+G134+G139</f>
        <v>262026085.64999998</v>
      </c>
      <c r="H112" s="1318">
        <f>+G112/$G$211</f>
        <v>1.640921956085423E-2</v>
      </c>
      <c r="I112" s="1319">
        <f>+E112-H112</f>
        <v>-2.9434982207910548E-4</v>
      </c>
      <c r="J112" s="433"/>
    </row>
    <row r="113" spans="1:9" ht="15.9" customHeight="1" outlineLevel="1" x14ac:dyDescent="0.4">
      <c r="A113" s="674"/>
      <c r="B113" s="1314"/>
      <c r="C113" s="1137"/>
      <c r="D113" s="1314"/>
      <c r="E113" s="1137"/>
      <c r="F113" s="1311"/>
      <c r="G113" s="1314"/>
      <c r="H113" s="1311"/>
      <c r="I113" s="1282"/>
    </row>
    <row r="114" spans="1:9" ht="15.9" customHeight="1" outlineLevel="1" x14ac:dyDescent="0.4">
      <c r="A114" s="718" t="s">
        <v>192</v>
      </c>
      <c r="B114" s="719">
        <f>SUM(B116:B119)</f>
        <v>134673220.80000001</v>
      </c>
      <c r="C114" s="1150">
        <f>+B114/$B$211</f>
        <v>8.9769944762730647E-3</v>
      </c>
      <c r="D114" s="719">
        <f>SUM(D116:D119)</f>
        <v>109762475.8</v>
      </c>
      <c r="E114" s="1309">
        <f>+D114/$D$211</f>
        <v>1.0725642172075099E-2</v>
      </c>
      <c r="F114" s="1136">
        <f>+C114-E114</f>
        <v>-1.7486476958020348E-3</v>
      </c>
      <c r="G114" s="719">
        <f>SUM(G116:G119)</f>
        <v>80868793.189999998</v>
      </c>
      <c r="H114" s="1150">
        <f>+G114/$G$211</f>
        <v>5.0643575420523147E-3</v>
      </c>
      <c r="I114" s="443">
        <f>+E114-H114</f>
        <v>5.6612846300227847E-3</v>
      </c>
    </row>
    <row r="115" spans="1:9" ht="9.9" customHeight="1" outlineLevel="1" x14ac:dyDescent="0.4">
      <c r="A115" s="674"/>
      <c r="B115" s="1314"/>
      <c r="C115" s="1137"/>
      <c r="D115" s="1314"/>
      <c r="E115" s="1137"/>
      <c r="F115" s="1311"/>
      <c r="G115" s="1314"/>
      <c r="H115" s="1311"/>
      <c r="I115" s="1282"/>
    </row>
    <row r="116" spans="1:9" ht="15.9" customHeight="1" outlineLevel="1" x14ac:dyDescent="0.4">
      <c r="A116" s="674" t="s">
        <v>194</v>
      </c>
      <c r="B116" s="712">
        <f>SUMIF('PRESUPUESTO 2024'!$B:$B,A116,'PRESUPUESTO 2024'!BE:BE)</f>
        <v>123500820.8</v>
      </c>
      <c r="C116" s="1137">
        <f>+B116/$B$211</f>
        <v>8.2322690402069128E-3</v>
      </c>
      <c r="D116" s="712">
        <v>98026518.099999994</v>
      </c>
      <c r="E116" s="1137">
        <f>+D116/$D$211</f>
        <v>9.5788414834119765E-3</v>
      </c>
      <c r="F116" s="1137">
        <f>+C116-E116</f>
        <v>-1.3465724432050637E-3</v>
      </c>
      <c r="G116" s="712">
        <f>SUMIF('Reporte Ejec 2022'!$B:$B,A116,'Reporte Ejec 2022'!$J:$J)</f>
        <v>59822293.780000001</v>
      </c>
      <c r="H116" s="1137">
        <f>+G116/$G$211</f>
        <v>3.7463336935894282E-3</v>
      </c>
      <c r="I116" s="1282">
        <f>+E116-H116</f>
        <v>5.8325077898225483E-3</v>
      </c>
    </row>
    <row r="117" spans="1:9" ht="15.9" customHeight="1" outlineLevel="1" x14ac:dyDescent="0.4">
      <c r="A117" s="674" t="s">
        <v>196</v>
      </c>
      <c r="B117" s="712">
        <f>SUMIF('PRESUPUESTO 2024'!$B:$B,A117,'PRESUPUESTO 2024'!BE:BE)</f>
        <v>4558400</v>
      </c>
      <c r="C117" s="1137">
        <f>+B117/$B$211</f>
        <v>3.0385203069742829E-4</v>
      </c>
      <c r="D117" s="712">
        <v>6587352.9000000004</v>
      </c>
      <c r="E117" s="1137">
        <f>+D117/$D$211</f>
        <v>6.4369530253053221E-4</v>
      </c>
      <c r="F117" s="1137">
        <f>+C117-E117</f>
        <v>-3.3984327183310392E-4</v>
      </c>
      <c r="G117" s="712">
        <f>SUMIF('Reporte Ejec 2022'!$B:$B,A117,'Reporte Ejec 2022'!$J:$J)</f>
        <v>16981888</v>
      </c>
      <c r="H117" s="1137">
        <f>+G117/$G$211</f>
        <v>1.063480103740716E-3</v>
      </c>
      <c r="I117" s="1282">
        <f>+E117-H117</f>
        <v>-4.1978480121018379E-4</v>
      </c>
    </row>
    <row r="118" spans="1:9" ht="15.9" customHeight="1" outlineLevel="1" x14ac:dyDescent="0.4">
      <c r="A118" s="674" t="s">
        <v>198</v>
      </c>
      <c r="B118" s="712">
        <f>SUMIF('PRESUPUESTO 2024'!$B:$B,A118,'PRESUPUESTO 2024'!BE:BE)</f>
        <v>6614000</v>
      </c>
      <c r="C118" s="1137">
        <f>+B118/$B$211</f>
        <v>4.4087340536872382E-4</v>
      </c>
      <c r="D118" s="712">
        <v>5148604.8</v>
      </c>
      <c r="E118" s="1137">
        <f>+D118/$D$211</f>
        <v>5.0310538613259205E-4</v>
      </c>
      <c r="F118" s="1137">
        <f>+C118-E118</f>
        <v>-6.2231980763868225E-5</v>
      </c>
      <c r="G118" s="712">
        <f>SUMIF('Reporte Ejec 2022'!$B:$B,A118,'Reporte Ejec 2022'!$J:$J)</f>
        <v>4064611.41</v>
      </c>
      <c r="H118" s="1137">
        <f>+G118/$G$211</f>
        <v>2.5454374472217095E-4</v>
      </c>
      <c r="I118" s="1282">
        <f>+E118-H118</f>
        <v>2.4856164141042109E-4</v>
      </c>
    </row>
    <row r="119" spans="1:9" ht="15.9" hidden="1" customHeight="1" outlineLevel="1" x14ac:dyDescent="0.4">
      <c r="A119" s="674" t="s">
        <v>200</v>
      </c>
      <c r="B119" s="712">
        <v>0</v>
      </c>
      <c r="C119" s="1137">
        <f>+B119/$B$211</f>
        <v>0</v>
      </c>
      <c r="D119" s="712">
        <v>0</v>
      </c>
      <c r="E119" s="1137">
        <f>+D119/$D$211</f>
        <v>0</v>
      </c>
      <c r="F119" s="1137">
        <f>+C119-E119</f>
        <v>0</v>
      </c>
      <c r="G119" s="712">
        <v>0</v>
      </c>
      <c r="H119" s="1137">
        <f>+G119/$G$211</f>
        <v>0</v>
      </c>
      <c r="I119" s="1282">
        <f>+E119-H119</f>
        <v>0</v>
      </c>
    </row>
    <row r="120" spans="1:9" ht="7.95" hidden="1" customHeight="1" outlineLevel="1" x14ac:dyDescent="0.4">
      <c r="A120" s="674"/>
      <c r="B120" s="1314"/>
      <c r="C120" s="1137"/>
      <c r="D120" s="1314"/>
      <c r="E120" s="1137"/>
      <c r="F120" s="1137"/>
      <c r="G120" s="1314"/>
      <c r="H120" s="1137"/>
      <c r="I120" s="1282"/>
    </row>
    <row r="121" spans="1:9" ht="15.9" hidden="1" customHeight="1" outlineLevel="1" x14ac:dyDescent="0.4">
      <c r="A121" s="718" t="s">
        <v>350</v>
      </c>
      <c r="B121" s="719">
        <f>SUM(B123)</f>
        <v>0</v>
      </c>
      <c r="C121" s="1150">
        <f>+B121/$B$211</f>
        <v>0</v>
      </c>
      <c r="D121" s="719">
        <f>SUM(D123)</f>
        <v>0</v>
      </c>
      <c r="E121" s="1309">
        <f>+D121/$D$211</f>
        <v>0</v>
      </c>
      <c r="F121" s="1136">
        <f>+C121-E121</f>
        <v>0</v>
      </c>
      <c r="G121" s="719">
        <f>SUM(G123)</f>
        <v>0</v>
      </c>
      <c r="H121" s="1150">
        <f>+G121/$G$211</f>
        <v>0</v>
      </c>
      <c r="I121" s="443">
        <f>+E121-H121</f>
        <v>0</v>
      </c>
    </row>
    <row r="122" spans="1:9" ht="7.95" hidden="1" customHeight="1" outlineLevel="1" x14ac:dyDescent="0.4">
      <c r="A122" s="674"/>
      <c r="B122" s="1314"/>
      <c r="C122" s="1137"/>
      <c r="D122" s="1314"/>
      <c r="E122" s="1137"/>
      <c r="F122" s="1137"/>
      <c r="G122" s="1314"/>
      <c r="H122" s="1137"/>
      <c r="I122" s="1282"/>
    </row>
    <row r="123" spans="1:9" ht="15.9" hidden="1" customHeight="1" outlineLevel="1" x14ac:dyDescent="0.4">
      <c r="A123" s="674" t="s">
        <v>362</v>
      </c>
      <c r="B123" s="712">
        <v>0</v>
      </c>
      <c r="C123" s="1137">
        <f>+B123/$B$211</f>
        <v>0</v>
      </c>
      <c r="D123" s="712">
        <v>0</v>
      </c>
      <c r="E123" s="1137">
        <f>+D123/$D$211</f>
        <v>0</v>
      </c>
      <c r="F123" s="1137">
        <f>+C123-E123</f>
        <v>0</v>
      </c>
      <c r="G123" s="712">
        <v>0</v>
      </c>
      <c r="H123" s="1137">
        <f>+G123/$G$211</f>
        <v>0</v>
      </c>
      <c r="I123" s="1282">
        <f>+E123-H123</f>
        <v>0</v>
      </c>
    </row>
    <row r="124" spans="1:9" ht="7.95" customHeight="1" outlineLevel="1" x14ac:dyDescent="0.4">
      <c r="A124" s="720"/>
      <c r="B124" s="1320"/>
      <c r="C124" s="1138"/>
      <c r="D124" s="1320"/>
      <c r="E124" s="1138"/>
      <c r="F124" s="1138"/>
      <c r="G124" s="1320"/>
      <c r="H124" s="1138"/>
      <c r="I124" s="1321"/>
    </row>
    <row r="125" spans="1:9" ht="15.9" customHeight="1" outlineLevel="1" x14ac:dyDescent="0.4">
      <c r="A125" s="718" t="s">
        <v>329</v>
      </c>
      <c r="B125" s="719">
        <f>SUM(B127:B132)</f>
        <v>8860000</v>
      </c>
      <c r="C125" s="1150">
        <f>+B125/$B$211</f>
        <v>5.9058638820182847E-4</v>
      </c>
      <c r="D125" s="719">
        <f>SUM(D127:D132)</f>
        <v>6150960</v>
      </c>
      <c r="E125" s="1309">
        <f>+D125/$D$211</f>
        <v>6.0105236779605384E-4</v>
      </c>
      <c r="F125" s="1136">
        <f>+C125-E125</f>
        <v>-1.0465979594225373E-5</v>
      </c>
      <c r="G125" s="719">
        <f>SUM(G127:G132)</f>
        <v>1380733.41</v>
      </c>
      <c r="H125" s="1150">
        <f>+G125/$G$211</f>
        <v>8.6467565332257079E-5</v>
      </c>
      <c r="I125" s="443">
        <f>+E125-H125</f>
        <v>5.1458480246379681E-4</v>
      </c>
    </row>
    <row r="126" spans="1:9" ht="9.9" customHeight="1" outlineLevel="1" x14ac:dyDescent="0.4">
      <c r="A126" s="674"/>
      <c r="B126" s="1314"/>
      <c r="C126" s="1137"/>
      <c r="D126" s="1314"/>
      <c r="E126" s="1137"/>
      <c r="F126" s="1311"/>
      <c r="G126" s="1314"/>
      <c r="H126" s="1311"/>
      <c r="I126" s="1282"/>
    </row>
    <row r="127" spans="1:9" ht="15.9" hidden="1" customHeight="1" outlineLevel="1" x14ac:dyDescent="0.4">
      <c r="A127" s="674" t="s">
        <v>203</v>
      </c>
      <c r="B127" s="712">
        <v>0</v>
      </c>
      <c r="C127" s="1137">
        <f t="shared" ref="C127:C132" si="20">+B127/$B$211</f>
        <v>0</v>
      </c>
      <c r="D127" s="712">
        <v>0</v>
      </c>
      <c r="E127" s="1137">
        <f t="shared" ref="E127:E132" si="21">+D127/$D$211</f>
        <v>0</v>
      </c>
      <c r="F127" s="1137">
        <f t="shared" ref="F127:F132" si="22">+C127-E127</f>
        <v>0</v>
      </c>
      <c r="G127" s="712">
        <v>0</v>
      </c>
      <c r="H127" s="1137">
        <f t="shared" ref="H127:H132" si="23">+G127/$G$211</f>
        <v>0</v>
      </c>
      <c r="I127" s="1282">
        <f t="shared" ref="I127:I132" si="24">+E127-H127</f>
        <v>0</v>
      </c>
    </row>
    <row r="128" spans="1:9" ht="15.9" hidden="1" customHeight="1" outlineLevel="1" x14ac:dyDescent="0.4">
      <c r="A128" s="674" t="s">
        <v>205</v>
      </c>
      <c r="B128" s="712">
        <v>0</v>
      </c>
      <c r="C128" s="1137">
        <f t="shared" si="20"/>
        <v>0</v>
      </c>
      <c r="D128" s="712">
        <v>0</v>
      </c>
      <c r="E128" s="1137">
        <f t="shared" si="21"/>
        <v>0</v>
      </c>
      <c r="F128" s="1137">
        <f t="shared" si="22"/>
        <v>0</v>
      </c>
      <c r="G128" s="712">
        <v>0</v>
      </c>
      <c r="H128" s="1137">
        <f t="shared" si="23"/>
        <v>0</v>
      </c>
      <c r="I128" s="1282">
        <f t="shared" si="24"/>
        <v>0</v>
      </c>
    </row>
    <row r="129" spans="1:9" ht="15.9" customHeight="1" outlineLevel="1" x14ac:dyDescent="0.4">
      <c r="A129" s="674" t="s">
        <v>207</v>
      </c>
      <c r="B129" s="712">
        <f>SUMIF('PRESUPUESTO 2024'!$B:$B,A129,'PRESUPUESTO 2024'!BE:BE)</f>
        <v>8860000</v>
      </c>
      <c r="C129" s="1137">
        <f t="shared" si="20"/>
        <v>5.9058638820182847E-4</v>
      </c>
      <c r="D129" s="712">
        <v>5880960</v>
      </c>
      <c r="E129" s="1137">
        <f t="shared" si="21"/>
        <v>5.7466882127568393E-4</v>
      </c>
      <c r="F129" s="1137">
        <f t="shared" si="22"/>
        <v>1.5917566926144542E-5</v>
      </c>
      <c r="G129" s="712">
        <f>SUMIF('Reporte Ejec 2022'!$B:$B,A129,'Reporte Ejec 2022'!$J:$J)</f>
        <v>1122553.01</v>
      </c>
      <c r="H129" s="1137">
        <f t="shared" si="23"/>
        <v>7.0299179427473136E-5</v>
      </c>
      <c r="I129" s="1282">
        <f t="shared" si="24"/>
        <v>5.0436964184821082E-4</v>
      </c>
    </row>
    <row r="130" spans="1:9" ht="15.9" hidden="1" customHeight="1" outlineLevel="1" x14ac:dyDescent="0.4">
      <c r="A130" s="674" t="s">
        <v>209</v>
      </c>
      <c r="B130" s="712">
        <f>SUMIF('PRESUPUESTO 2024'!$B:$B,A130,'PRESUPUESTO 2024'!BE:BE)</f>
        <v>0</v>
      </c>
      <c r="C130" s="1137">
        <f t="shared" si="20"/>
        <v>0</v>
      </c>
      <c r="D130" s="712">
        <v>0</v>
      </c>
      <c r="E130" s="1137">
        <f t="shared" si="21"/>
        <v>0</v>
      </c>
      <c r="F130" s="1137">
        <f t="shared" si="22"/>
        <v>0</v>
      </c>
      <c r="G130" s="712">
        <f>SUMIF('Reporte Ejec 2022'!$B:$B,A130,'Reporte Ejec 2022'!$J:$J)</f>
        <v>0</v>
      </c>
      <c r="H130" s="1137">
        <f t="shared" si="23"/>
        <v>0</v>
      </c>
      <c r="I130" s="1282">
        <f t="shared" si="24"/>
        <v>0</v>
      </c>
    </row>
    <row r="131" spans="1:9" ht="15.9" hidden="1" customHeight="1" outlineLevel="1" x14ac:dyDescent="0.4">
      <c r="A131" s="674" t="s">
        <v>211</v>
      </c>
      <c r="B131" s="712">
        <f>SUMIF('PRESUPUESTO 2024'!$B:$B,A131,'PRESUPUESTO 2024'!BE:BE)</f>
        <v>0</v>
      </c>
      <c r="C131" s="1137">
        <f t="shared" si="20"/>
        <v>0</v>
      </c>
      <c r="D131" s="712">
        <v>270000</v>
      </c>
      <c r="E131" s="1137">
        <f t="shared" si="21"/>
        <v>2.6383546520369915E-5</v>
      </c>
      <c r="F131" s="1137">
        <f t="shared" si="22"/>
        <v>-2.6383546520369915E-5</v>
      </c>
      <c r="G131" s="712">
        <f>SUMIF('Reporte Ejec 2022'!$B:$B,A131,'Reporte Ejec 2022'!$J:$J)</f>
        <v>258180.4</v>
      </c>
      <c r="H131" s="1137">
        <f t="shared" si="23"/>
        <v>1.616838590478394E-5</v>
      </c>
      <c r="I131" s="1282">
        <f t="shared" si="24"/>
        <v>1.0215160615585976E-5</v>
      </c>
    </row>
    <row r="132" spans="1:9" ht="15.9" hidden="1" customHeight="1" outlineLevel="1" x14ac:dyDescent="0.4">
      <c r="A132" s="674" t="s">
        <v>213</v>
      </c>
      <c r="B132" s="712">
        <v>0</v>
      </c>
      <c r="C132" s="1137">
        <f t="shared" si="20"/>
        <v>0</v>
      </c>
      <c r="D132" s="712">
        <v>0</v>
      </c>
      <c r="E132" s="1137">
        <f t="shared" si="21"/>
        <v>0</v>
      </c>
      <c r="F132" s="1137">
        <f t="shared" si="22"/>
        <v>0</v>
      </c>
      <c r="G132" s="712">
        <v>0</v>
      </c>
      <c r="H132" s="1137">
        <f t="shared" si="23"/>
        <v>0</v>
      </c>
      <c r="I132" s="1282">
        <f t="shared" si="24"/>
        <v>0</v>
      </c>
    </row>
    <row r="133" spans="1:9" ht="9.9" customHeight="1" outlineLevel="1" x14ac:dyDescent="0.4">
      <c r="A133" s="674"/>
      <c r="B133" s="1314"/>
      <c r="C133" s="1137"/>
      <c r="D133" s="1314"/>
      <c r="E133" s="1137"/>
      <c r="F133" s="1311"/>
      <c r="G133" s="1314"/>
      <c r="H133" s="1311"/>
      <c r="I133" s="1282"/>
    </row>
    <row r="134" spans="1:9" ht="15.9" customHeight="1" outlineLevel="1" x14ac:dyDescent="0.4">
      <c r="A134" s="718" t="s">
        <v>330</v>
      </c>
      <c r="B134" s="719">
        <f>SUM(B136:B137)</f>
        <v>18804500</v>
      </c>
      <c r="C134" s="1150">
        <f>+B134/$B$211</f>
        <v>1.2534629499933727E-3</v>
      </c>
      <c r="D134" s="719">
        <f>SUM(D136:D137)</f>
        <v>13106160</v>
      </c>
      <c r="E134" s="1309">
        <f>+D134/$D$211</f>
        <v>1.2806925261607829E-3</v>
      </c>
      <c r="F134" s="1136">
        <f>+C134-E134</f>
        <v>-2.7229576167410148E-5</v>
      </c>
      <c r="G134" s="719">
        <f>SUM(G136:G137)</f>
        <v>11885661.82</v>
      </c>
      <c r="H134" s="1150">
        <f>+G134/$G$211</f>
        <v>7.4433212993517959E-4</v>
      </c>
      <c r="I134" s="443">
        <f>+E134-H134</f>
        <v>5.3636039622560327E-4</v>
      </c>
    </row>
    <row r="135" spans="1:9" ht="9.9" customHeight="1" outlineLevel="1" x14ac:dyDescent="0.4">
      <c r="A135" s="674"/>
      <c r="B135" s="1314"/>
      <c r="C135" s="1137"/>
      <c r="D135" s="1314"/>
      <c r="E135" s="1137"/>
      <c r="F135" s="1311"/>
      <c r="G135" s="1314"/>
      <c r="H135" s="1311"/>
      <c r="I135" s="1282"/>
    </row>
    <row r="136" spans="1:9" ht="15.9" hidden="1" customHeight="1" outlineLevel="1" x14ac:dyDescent="0.4">
      <c r="A136" s="674" t="s">
        <v>217</v>
      </c>
      <c r="B136" s="712">
        <f>SUMIF('PRESUPUESTO 2024'!$B:$B,A136,'PRESUPUESTO 2024'!BE:BE)</f>
        <v>0</v>
      </c>
      <c r="C136" s="1137">
        <f>+B136/$B$211</f>
        <v>0</v>
      </c>
      <c r="D136" s="712">
        <v>0</v>
      </c>
      <c r="E136" s="1137">
        <f>+D136/$D$211</f>
        <v>0</v>
      </c>
      <c r="F136" s="1137">
        <f>+C136-E136</f>
        <v>0</v>
      </c>
      <c r="G136" s="712">
        <f>SUMIF('Reporte Ejec 2022'!$B:$B,A136,'Reporte Ejec 2022'!$J:$J)</f>
        <v>1983930.04</v>
      </c>
      <c r="H136" s="1137">
        <f>+G136/$G$211</f>
        <v>1.2424237662817721E-4</v>
      </c>
      <c r="I136" s="1282">
        <f>+E136-H136</f>
        <v>-1.2424237662817721E-4</v>
      </c>
    </row>
    <row r="137" spans="1:9" ht="15.9" customHeight="1" outlineLevel="1" x14ac:dyDescent="0.4">
      <c r="A137" s="674" t="s">
        <v>219</v>
      </c>
      <c r="B137" s="712">
        <f>SUMIF('PRESUPUESTO 2024'!$B:$B,A137,'PRESUPUESTO 2024'!BE:BE)</f>
        <v>18804500</v>
      </c>
      <c r="C137" s="1137">
        <f>+B137/$B$211</f>
        <v>1.2534629499933727E-3</v>
      </c>
      <c r="D137" s="712">
        <v>13106160</v>
      </c>
      <c r="E137" s="1137">
        <f>+D137/$D$211</f>
        <v>1.2806925261607829E-3</v>
      </c>
      <c r="F137" s="1137">
        <f>+C137-E137</f>
        <v>-2.7229576167410148E-5</v>
      </c>
      <c r="G137" s="712">
        <f>SUMIF('Reporte Ejec 2022'!$B:$B,A137,'Reporte Ejec 2022'!$J:$J)</f>
        <v>9901731.7799999993</v>
      </c>
      <c r="H137" s="1137">
        <f>+G137/$G$211</f>
        <v>6.2008975330700238E-4</v>
      </c>
      <c r="I137" s="1282">
        <f>+E137-H137</f>
        <v>6.6060277285378047E-4</v>
      </c>
    </row>
    <row r="138" spans="1:9" ht="9.9" customHeight="1" outlineLevel="1" x14ac:dyDescent="0.4">
      <c r="A138" s="674"/>
      <c r="B138" s="1314"/>
      <c r="C138" s="1137"/>
      <c r="D138" s="1314"/>
      <c r="E138" s="1137"/>
      <c r="F138" s="1311"/>
      <c r="G138" s="1314"/>
      <c r="H138" s="1311"/>
      <c r="I138" s="1282"/>
    </row>
    <row r="139" spans="1:9" ht="15.9" customHeight="1" outlineLevel="1" x14ac:dyDescent="0.4">
      <c r="A139" s="718" t="s">
        <v>337</v>
      </c>
      <c r="B139" s="719">
        <f>SUM(B141:B149)</f>
        <v>28250241</v>
      </c>
      <c r="C139" s="1150">
        <f>+B139/$B$211</f>
        <v>1.8830934309279018E-3</v>
      </c>
      <c r="D139" s="719">
        <f>SUM(D141:D149)</f>
        <v>35894352.600000001</v>
      </c>
      <c r="E139" s="1309">
        <f>+D139/$D$211</f>
        <v>3.5074826727431885E-3</v>
      </c>
      <c r="F139" s="1136">
        <f>+C139-E139</f>
        <v>-1.6243892418152867E-3</v>
      </c>
      <c r="G139" s="719">
        <f>SUM(G141:G149)</f>
        <v>167890897.22999999</v>
      </c>
      <c r="H139" s="1150">
        <f>+G139/$G$211</f>
        <v>1.0514062323534478E-2</v>
      </c>
      <c r="I139" s="443">
        <f>+E139-H139</f>
        <v>-7.0065796507912895E-3</v>
      </c>
    </row>
    <row r="140" spans="1:9" ht="9.9" customHeight="1" outlineLevel="1" x14ac:dyDescent="0.4">
      <c r="A140" s="674"/>
      <c r="B140" s="1314"/>
      <c r="C140" s="1137"/>
      <c r="D140" s="1314"/>
      <c r="E140" s="1137"/>
      <c r="F140" s="1311"/>
      <c r="G140" s="1314"/>
      <c r="H140" s="1311"/>
      <c r="I140" s="1282"/>
    </row>
    <row r="141" spans="1:9" ht="15.9" customHeight="1" outlineLevel="1" x14ac:dyDescent="0.4">
      <c r="A141" s="674" t="s">
        <v>222</v>
      </c>
      <c r="B141" s="712">
        <f>SUMIF('PRESUPUESTO 2024'!$B:$B,A141,'PRESUPUESTO 2024'!BE:BE)</f>
        <v>3966302</v>
      </c>
      <c r="C141" s="1137">
        <f t="shared" ref="C141:C149" si="25">+B141/$B$211</f>
        <v>2.6438419556407318E-4</v>
      </c>
      <c r="D141" s="712">
        <v>7387552.7999999998</v>
      </c>
      <c r="E141" s="1137">
        <f t="shared" ref="E141:E149" si="26">+D141/$D$211</f>
        <v>7.2188830729810749E-4</v>
      </c>
      <c r="F141" s="1137">
        <f t="shared" ref="F141:F149" si="27">+C141-E141</f>
        <v>-4.5750411173403431E-4</v>
      </c>
      <c r="G141" s="712">
        <f>SUMIF('Reporte Ejec 2022'!$B:$B,A141,'Reporte Ejec 2022'!$J:$J)</f>
        <v>5130769.22</v>
      </c>
      <c r="H141" s="1137">
        <f t="shared" ref="H141:H149" si="28">+G141/$G$211</f>
        <v>3.2131121005834405E-4</v>
      </c>
      <c r="I141" s="1282">
        <f>+E141-H141</f>
        <v>4.0057709723976344E-4</v>
      </c>
    </row>
    <row r="142" spans="1:9" ht="15.9" customHeight="1" outlineLevel="1" x14ac:dyDescent="0.4">
      <c r="A142" s="674" t="s">
        <v>279</v>
      </c>
      <c r="B142" s="712">
        <f>SUMIF('PRESUPUESTO 2024'!$B:$B,A142,'PRESUPUESTO 2024'!BE:BE)</f>
        <v>1038250</v>
      </c>
      <c r="C142" s="1137">
        <f t="shared" si="25"/>
        <v>6.9207259317217645E-5</v>
      </c>
      <c r="D142" s="712">
        <v>2357490.6</v>
      </c>
      <c r="E142" s="1137">
        <f t="shared" si="26"/>
        <v>2.3036652932012885E-4</v>
      </c>
      <c r="F142" s="1137">
        <f t="shared" si="27"/>
        <v>-1.6115927000291122E-4</v>
      </c>
      <c r="G142" s="712">
        <f>SUMIF('Reporte Ejec 2022'!$B:$B,A142,'Reporte Ejec 2022'!$J:$J)</f>
        <v>26910948.16</v>
      </c>
      <c r="H142" s="1137">
        <f t="shared" si="28"/>
        <v>1.6852812797350819E-3</v>
      </c>
      <c r="I142" s="1282">
        <f t="shared" ref="I142:I149" si="29">+E142-H142</f>
        <v>-1.4549147504149531E-3</v>
      </c>
    </row>
    <row r="143" spans="1:9" ht="15.9" customHeight="1" outlineLevel="1" x14ac:dyDescent="0.4">
      <c r="A143" s="674" t="s">
        <v>225</v>
      </c>
      <c r="B143" s="712">
        <f>SUMIF('PRESUPUESTO 2024'!$B:$B,A143,'PRESUPUESTO 2024'!BE:BE)</f>
        <v>3656740</v>
      </c>
      <c r="C143" s="1137">
        <f t="shared" si="25"/>
        <v>2.4374953376897902E-4</v>
      </c>
      <c r="D143" s="712">
        <v>2831148</v>
      </c>
      <c r="E143" s="1137">
        <f t="shared" si="26"/>
        <v>2.7665083320019349E-4</v>
      </c>
      <c r="F143" s="1137">
        <f t="shared" si="27"/>
        <v>-3.2901299431214472E-5</v>
      </c>
      <c r="G143" s="712">
        <f>SUMIF('Reporte Ejec 2022'!$B:$B,A143,'Reporte Ejec 2022'!$J:$J)</f>
        <v>2115924</v>
      </c>
      <c r="H143" s="1137">
        <f t="shared" si="28"/>
        <v>1.3250841573254226E-4</v>
      </c>
      <c r="I143" s="1282">
        <f t="shared" si="29"/>
        <v>1.4414241746765123E-4</v>
      </c>
    </row>
    <row r="144" spans="1:9" ht="15.9" customHeight="1" outlineLevel="1" x14ac:dyDescent="0.4">
      <c r="A144" s="674" t="s">
        <v>1222</v>
      </c>
      <c r="B144" s="712">
        <f>SUMIF('PRESUPUESTO 2024'!$B:$B,A144,'PRESUPUESTO 2024'!BE:BE)</f>
        <v>15430332</v>
      </c>
      <c r="C144" s="1137">
        <f t="shared" si="25"/>
        <v>1.0285489892364668E-3</v>
      </c>
      <c r="D144" s="712">
        <v>18446972.400000002</v>
      </c>
      <c r="E144" s="1137">
        <f t="shared" si="26"/>
        <v>1.8025798313902961E-3</v>
      </c>
      <c r="F144" s="1137">
        <f t="shared" si="27"/>
        <v>-7.740308421538293E-4</v>
      </c>
      <c r="G144" s="712">
        <f>SUMIF('Reporte Ejec 2022'!$B:$B,A144,'Reporte Ejec 2022'!$J:$J)</f>
        <v>128942418.16</v>
      </c>
      <c r="H144" s="1137">
        <f t="shared" si="28"/>
        <v>8.0749382071873023E-3</v>
      </c>
      <c r="I144" s="1282">
        <f t="shared" si="29"/>
        <v>-6.2723583757970059E-3</v>
      </c>
    </row>
    <row r="145" spans="1:10" ht="15.9" customHeight="1" outlineLevel="1" x14ac:dyDescent="0.4">
      <c r="A145" s="674" t="s">
        <v>229</v>
      </c>
      <c r="B145" s="712">
        <f>SUMIF('PRESUPUESTO 2024'!$B:$B,A145,'PRESUPUESTO 2024'!BE:BE)</f>
        <v>2912617</v>
      </c>
      <c r="C145" s="1137">
        <f t="shared" si="25"/>
        <v>1.9414807609991478E-4</v>
      </c>
      <c r="D145" s="712">
        <v>3932938.8000000003</v>
      </c>
      <c r="E145" s="1137">
        <f t="shared" si="26"/>
        <v>3.8431434737617716E-4</v>
      </c>
      <c r="F145" s="1137">
        <f t="shared" si="27"/>
        <v>-1.9016627127626238E-4</v>
      </c>
      <c r="G145" s="712">
        <f>SUMIF('Reporte Ejec 2022'!$B:$B,A145,'Reporte Ejec 2022'!$J:$J)</f>
        <v>4311604.6900000004</v>
      </c>
      <c r="H145" s="1137">
        <f t="shared" si="28"/>
        <v>2.700115442411443E-4</v>
      </c>
      <c r="I145" s="1282">
        <f t="shared" si="29"/>
        <v>1.1430280313503286E-4</v>
      </c>
    </row>
    <row r="146" spans="1:10" ht="15.9" customHeight="1" outlineLevel="1" x14ac:dyDescent="0.4">
      <c r="A146" s="674" t="s">
        <v>231</v>
      </c>
      <c r="B146" s="712">
        <f>SUMIF('PRESUPUESTO 2024'!$B:$B,A146,'PRESUPUESTO 2024'!BE:BE)</f>
        <v>74500</v>
      </c>
      <c r="C146" s="1137">
        <f t="shared" si="25"/>
        <v>4.9659916389431398E-6</v>
      </c>
      <c r="D146" s="712">
        <v>0</v>
      </c>
      <c r="E146" s="1137">
        <f t="shared" si="26"/>
        <v>0</v>
      </c>
      <c r="F146" s="1137">
        <f t="shared" si="27"/>
        <v>4.9659916389431398E-6</v>
      </c>
      <c r="G146" s="712">
        <f>SUMIF('Reporte Ejec 2022'!$B:$B,A146,'Reporte Ejec 2022'!$J:$J)</f>
        <v>76388</v>
      </c>
      <c r="H146" s="1137">
        <f t="shared" si="28"/>
        <v>4.7837506739265862E-6</v>
      </c>
      <c r="I146" s="1282">
        <f t="shared" si="29"/>
        <v>-4.7837506739265862E-6</v>
      </c>
    </row>
    <row r="147" spans="1:10" ht="15.9" hidden="1" customHeight="1" outlineLevel="1" x14ac:dyDescent="0.4">
      <c r="A147" s="674" t="s">
        <v>410</v>
      </c>
      <c r="B147" s="712">
        <f>SUMIF('PRESUPUESTO 2024'!$B:$B,A147,'PRESUPUESTO 2024'!BE:BE)</f>
        <v>0</v>
      </c>
      <c r="C147" s="1137">
        <f t="shared" si="25"/>
        <v>0</v>
      </c>
      <c r="D147" s="712">
        <v>0</v>
      </c>
      <c r="E147" s="1137">
        <f t="shared" si="26"/>
        <v>0</v>
      </c>
      <c r="F147" s="1137">
        <f t="shared" si="27"/>
        <v>0</v>
      </c>
      <c r="G147" s="712">
        <f>SUMIF('Reporte Ejec 2022'!$B:$B,A147,'Reporte Ejec 2022'!$J:$J)</f>
        <v>0</v>
      </c>
      <c r="H147" s="1137">
        <f t="shared" si="28"/>
        <v>0</v>
      </c>
      <c r="I147" s="1282">
        <f t="shared" si="29"/>
        <v>0</v>
      </c>
    </row>
    <row r="148" spans="1:10" ht="15.9" customHeight="1" outlineLevel="1" x14ac:dyDescent="0.4">
      <c r="A148" s="720" t="s">
        <v>1223</v>
      </c>
      <c r="B148" s="1469">
        <f>SUMIF('PRESUPUESTO 2024'!$B:$B,A148,'PRESUPUESTO 2024'!BE:BE)</f>
        <v>1171500</v>
      </c>
      <c r="C148" s="1138">
        <f t="shared" si="25"/>
        <v>7.8089385302307221E-5</v>
      </c>
      <c r="D148" s="1469">
        <v>938250</v>
      </c>
      <c r="E148" s="1138">
        <f t="shared" si="26"/>
        <v>9.1682824158285462E-5</v>
      </c>
      <c r="F148" s="1138">
        <f t="shared" si="27"/>
        <v>-1.359343885597824E-5</v>
      </c>
      <c r="G148" s="1469">
        <f>SUMIF('Reporte Ejec 2022'!$B:$B,A148,'Reporte Ejec 2022'!$J:$J)</f>
        <v>402845</v>
      </c>
      <c r="H148" s="1138">
        <f t="shared" si="28"/>
        <v>2.5227915906136511E-5</v>
      </c>
      <c r="I148" s="1321">
        <f t="shared" si="29"/>
        <v>6.6454908252148943E-5</v>
      </c>
    </row>
    <row r="149" spans="1:10" ht="15.9" hidden="1" customHeight="1" outlineLevel="1" x14ac:dyDescent="0.4">
      <c r="A149" s="674" t="s">
        <v>233</v>
      </c>
      <c r="B149" s="712">
        <v>0</v>
      </c>
      <c r="C149" s="1137">
        <f t="shared" si="25"/>
        <v>0</v>
      </c>
      <c r="D149" s="1314">
        <v>0</v>
      </c>
      <c r="E149" s="1137">
        <f t="shared" si="26"/>
        <v>0</v>
      </c>
      <c r="F149" s="1137">
        <f t="shared" si="27"/>
        <v>0</v>
      </c>
      <c r="G149" s="1314">
        <v>0</v>
      </c>
      <c r="H149" s="1137">
        <f t="shared" si="28"/>
        <v>0</v>
      </c>
      <c r="I149" s="1282">
        <f t="shared" si="29"/>
        <v>0</v>
      </c>
    </row>
    <row r="150" spans="1:10" ht="9.9" customHeight="1" outlineLevel="1" x14ac:dyDescent="0.4">
      <c r="A150" s="674"/>
      <c r="B150" s="712"/>
      <c r="C150" s="1137"/>
      <c r="D150" s="1314"/>
      <c r="E150" s="1137"/>
      <c r="F150" s="1137"/>
      <c r="G150" s="1314"/>
      <c r="H150" s="1137"/>
      <c r="I150" s="1282"/>
    </row>
    <row r="151" spans="1:10" x14ac:dyDescent="0.4">
      <c r="A151" s="1316" t="s">
        <v>950</v>
      </c>
      <c r="B151" s="1317">
        <f>+B153</f>
        <v>2546194511.6500001</v>
      </c>
      <c r="C151" s="1318">
        <f>+B151/$B$211</f>
        <v>0.16972323028156794</v>
      </c>
      <c r="D151" s="1317">
        <f>+D153</f>
        <v>0</v>
      </c>
      <c r="E151" s="1300">
        <f>+D151/$D$211</f>
        <v>0</v>
      </c>
      <c r="F151" s="1318">
        <f>+C151-E151</f>
        <v>0.16972323028156794</v>
      </c>
      <c r="G151" s="1317">
        <f>+G153</f>
        <v>0</v>
      </c>
      <c r="H151" s="1318">
        <f>+G151/$G$211</f>
        <v>0</v>
      </c>
      <c r="I151" s="1319">
        <f>+E151-H151</f>
        <v>0</v>
      </c>
    </row>
    <row r="152" spans="1:10" ht="9.9" customHeight="1" outlineLevel="1" x14ac:dyDescent="0.4">
      <c r="A152" s="674"/>
      <c r="B152" s="712"/>
      <c r="C152" s="1137"/>
      <c r="D152" s="1314"/>
      <c r="E152" s="1137"/>
      <c r="F152" s="1137"/>
      <c r="G152" s="1314"/>
      <c r="H152" s="1137"/>
      <c r="I152" s="1282"/>
    </row>
    <row r="153" spans="1:10" outlineLevel="1" x14ac:dyDescent="0.4">
      <c r="A153" s="718" t="s">
        <v>1244</v>
      </c>
      <c r="B153" s="719">
        <f>+B155</f>
        <v>2546194511.6500001</v>
      </c>
      <c r="C153" s="1150">
        <f>+B153/$B$211</f>
        <v>0.16972323028156794</v>
      </c>
      <c r="D153" s="719">
        <f>+D155</f>
        <v>0</v>
      </c>
      <c r="E153" s="1309">
        <f>+D153/$D$211</f>
        <v>0</v>
      </c>
      <c r="F153" s="1136">
        <f>+C153-E153</f>
        <v>0.16972323028156794</v>
      </c>
      <c r="G153" s="719">
        <f>+G155</f>
        <v>0</v>
      </c>
      <c r="H153" s="1150">
        <f>+G153/$G$211</f>
        <v>0</v>
      </c>
      <c r="I153" s="443">
        <f>+E153-H153</f>
        <v>0</v>
      </c>
      <c r="J153" s="383"/>
    </row>
    <row r="154" spans="1:10" ht="9.9" customHeight="1" outlineLevel="1" x14ac:dyDescent="0.4">
      <c r="A154" s="674"/>
      <c r="B154" s="712"/>
      <c r="C154" s="1137"/>
      <c r="D154" s="1314"/>
      <c r="E154" s="1137"/>
      <c r="F154" s="1137"/>
      <c r="G154" s="1314"/>
      <c r="H154" s="1137"/>
      <c r="I154" s="1282"/>
    </row>
    <row r="155" spans="1:10" ht="15.9" customHeight="1" outlineLevel="1" x14ac:dyDescent="0.4">
      <c r="A155" s="674" t="s">
        <v>1035</v>
      </c>
      <c r="B155" s="1314">
        <f>+EGRESOS!B155</f>
        <v>2546194511.6500001</v>
      </c>
      <c r="C155" s="1137">
        <f>+B155/$B$211</f>
        <v>0.16972323028156794</v>
      </c>
      <c r="D155" s="712">
        <v>0</v>
      </c>
      <c r="E155" s="1137">
        <f>+D155/$D$211</f>
        <v>0</v>
      </c>
      <c r="F155" s="1137">
        <f>+C155-E155</f>
        <v>0.16972323028156794</v>
      </c>
      <c r="G155" s="712">
        <f>SUMIF('Reporte Ejec 2022'!$B:$B,A155,'Reporte Ejec 2022'!$J:$J)</f>
        <v>0</v>
      </c>
      <c r="H155" s="1137">
        <f>+G155/$G$211</f>
        <v>0</v>
      </c>
      <c r="I155" s="1282">
        <f>+E155-H155</f>
        <v>0</v>
      </c>
    </row>
    <row r="156" spans="1:10" ht="7.95" customHeight="1" x14ac:dyDescent="0.4">
      <c r="A156" s="674"/>
      <c r="B156" s="712"/>
      <c r="C156" s="1137"/>
      <c r="D156" s="712"/>
      <c r="E156" s="1137"/>
      <c r="F156" s="1311"/>
      <c r="G156" s="712"/>
      <c r="H156" s="1311"/>
      <c r="I156" s="1282"/>
    </row>
    <row r="157" spans="1:10" x14ac:dyDescent="0.4">
      <c r="A157" s="1322" t="s">
        <v>57</v>
      </c>
      <c r="B157" s="1323">
        <f>+B159+B171+B176</f>
        <v>679593018</v>
      </c>
      <c r="C157" s="1324">
        <f>+B157/$B$211</f>
        <v>4.530004356069979E-2</v>
      </c>
      <c r="D157" s="1323">
        <f>+D159+D171+D176</f>
        <v>848916967.20000005</v>
      </c>
      <c r="E157" s="1325">
        <f>+D157/$D$211</f>
        <v>8.2953482577972387E-2</v>
      </c>
      <c r="F157" s="1324">
        <f>+C157-E157</f>
        <v>-3.7653439017272597E-2</v>
      </c>
      <c r="G157" s="1323">
        <f>+G159+G171+G176</f>
        <v>1591331985</v>
      </c>
      <c r="H157" s="1324">
        <f>+G157/$G$211</f>
        <v>9.9656169237114234E-2</v>
      </c>
      <c r="I157" s="1326">
        <f>+E157-H157</f>
        <v>-1.6702686659141847E-2</v>
      </c>
      <c r="J157" s="383"/>
    </row>
    <row r="158" spans="1:10" ht="9.9" customHeight="1" x14ac:dyDescent="0.4">
      <c r="A158" s="447"/>
      <c r="B158" s="1314"/>
      <c r="C158" s="1137"/>
      <c r="D158" s="1314"/>
      <c r="E158" s="1137"/>
      <c r="F158" s="1311"/>
      <c r="G158" s="1314"/>
      <c r="H158" s="1311"/>
      <c r="I158" s="1282"/>
    </row>
    <row r="159" spans="1:10" outlineLevel="1" x14ac:dyDescent="0.4">
      <c r="A159" s="718" t="s">
        <v>235</v>
      </c>
      <c r="B159" s="719">
        <f>SUM(B160:B169)</f>
        <v>255900000</v>
      </c>
      <c r="C159" s="1150">
        <f>+B159/$B$211</f>
        <v>1.7057681347725496E-2</v>
      </c>
      <c r="D159" s="719">
        <f>SUM(D160:D169)</f>
        <v>617755750</v>
      </c>
      <c r="E159" s="1309">
        <f>+D159/$D$211</f>
        <v>6.0365139142040766E-2</v>
      </c>
      <c r="F159" s="1136">
        <f>+C159-E159</f>
        <v>-4.3307457794315274E-2</v>
      </c>
      <c r="G159" s="719">
        <f>SUM(G160:G169)</f>
        <v>1292666729.9400001</v>
      </c>
      <c r="H159" s="1150">
        <f>+G159/$G$211</f>
        <v>8.0952444631525261E-2</v>
      </c>
      <c r="I159" s="443">
        <f>+E159-H159</f>
        <v>-2.0587305489484495E-2</v>
      </c>
      <c r="J159" s="383"/>
    </row>
    <row r="160" spans="1:10" ht="9.9" customHeight="1" outlineLevel="1" x14ac:dyDescent="0.4">
      <c r="A160" s="447"/>
      <c r="B160" s="1314"/>
      <c r="C160" s="1137"/>
      <c r="D160" s="1314"/>
      <c r="E160" s="1137"/>
      <c r="F160" s="1311"/>
      <c r="G160" s="1314"/>
      <c r="H160" s="1311"/>
      <c r="I160" s="1282"/>
    </row>
    <row r="161" spans="1:9" ht="15.9" hidden="1" customHeight="1" outlineLevel="1" x14ac:dyDescent="0.4">
      <c r="A161" s="674" t="s">
        <v>431</v>
      </c>
      <c r="B161" s="1314">
        <v>0</v>
      </c>
      <c r="C161" s="1137">
        <f t="shared" ref="C161:C169" si="30">+B161/$B$211</f>
        <v>0</v>
      </c>
      <c r="D161" s="1314"/>
      <c r="E161" s="1137">
        <f t="shared" ref="E161:E168" si="31">+D161/$D$211</f>
        <v>0</v>
      </c>
      <c r="F161" s="1137">
        <f t="shared" ref="F161:F168" si="32">+C161-E161</f>
        <v>0</v>
      </c>
      <c r="G161" s="1314"/>
      <c r="H161" s="1311"/>
      <c r="I161" s="1282"/>
    </row>
    <row r="162" spans="1:9" ht="15.9" customHeight="1" outlineLevel="1" x14ac:dyDescent="0.4">
      <c r="A162" s="674" t="s">
        <v>237</v>
      </c>
      <c r="B162" s="712">
        <f>SUMIF('PRESUPUESTO 2024'!$B:$B,A162,'PRESUPUESTO 2024'!BE:BE)</f>
        <v>150000000</v>
      </c>
      <c r="C162" s="1137">
        <f t="shared" si="30"/>
        <v>9.9986408837781336E-3</v>
      </c>
      <c r="D162" s="712">
        <v>225000000</v>
      </c>
      <c r="E162" s="1137">
        <f t="shared" si="31"/>
        <v>2.1986288766974931E-2</v>
      </c>
      <c r="F162" s="1137">
        <f t="shared" si="32"/>
        <v>-1.1987647883196798E-2</v>
      </c>
      <c r="G162" s="712">
        <f>SUMIF('Reporte Ejec 2022'!$B:$B,A162,'Reporte Ejec 2022'!$J:$J)</f>
        <v>0</v>
      </c>
      <c r="H162" s="1137">
        <f t="shared" ref="H162:H168" si="33">+G162/$G$211</f>
        <v>0</v>
      </c>
      <c r="I162" s="1282">
        <f t="shared" ref="I162:I168" si="34">+E162-H162</f>
        <v>2.1986288766974931E-2</v>
      </c>
    </row>
    <row r="163" spans="1:9" ht="15.9" customHeight="1" outlineLevel="1" x14ac:dyDescent="0.4">
      <c r="A163" s="674" t="s">
        <v>239</v>
      </c>
      <c r="B163" s="712">
        <f>SUMIF('PRESUPUESTO 2024'!$B:$B,A163,'PRESUPUESTO 2024'!BE:BE)</f>
        <v>3400000</v>
      </c>
      <c r="C163" s="1137">
        <f t="shared" si="30"/>
        <v>2.2663586003230437E-4</v>
      </c>
      <c r="D163" s="712">
        <v>15063750</v>
      </c>
      <c r="E163" s="1137">
        <f t="shared" si="31"/>
        <v>1.4719820329489716E-3</v>
      </c>
      <c r="F163" s="1137">
        <f t="shared" si="32"/>
        <v>-1.2453461729166671E-3</v>
      </c>
      <c r="G163" s="712">
        <f>SUMIF('Reporte Ejec 2022'!$B:$B,A163,'Reporte Ejec 2022'!$J:$J)</f>
        <v>1077012837.23</v>
      </c>
      <c r="H163" s="1137">
        <f t="shared" si="33"/>
        <v>6.7447254620183764E-2</v>
      </c>
      <c r="I163" s="1282">
        <f t="shared" si="34"/>
        <v>-6.597527258723479E-2</v>
      </c>
    </row>
    <row r="164" spans="1:9" ht="15.9" hidden="1" customHeight="1" outlineLevel="1" x14ac:dyDescent="0.4">
      <c r="A164" s="674" t="s">
        <v>241</v>
      </c>
      <c r="B164" s="712">
        <f>SUMIF('PRESUPUESTO 2024'!$B:$B,A164,'PRESUPUESTO 2024'!BE:BE)</f>
        <v>0</v>
      </c>
      <c r="C164" s="1137">
        <f t="shared" si="30"/>
        <v>0</v>
      </c>
      <c r="D164" s="712">
        <v>315000</v>
      </c>
      <c r="E164" s="1137">
        <f t="shared" si="31"/>
        <v>3.0780804273764904E-5</v>
      </c>
      <c r="F164" s="1137">
        <f t="shared" si="32"/>
        <v>-3.0780804273764904E-5</v>
      </c>
      <c r="G164" s="712">
        <f>SUMIF('Reporte Ejec 2022'!$B:$B,A164,'Reporte Ejec 2022'!$J:$J)</f>
        <v>0</v>
      </c>
      <c r="H164" s="1137">
        <f t="shared" si="33"/>
        <v>0</v>
      </c>
      <c r="I164" s="1282">
        <f t="shared" si="34"/>
        <v>3.0780804273764904E-5</v>
      </c>
    </row>
    <row r="165" spans="1:9" ht="15.9" customHeight="1" outlineLevel="1" x14ac:dyDescent="0.4">
      <c r="A165" s="674" t="s">
        <v>1336</v>
      </c>
      <c r="B165" s="712">
        <f>SUMIF('PRESUPUESTO 2024'!$B:$B,A165,'PRESUPUESTO 2024'!BE:BE)</f>
        <v>100000000</v>
      </c>
      <c r="C165" s="1137">
        <f t="shared" si="30"/>
        <v>6.6657605891854224E-3</v>
      </c>
      <c r="D165" s="712">
        <v>376144000</v>
      </c>
      <c r="E165" s="1137">
        <f t="shared" si="31"/>
        <v>3.6755602675400081E-2</v>
      </c>
      <c r="F165" s="1137">
        <f t="shared" si="32"/>
        <v>-3.0089842086214659E-2</v>
      </c>
      <c r="G165" s="712">
        <f>SUMIF('Reporte Ejec 2022'!$B:$B,A165,'Reporte Ejec 2022'!$J:$J)</f>
        <v>215653892.71000001</v>
      </c>
      <c r="H165" s="1137">
        <f t="shared" si="33"/>
        <v>1.3505190011341497E-2</v>
      </c>
      <c r="I165" s="1282">
        <f t="shared" si="34"/>
        <v>2.3250412664058584E-2</v>
      </c>
    </row>
    <row r="166" spans="1:9" ht="15.9" customHeight="1" outlineLevel="1" x14ac:dyDescent="0.4">
      <c r="A166" s="674" t="s">
        <v>245</v>
      </c>
      <c r="B166" s="712">
        <f>SUMIF('PRESUPUESTO 2024'!$B:$B,A166,'PRESUPUESTO 2024'!BE:BE)</f>
        <v>2500000</v>
      </c>
      <c r="C166" s="1137">
        <f t="shared" si="30"/>
        <v>1.6664401472963556E-4</v>
      </c>
      <c r="D166" s="712">
        <v>0</v>
      </c>
      <c r="E166" s="1137">
        <f t="shared" si="31"/>
        <v>0</v>
      </c>
      <c r="F166" s="1137">
        <f t="shared" si="32"/>
        <v>1.6664401472963556E-4</v>
      </c>
      <c r="G166" s="712">
        <f>SUMIF('Reporte Ejec 2022'!$B:$B,A166,'Reporte Ejec 2022'!$J:$J)</f>
        <v>0</v>
      </c>
      <c r="H166" s="1137">
        <f t="shared" si="33"/>
        <v>0</v>
      </c>
      <c r="I166" s="1282">
        <f t="shared" si="34"/>
        <v>0</v>
      </c>
    </row>
    <row r="167" spans="1:9" ht="15.9" hidden="1" customHeight="1" outlineLevel="1" x14ac:dyDescent="0.4">
      <c r="A167" s="674" t="s">
        <v>331</v>
      </c>
      <c r="B167" s="712">
        <f>SUMIF('PRESUPUESTO 2024'!$B:$B,A167,'PRESUPUESTO 2024'!BE:BE)</f>
        <v>0</v>
      </c>
      <c r="C167" s="1137">
        <f t="shared" si="30"/>
        <v>0</v>
      </c>
      <c r="D167" s="712">
        <v>0</v>
      </c>
      <c r="E167" s="1137">
        <f t="shared" si="31"/>
        <v>0</v>
      </c>
      <c r="F167" s="1137">
        <f t="shared" si="32"/>
        <v>0</v>
      </c>
      <c r="G167" s="712">
        <v>0</v>
      </c>
      <c r="H167" s="1137">
        <f t="shared" si="33"/>
        <v>0</v>
      </c>
      <c r="I167" s="1282">
        <f t="shared" si="34"/>
        <v>0</v>
      </c>
    </row>
    <row r="168" spans="1:9" ht="15.9" hidden="1" customHeight="1" outlineLevel="1" x14ac:dyDescent="0.4">
      <c r="A168" s="674" t="s">
        <v>249</v>
      </c>
      <c r="B168" s="712">
        <f>SUMIF('PRESUPUESTO 2024'!$B:$B,A168,'PRESUPUESTO 2024'!BE:BE)</f>
        <v>0</v>
      </c>
      <c r="C168" s="1137">
        <f t="shared" si="30"/>
        <v>0</v>
      </c>
      <c r="D168" s="712">
        <v>1233000</v>
      </c>
      <c r="E168" s="1137">
        <f t="shared" si="31"/>
        <v>1.2048486244302262E-4</v>
      </c>
      <c r="F168" s="1137">
        <f t="shared" si="32"/>
        <v>-1.2048486244302262E-4</v>
      </c>
      <c r="G168" s="712">
        <v>0</v>
      </c>
      <c r="H168" s="1137">
        <f t="shared" si="33"/>
        <v>0</v>
      </c>
      <c r="I168" s="1282">
        <f t="shared" si="34"/>
        <v>1.2048486244302262E-4</v>
      </c>
    </row>
    <row r="169" spans="1:9" ht="15.9" hidden="1" customHeight="1" outlineLevel="1" x14ac:dyDescent="0.4">
      <c r="A169" s="1327"/>
      <c r="B169" s="1328"/>
      <c r="C169" s="1137">
        <f t="shared" si="30"/>
        <v>0</v>
      </c>
      <c r="D169" s="1328"/>
      <c r="E169" s="1329">
        <f>+D169/$D$211</f>
        <v>0</v>
      </c>
      <c r="F169" s="1329">
        <f>+C169-E169</f>
        <v>0</v>
      </c>
      <c r="G169" s="1328"/>
      <c r="H169" s="1329"/>
      <c r="I169" s="1330"/>
    </row>
    <row r="170" spans="1:9" ht="7.95" hidden="1" customHeight="1" outlineLevel="1" x14ac:dyDescent="0.4">
      <c r="A170" s="683"/>
      <c r="B170" s="1314"/>
      <c r="C170" s="1137"/>
      <c r="D170" s="1314"/>
      <c r="E170" s="1137"/>
      <c r="F170" s="1311"/>
      <c r="G170" s="1314"/>
      <c r="H170" s="1311"/>
      <c r="I170" s="1282"/>
    </row>
    <row r="171" spans="1:9" ht="15.9" hidden="1" customHeight="1" outlineLevel="1" x14ac:dyDescent="0.4">
      <c r="A171" s="718" t="s">
        <v>338</v>
      </c>
      <c r="B171" s="719">
        <f>SUM(B173:B174)</f>
        <v>0</v>
      </c>
      <c r="C171" s="1150">
        <f>+B171/$B$211</f>
        <v>0</v>
      </c>
      <c r="D171" s="719">
        <f>SUM(D173:D174)</f>
        <v>0</v>
      </c>
      <c r="E171" s="1309">
        <f>+D171/$D$211</f>
        <v>0</v>
      </c>
      <c r="F171" s="1136">
        <f>+C171-E171</f>
        <v>0</v>
      </c>
      <c r="G171" s="719">
        <f>SUM(G173:G174)</f>
        <v>0</v>
      </c>
      <c r="H171" s="1150">
        <f>+G171/$G$211</f>
        <v>0</v>
      </c>
      <c r="I171" s="443">
        <f>+E171-H171</f>
        <v>0</v>
      </c>
    </row>
    <row r="172" spans="1:9" ht="15.9" hidden="1" customHeight="1" outlineLevel="1" x14ac:dyDescent="0.4">
      <c r="A172" s="683"/>
      <c r="B172" s="1314"/>
      <c r="C172" s="1137"/>
      <c r="D172" s="1314"/>
      <c r="E172" s="1137"/>
      <c r="F172" s="1311"/>
      <c r="G172" s="1314"/>
      <c r="H172" s="1311"/>
      <c r="I172" s="1282"/>
    </row>
    <row r="173" spans="1:9" ht="15.9" hidden="1" customHeight="1" outlineLevel="1" x14ac:dyDescent="0.4">
      <c r="A173" s="674" t="s">
        <v>253</v>
      </c>
      <c r="B173" s="1314">
        <v>0</v>
      </c>
      <c r="C173" s="1137">
        <f>+B173/$B$211</f>
        <v>0</v>
      </c>
      <c r="D173" s="1314">
        <v>0</v>
      </c>
      <c r="E173" s="1137">
        <f>+D173/$D$211</f>
        <v>0</v>
      </c>
      <c r="F173" s="1137">
        <f>+C173-E173</f>
        <v>0</v>
      </c>
      <c r="G173" s="1314">
        <v>0</v>
      </c>
      <c r="H173" s="1137">
        <f>+G173/$G$211</f>
        <v>0</v>
      </c>
      <c r="I173" s="1282">
        <f>+E173-H173</f>
        <v>0</v>
      </c>
    </row>
    <row r="174" spans="1:9" ht="15.9" hidden="1" customHeight="1" outlineLevel="1" x14ac:dyDescent="0.4">
      <c r="A174" s="674" t="s">
        <v>255</v>
      </c>
      <c r="B174" s="1314">
        <v>0</v>
      </c>
      <c r="C174" s="1137">
        <f>+B174/$B$211</f>
        <v>0</v>
      </c>
      <c r="D174" s="1314">
        <v>0</v>
      </c>
      <c r="E174" s="1137">
        <f>+D174/$D$211</f>
        <v>0</v>
      </c>
      <c r="F174" s="1137">
        <f>+C174-E174</f>
        <v>0</v>
      </c>
      <c r="G174" s="1314">
        <v>0</v>
      </c>
      <c r="H174" s="1137">
        <f>+G174/$G$211</f>
        <v>0</v>
      </c>
      <c r="I174" s="1282">
        <f>+E174-H174</f>
        <v>0</v>
      </c>
    </row>
    <row r="175" spans="1:9" ht="9.9" customHeight="1" outlineLevel="1" x14ac:dyDescent="0.4">
      <c r="A175" s="720"/>
      <c r="B175" s="1320"/>
      <c r="C175" s="1138"/>
      <c r="D175" s="1320"/>
      <c r="E175" s="1138"/>
      <c r="F175" s="1331"/>
      <c r="G175" s="1320"/>
      <c r="H175" s="1331"/>
      <c r="I175" s="1321"/>
    </row>
    <row r="176" spans="1:9" outlineLevel="1" x14ac:dyDescent="0.4">
      <c r="A176" s="718" t="s">
        <v>338</v>
      </c>
      <c r="B176" s="719">
        <f>SUM(B178:B179)</f>
        <v>423693018</v>
      </c>
      <c r="C176" s="1150">
        <f>+B176/$B$211</f>
        <v>2.8242362212974298E-2</v>
      </c>
      <c r="D176" s="719">
        <f>SUM(D178:D179)</f>
        <v>231161217.19999999</v>
      </c>
      <c r="E176" s="1309">
        <f>+D176/$D$211</f>
        <v>2.2588343435931607E-2</v>
      </c>
      <c r="F176" s="1136">
        <f>+C176-E176</f>
        <v>5.6540187770426908E-3</v>
      </c>
      <c r="G176" s="719">
        <f>SUM(G178:G179)</f>
        <v>298665255.06</v>
      </c>
      <c r="H176" s="1150">
        <f>+G176/$G$211</f>
        <v>1.8703724605588976E-2</v>
      </c>
      <c r="I176" s="443">
        <f>+E176-H176</f>
        <v>3.8846188303426309E-3</v>
      </c>
    </row>
    <row r="177" spans="1:10" ht="7.95" customHeight="1" outlineLevel="1" x14ac:dyDescent="0.4">
      <c r="A177" s="674"/>
      <c r="B177" s="1314"/>
      <c r="C177" s="1137"/>
      <c r="D177" s="1314"/>
      <c r="E177" s="1137"/>
      <c r="F177" s="1311"/>
      <c r="G177" s="1314"/>
      <c r="H177" s="1311"/>
      <c r="I177" s="1282"/>
    </row>
    <row r="178" spans="1:10" ht="15.9" customHeight="1" outlineLevel="1" x14ac:dyDescent="0.4">
      <c r="A178" s="674" t="s">
        <v>1228</v>
      </c>
      <c r="B178" s="712">
        <f>SUMIF('PRESUPUESTO 2024'!$B:$B,A178,'PRESUPUESTO 2024'!BE:BE)</f>
        <v>423693018</v>
      </c>
      <c r="C178" s="1137">
        <f>+B178/$B$211</f>
        <v>2.8242362212974298E-2</v>
      </c>
      <c r="D178" s="712">
        <v>231161217.19999999</v>
      </c>
      <c r="E178" s="1137">
        <f>+D178/$D$211</f>
        <v>2.2588343435931607E-2</v>
      </c>
      <c r="F178" s="1137">
        <f>+C178-E178</f>
        <v>5.6540187770426908E-3</v>
      </c>
      <c r="G178" s="712">
        <f>SUMIF('Reporte Ejec 2022'!$B:$B,A178,'Reporte Ejec 2022'!$J:$J)</f>
        <v>298665255.06</v>
      </c>
      <c r="H178" s="1137">
        <f>+G178/$G$211</f>
        <v>1.8703724605588976E-2</v>
      </c>
      <c r="I178" s="1282">
        <f>+E178-H178</f>
        <v>3.8846188303426309E-3</v>
      </c>
    </row>
    <row r="179" spans="1:10" ht="15.9" hidden="1" customHeight="1" outlineLevel="1" x14ac:dyDescent="0.4">
      <c r="A179" s="674" t="s">
        <v>260</v>
      </c>
      <c r="B179" s="712">
        <v>0</v>
      </c>
      <c r="C179" s="1137">
        <f>+B179/$B$211</f>
        <v>0</v>
      </c>
      <c r="D179" s="1314">
        <v>0</v>
      </c>
      <c r="E179" s="1137">
        <f>+D179/$D$211</f>
        <v>0</v>
      </c>
      <c r="F179" s="1137">
        <f>+C179-E179</f>
        <v>0</v>
      </c>
      <c r="G179" s="1314">
        <v>0</v>
      </c>
      <c r="H179" s="1137">
        <f>+G179/$G$211</f>
        <v>0</v>
      </c>
      <c r="I179" s="1282">
        <f>+E179-H179</f>
        <v>0</v>
      </c>
    </row>
    <row r="180" spans="1:10" ht="7.95" customHeight="1" outlineLevel="1" x14ac:dyDescent="0.4">
      <c r="A180" s="447"/>
      <c r="B180" s="1314"/>
      <c r="C180" s="1137"/>
      <c r="D180" s="1314"/>
      <c r="E180" s="1137"/>
      <c r="F180" s="1311"/>
      <c r="G180" s="1314"/>
      <c r="H180" s="1311"/>
      <c r="I180" s="1282"/>
    </row>
    <row r="181" spans="1:10" x14ac:dyDescent="0.4">
      <c r="A181" s="1316" t="s">
        <v>261</v>
      </c>
      <c r="B181" s="1317">
        <f>+B183+B194+B201+B189</f>
        <v>502977272</v>
      </c>
      <c r="C181" s="1318">
        <f>+B181/$B$211</f>
        <v>3.3527260769535966E-2</v>
      </c>
      <c r="D181" s="1317">
        <f>+D183+D194+D201+D189</f>
        <v>596166018.29999995</v>
      </c>
      <c r="E181" s="1300">
        <f>+D181/$D$211</f>
        <v>5.8255458806228712E-2</v>
      </c>
      <c r="F181" s="1318">
        <f>+C181-E181</f>
        <v>-2.4728198036692746E-2</v>
      </c>
      <c r="G181" s="1317">
        <f>+G183+G194+G201+G189</f>
        <v>643465547</v>
      </c>
      <c r="H181" s="1318">
        <f>+G181/$G$211</f>
        <v>4.0296627010915194E-2</v>
      </c>
      <c r="I181" s="1319">
        <f>+E181-H181</f>
        <v>1.7958831795313518E-2</v>
      </c>
      <c r="J181" s="383"/>
    </row>
    <row r="182" spans="1:10" ht="9.9" customHeight="1" x14ac:dyDescent="0.4">
      <c r="A182" s="447"/>
      <c r="B182" s="1314"/>
      <c r="C182" s="1137"/>
      <c r="D182" s="1314"/>
      <c r="E182" s="1137"/>
      <c r="F182" s="1311"/>
      <c r="G182" s="1314"/>
      <c r="H182" s="1311"/>
      <c r="I182" s="1282"/>
    </row>
    <row r="183" spans="1:10" ht="17.399999999999999" customHeight="1" outlineLevel="1" x14ac:dyDescent="0.4">
      <c r="A183" s="718" t="s">
        <v>336</v>
      </c>
      <c r="B183" s="719">
        <f>SUM(B185:B187)</f>
        <v>441894272</v>
      </c>
      <c r="C183" s="1150">
        <f>+B183/$B$211</f>
        <v>2.9455614228843834E-2</v>
      </c>
      <c r="D183" s="719">
        <f>SUM(D185:D187)</f>
        <v>387915018.30000001</v>
      </c>
      <c r="E183" s="1309">
        <f>+D183/$D$211</f>
        <v>3.7905829375067396E-2</v>
      </c>
      <c r="F183" s="1136">
        <f>+C183-E183</f>
        <v>-8.4502151462235615E-3</v>
      </c>
      <c r="G183" s="719">
        <f>SUM(G185:G187)</f>
        <v>423292866</v>
      </c>
      <c r="H183" s="1150">
        <f>+G183/$G$211</f>
        <v>2.6508450712098973E-2</v>
      </c>
      <c r="I183" s="443">
        <f>+E183-H183</f>
        <v>1.1397378662968423E-2</v>
      </c>
    </row>
    <row r="184" spans="1:10" ht="9.9" customHeight="1" outlineLevel="1" x14ac:dyDescent="0.4">
      <c r="A184" s="447"/>
      <c r="B184" s="1314"/>
      <c r="C184" s="1137"/>
      <c r="D184" s="1314"/>
      <c r="E184" s="1137"/>
      <c r="F184" s="1311"/>
      <c r="G184" s="1314"/>
      <c r="H184" s="1311"/>
      <c r="I184" s="1282"/>
    </row>
    <row r="185" spans="1:10" ht="15.9" customHeight="1" outlineLevel="1" x14ac:dyDescent="0.4">
      <c r="A185" s="447" t="s">
        <v>413</v>
      </c>
      <c r="B185" s="712">
        <f>SUMIF('PRESUPUESTO 2024'!$B:$B,A185,'PRESUPUESTO 2024'!BE:BE)</f>
        <v>441894272</v>
      </c>
      <c r="C185" s="1137">
        <f>+B185/$B$211</f>
        <v>2.9455614228843834E-2</v>
      </c>
      <c r="D185" s="712">
        <v>387915018.30000001</v>
      </c>
      <c r="E185" s="1137">
        <f>+D185/$D$211</f>
        <v>3.7905829375067396E-2</v>
      </c>
      <c r="F185" s="1137">
        <f>+C185-E185</f>
        <v>-8.4502151462235615E-3</v>
      </c>
      <c r="G185" s="712">
        <f>SUMIF('Reporte Ejec 2022'!$B:$B,A185,'Reporte Ejec 2022'!$J:$J)</f>
        <v>423292866</v>
      </c>
      <c r="H185" s="1137">
        <f>+G185/$G$211</f>
        <v>2.6508450712098973E-2</v>
      </c>
      <c r="I185" s="1282">
        <f>+E185-H185</f>
        <v>1.1397378662968423E-2</v>
      </c>
    </row>
    <row r="186" spans="1:10" ht="15.9" hidden="1" customHeight="1" outlineLevel="1" x14ac:dyDescent="0.4">
      <c r="A186" s="447" t="s">
        <v>59</v>
      </c>
      <c r="B186" s="712">
        <v>0</v>
      </c>
      <c r="C186" s="1137">
        <f>+B186/$B$211</f>
        <v>0</v>
      </c>
      <c r="D186" s="712">
        <v>0</v>
      </c>
      <c r="E186" s="1137">
        <f>+D186/$D$211</f>
        <v>0</v>
      </c>
      <c r="F186" s="1137">
        <f>+C186-E186</f>
        <v>0</v>
      </c>
      <c r="G186" s="712">
        <v>0</v>
      </c>
      <c r="H186" s="1137">
        <f>+G186/$G$211</f>
        <v>0</v>
      </c>
      <c r="I186" s="1282">
        <f>+E186-H186</f>
        <v>0</v>
      </c>
    </row>
    <row r="187" spans="1:10" ht="15.9" hidden="1" customHeight="1" outlineLevel="1" x14ac:dyDescent="0.4">
      <c r="A187" s="447" t="s">
        <v>784</v>
      </c>
      <c r="B187" s="1314">
        <v>0</v>
      </c>
      <c r="C187" s="1137">
        <f>+B187/$B$211</f>
        <v>0</v>
      </c>
      <c r="D187" s="1314">
        <v>0</v>
      </c>
      <c r="E187" s="1137">
        <f>+D187/$D$211</f>
        <v>0</v>
      </c>
      <c r="F187" s="1137">
        <f>+C187-E187</f>
        <v>0</v>
      </c>
      <c r="G187" s="1314">
        <v>0</v>
      </c>
      <c r="H187" s="1137">
        <f>+G187/$G$211</f>
        <v>0</v>
      </c>
      <c r="I187" s="1282">
        <f>+E187-H187</f>
        <v>0</v>
      </c>
    </row>
    <row r="188" spans="1:10" ht="9.9" customHeight="1" outlineLevel="1" x14ac:dyDescent="0.4">
      <c r="A188" s="447"/>
      <c r="B188" s="1314"/>
      <c r="C188" s="1137"/>
      <c r="D188" s="1314"/>
      <c r="E188" s="1137"/>
      <c r="F188" s="1311"/>
      <c r="G188" s="1314"/>
      <c r="H188" s="1311"/>
      <c r="I188" s="1282"/>
    </row>
    <row r="189" spans="1:10" ht="15.9" customHeight="1" outlineLevel="1" x14ac:dyDescent="0.4">
      <c r="A189" s="718" t="s">
        <v>806</v>
      </c>
      <c r="B189" s="719">
        <f>+B191+B192</f>
        <v>7780000</v>
      </c>
      <c r="C189" s="1150">
        <f>+B189/$B$211</f>
        <v>5.1859617383862586E-4</v>
      </c>
      <c r="D189" s="719">
        <f>+D191+D192</f>
        <v>2250000</v>
      </c>
      <c r="E189" s="1309">
        <f>+D189/$D$211</f>
        <v>2.1986288766974929E-4</v>
      </c>
      <c r="F189" s="1136">
        <f>+C189-E189</f>
        <v>2.987332861688766E-4</v>
      </c>
      <c r="G189" s="719">
        <f>+G191+G192</f>
        <v>44414000</v>
      </c>
      <c r="H189" s="1150">
        <f>+G189/$G$211</f>
        <v>2.7813989426582106E-3</v>
      </c>
      <c r="I189" s="443">
        <f>+E189-H189</f>
        <v>-2.5615360549884614E-3</v>
      </c>
    </row>
    <row r="190" spans="1:10" ht="9.9" customHeight="1" outlineLevel="1" x14ac:dyDescent="0.4">
      <c r="A190" s="447"/>
      <c r="B190" s="1314"/>
      <c r="C190" s="1137"/>
      <c r="D190" s="1314"/>
      <c r="E190" s="1137"/>
      <c r="F190" s="1311"/>
      <c r="G190" s="1314"/>
      <c r="H190" s="1311"/>
      <c r="I190" s="1282"/>
    </row>
    <row r="191" spans="1:10" ht="15.9" customHeight="1" outlineLevel="1" x14ac:dyDescent="0.4">
      <c r="A191" s="447" t="s">
        <v>810</v>
      </c>
      <c r="B191" s="712">
        <f>SUMIF('PRESUPUESTO 2024'!$B:$B,A191,'PRESUPUESTO 2024'!BE:BE)</f>
        <v>7780000</v>
      </c>
      <c r="C191" s="1137">
        <f>+B191/$B$211</f>
        <v>5.1859617383862586E-4</v>
      </c>
      <c r="D191" s="712">
        <v>2250000</v>
      </c>
      <c r="E191" s="1137">
        <f>+D191/$D$211</f>
        <v>2.1986288766974929E-4</v>
      </c>
      <c r="F191" s="1137">
        <f>+C191-E191</f>
        <v>2.987332861688766E-4</v>
      </c>
      <c r="G191" s="712">
        <f>SUMIF('Reporte Ejec 2022'!$B:$B,A191,'Reporte Ejec 2022'!$J:$J)</f>
        <v>0</v>
      </c>
      <c r="H191" s="1137">
        <f>+G191/$G$211</f>
        <v>0</v>
      </c>
      <c r="I191" s="1282">
        <f>+E191-H191</f>
        <v>2.1986288766974929E-4</v>
      </c>
    </row>
    <row r="192" spans="1:10" ht="15.9" hidden="1" customHeight="1" outlineLevel="1" x14ac:dyDescent="0.4">
      <c r="A192" s="447" t="s">
        <v>814</v>
      </c>
      <c r="B192" s="712">
        <f>SUMIF('PRESUPUESTO 2024'!$B:$B,A192,'PRESUPUESTO 2024'!BE:BE)</f>
        <v>0</v>
      </c>
      <c r="C192" s="1137">
        <f>+B192/$B$211</f>
        <v>0</v>
      </c>
      <c r="D192" s="712">
        <v>0</v>
      </c>
      <c r="E192" s="1137">
        <f>+D192/$D$211</f>
        <v>0</v>
      </c>
      <c r="F192" s="1137">
        <f>+C192-E192</f>
        <v>0</v>
      </c>
      <c r="G192" s="712">
        <f>SUMIF('Reporte Ejec 2022'!$B:$B,A192,'Reporte Ejec 2022'!$J:$J)</f>
        <v>44414000</v>
      </c>
      <c r="H192" s="1137">
        <f>+G192/$G$211</f>
        <v>2.7813989426582106E-3</v>
      </c>
      <c r="I192" s="1282">
        <f>+E192-H192</f>
        <v>-2.7813989426582106E-3</v>
      </c>
    </row>
    <row r="193" spans="1:9" ht="9.9" customHeight="1" outlineLevel="1" x14ac:dyDescent="0.4">
      <c r="A193" s="447"/>
      <c r="B193" s="1314"/>
      <c r="C193" s="1137"/>
      <c r="D193" s="1314"/>
      <c r="E193" s="1137"/>
      <c r="F193" s="1311"/>
      <c r="G193" s="1314"/>
      <c r="H193" s="1311"/>
      <c r="I193" s="1282"/>
    </row>
    <row r="194" spans="1:9" ht="15.9" customHeight="1" outlineLevel="1" x14ac:dyDescent="0.4">
      <c r="A194" s="718" t="s">
        <v>265</v>
      </c>
      <c r="B194" s="719">
        <f>SUM(B196:B199)</f>
        <v>52103000</v>
      </c>
      <c r="C194" s="1150">
        <f>+B194/$B$211</f>
        <v>3.4730612397832804E-3</v>
      </c>
      <c r="D194" s="719">
        <f>SUM(D196:D199)</f>
        <v>163601000</v>
      </c>
      <c r="E194" s="1309">
        <f>+D194/$D$211</f>
        <v>1.5986572571403845E-2</v>
      </c>
      <c r="F194" s="1136">
        <f>+C194-E194</f>
        <v>-1.2513511331620566E-2</v>
      </c>
      <c r="G194" s="719">
        <f>SUM(G196:G199)</f>
        <v>174920084.53999999</v>
      </c>
      <c r="H194" s="1150">
        <f>+G194/$G$211</f>
        <v>1.0954260777890773E-2</v>
      </c>
      <c r="I194" s="443">
        <f>+E194-H194</f>
        <v>5.0323117935130723E-3</v>
      </c>
    </row>
    <row r="195" spans="1:9" ht="9.9" customHeight="1" outlineLevel="1" x14ac:dyDescent="0.4">
      <c r="A195" s="447"/>
      <c r="B195" s="1314"/>
      <c r="C195" s="1137"/>
      <c r="D195" s="1314"/>
      <c r="E195" s="1137"/>
      <c r="F195" s="1311"/>
      <c r="G195" s="1314"/>
      <c r="H195" s="1311"/>
      <c r="I195" s="1282"/>
    </row>
    <row r="196" spans="1:9" ht="15.9" customHeight="1" outlineLevel="1" x14ac:dyDescent="0.4">
      <c r="A196" s="447" t="s">
        <v>36</v>
      </c>
      <c r="B196" s="712">
        <f>SUMIF('PRESUPUESTO 2024'!$B:$B,A196,'PRESUPUESTO 2024'!BE:BE)</f>
        <v>52103000</v>
      </c>
      <c r="C196" s="1137">
        <f>+B196/$B$211</f>
        <v>3.4730612397832804E-3</v>
      </c>
      <c r="D196" s="712">
        <v>142001000</v>
      </c>
      <c r="E196" s="1137">
        <f>+D196/$D$211</f>
        <v>1.3875888849774254E-2</v>
      </c>
      <c r="F196" s="1137">
        <f>+C196-E196</f>
        <v>-1.0402827609990974E-2</v>
      </c>
      <c r="G196" s="712">
        <f>SUMIF('Reporte Ejec 2022'!$B:$B,A196,'Reporte Ejec 2022'!$J:$J)</f>
        <v>174238119.91</v>
      </c>
      <c r="H196" s="1137">
        <f>+G196/$G$211</f>
        <v>1.0911553169911031E-2</v>
      </c>
      <c r="I196" s="1282">
        <f>+E196-H196</f>
        <v>2.9643356798632232E-3</v>
      </c>
    </row>
    <row r="197" spans="1:9" ht="15.9" hidden="1" customHeight="1" outlineLevel="1" x14ac:dyDescent="0.4">
      <c r="A197" s="447" t="s">
        <v>381</v>
      </c>
      <c r="B197" s="712">
        <f>SUMIF('PRESUPUESTO 2024'!$B:$B,A197,'PRESUPUESTO 2024'!BE:BE)</f>
        <v>0</v>
      </c>
      <c r="C197" s="1137">
        <f>+B197/$B$211</f>
        <v>0</v>
      </c>
      <c r="D197" s="712">
        <v>1800000</v>
      </c>
      <c r="E197" s="1137">
        <f>+D197/$D$211</f>
        <v>1.7589031013579945E-4</v>
      </c>
      <c r="F197" s="1137">
        <f>+C197-E197</f>
        <v>-1.7589031013579945E-4</v>
      </c>
      <c r="G197" s="712">
        <f>SUMIF('Reporte Ejec 2022'!$B:$B,A197,'Reporte Ejec 2022'!$J:$J)</f>
        <v>681964.63</v>
      </c>
      <c r="H197" s="1137">
        <f>+G197/$G$211</f>
        <v>4.2707607979742827E-5</v>
      </c>
      <c r="I197" s="1282">
        <f>+E197-H197</f>
        <v>1.3318270215605663E-4</v>
      </c>
    </row>
    <row r="198" spans="1:9" ht="15.9" hidden="1" customHeight="1" outlineLevel="1" x14ac:dyDescent="0.4">
      <c r="A198" s="447" t="s">
        <v>1289</v>
      </c>
      <c r="B198" s="712">
        <f>SUMIF('PRESUPUESTO 2024'!$B:$B,A198,'PRESUPUESTO 2024'!BE:BE)</f>
        <v>0</v>
      </c>
      <c r="C198" s="1137">
        <f>+B198/$B$211</f>
        <v>0</v>
      </c>
      <c r="D198" s="712">
        <v>19800000</v>
      </c>
      <c r="E198" s="1137">
        <f>+D198/$D$211</f>
        <v>1.9347934114937939E-3</v>
      </c>
      <c r="F198" s="1137">
        <f>+C198-E198</f>
        <v>-1.9347934114937939E-3</v>
      </c>
      <c r="G198" s="712">
        <f>SUMIF('Reporte Ejec 2022'!$B:$B,A198,'Reporte Ejec 2022'!$J:$J)</f>
        <v>0</v>
      </c>
      <c r="H198" s="1137">
        <f>+G198/$G$211</f>
        <v>0</v>
      </c>
      <c r="I198" s="1282">
        <f>+E198-H198</f>
        <v>1.9347934114937939E-3</v>
      </c>
    </row>
    <row r="199" spans="1:9" ht="15.9" hidden="1" customHeight="1" outlineLevel="1" x14ac:dyDescent="0.4">
      <c r="A199" s="447" t="s">
        <v>1112</v>
      </c>
      <c r="B199" s="712">
        <v>0</v>
      </c>
      <c r="C199" s="1137">
        <f>+B199/$B$211</f>
        <v>0</v>
      </c>
      <c r="D199" s="712">
        <v>0</v>
      </c>
      <c r="E199" s="1137">
        <f>+D199/$D$211</f>
        <v>0</v>
      </c>
      <c r="F199" s="1137">
        <f>+C199-E199</f>
        <v>0</v>
      </c>
      <c r="G199" s="712">
        <v>0</v>
      </c>
      <c r="H199" s="1137">
        <f>+G199/$G$211</f>
        <v>0</v>
      </c>
      <c r="I199" s="1282">
        <f>+E199-H199</f>
        <v>0</v>
      </c>
    </row>
    <row r="200" spans="1:9" ht="9.9" customHeight="1" outlineLevel="1" x14ac:dyDescent="0.4">
      <c r="A200" s="447"/>
      <c r="B200" s="1314"/>
      <c r="C200" s="1137"/>
      <c r="D200" s="1314"/>
      <c r="E200" s="1137"/>
      <c r="F200" s="1311"/>
      <c r="G200" s="1314"/>
      <c r="H200" s="1311"/>
      <c r="I200" s="1282"/>
    </row>
    <row r="201" spans="1:9" ht="15.9" customHeight="1" outlineLevel="1" x14ac:dyDescent="0.4">
      <c r="A201" s="718" t="s">
        <v>335</v>
      </c>
      <c r="B201" s="719">
        <f>SUM(B203:B204)</f>
        <v>1200000</v>
      </c>
      <c r="C201" s="1150">
        <f>+B201/$B$211</f>
        <v>7.9989127070225066E-5</v>
      </c>
      <c r="D201" s="719">
        <f>SUM(D203:D204)</f>
        <v>42400000</v>
      </c>
      <c r="E201" s="1309">
        <f>+D201/$D$211</f>
        <v>4.1431939720877201E-3</v>
      </c>
      <c r="F201" s="1136">
        <f>+C201-E201</f>
        <v>-4.0632048450174952E-3</v>
      </c>
      <c r="G201" s="719">
        <f>SUM(G203:G204)</f>
        <v>838596.46</v>
      </c>
      <c r="H201" s="1150">
        <f>+G201/$G$211</f>
        <v>5.2516578267233722E-5</v>
      </c>
      <c r="I201" s="443">
        <f>+E201-H201</f>
        <v>4.0906773938204867E-3</v>
      </c>
    </row>
    <row r="202" spans="1:9" ht="9.9" customHeight="1" outlineLevel="1" x14ac:dyDescent="0.4">
      <c r="A202" s="447"/>
      <c r="B202" s="1314"/>
      <c r="C202" s="1137"/>
      <c r="D202" s="1314"/>
      <c r="E202" s="1137"/>
      <c r="F202" s="1311"/>
      <c r="G202" s="1314"/>
      <c r="H202" s="1311"/>
      <c r="I202" s="1282"/>
    </row>
    <row r="203" spans="1:9" ht="15.9" hidden="1" customHeight="1" outlineLevel="1" x14ac:dyDescent="0.4">
      <c r="A203" s="439" t="s">
        <v>282</v>
      </c>
      <c r="B203" s="712">
        <f>SUMIF('PRESUPUESTO 2024'!$B:$B,A203,'PRESUPUESTO 2024'!BE:BE)</f>
        <v>0</v>
      </c>
      <c r="C203" s="1137">
        <f>+B203/$B$211</f>
        <v>0</v>
      </c>
      <c r="D203" s="712">
        <v>41400000</v>
      </c>
      <c r="E203" s="1137">
        <f>+D203/$D$211</f>
        <v>4.0454771331233869E-3</v>
      </c>
      <c r="F203" s="1137">
        <f>+C203-E203</f>
        <v>-4.0454771331233869E-3</v>
      </c>
      <c r="G203" s="712">
        <f>SUMIF('Reporte Ejec 2022'!$B:$B,A203,'Reporte Ejec 2022'!$J:$J)</f>
        <v>0</v>
      </c>
      <c r="H203" s="1137">
        <f>+G203/$G$211</f>
        <v>0</v>
      </c>
      <c r="I203" s="1282">
        <f>+E203-H203</f>
        <v>4.0454771331233869E-3</v>
      </c>
    </row>
    <row r="204" spans="1:9" ht="15.9" customHeight="1" outlineLevel="1" x14ac:dyDescent="0.4">
      <c r="A204" s="439" t="s">
        <v>1234</v>
      </c>
      <c r="B204" s="712">
        <f>SUMIF('PRESUPUESTO 2024'!$B:$B,A204,'PRESUPUESTO 2024'!BE:BE)</f>
        <v>1200000</v>
      </c>
      <c r="C204" s="1137">
        <f>+B204/$B$211</f>
        <v>7.9989127070225066E-5</v>
      </c>
      <c r="D204" s="712">
        <v>1000000</v>
      </c>
      <c r="E204" s="1137">
        <f>+D204/$D$211</f>
        <v>9.7716838964333021E-5</v>
      </c>
      <c r="F204" s="1137">
        <f>+C204-E204</f>
        <v>-1.7727711894107955E-5</v>
      </c>
      <c r="G204" s="712">
        <f>SUMIF('Reporte Ejec 2022'!$B:$B,A204,'Reporte Ejec 2022'!$J:$J)</f>
        <v>838596.46</v>
      </c>
      <c r="H204" s="1137">
        <f>+G204/$G$211</f>
        <v>5.2516578267233722E-5</v>
      </c>
      <c r="I204" s="1282">
        <f>+E204-H204</f>
        <v>4.5200260697099298E-5</v>
      </c>
    </row>
    <row r="205" spans="1:9" ht="12.75" hidden="1" customHeight="1" outlineLevel="1" x14ac:dyDescent="0.4">
      <c r="A205" s="447"/>
      <c r="B205" s="1314"/>
      <c r="C205" s="1137"/>
      <c r="D205" s="1314"/>
      <c r="E205" s="1137"/>
      <c r="F205" s="1311"/>
      <c r="G205" s="1314"/>
      <c r="H205" s="1311"/>
      <c r="I205" s="1282"/>
    </row>
    <row r="206" spans="1:9" hidden="1" x14ac:dyDescent="0.4">
      <c r="A206" s="1332" t="s">
        <v>58</v>
      </c>
      <c r="B206" s="1333">
        <f>SUM(B208:B209)</f>
        <v>0</v>
      </c>
      <c r="C206" s="1300">
        <f>+B206/$B$211</f>
        <v>0</v>
      </c>
      <c r="D206" s="1333">
        <f>SUM(D208:D209)</f>
        <v>0</v>
      </c>
      <c r="E206" s="1300">
        <f>+D206/$D$211</f>
        <v>0</v>
      </c>
      <c r="F206" s="1300">
        <f>+C206-E206</f>
        <v>0</v>
      </c>
      <c r="G206" s="1333">
        <f>SUM(G208:G209)</f>
        <v>0</v>
      </c>
      <c r="H206" s="1300">
        <f>+G206/$G$211</f>
        <v>0</v>
      </c>
      <c r="I206" s="1301">
        <f>+E206-H206</f>
        <v>0</v>
      </c>
    </row>
    <row r="207" spans="1:9" ht="10.5" hidden="1" customHeight="1" x14ac:dyDescent="0.4">
      <c r="A207" s="439"/>
      <c r="B207" s="712"/>
      <c r="C207" s="1137"/>
      <c r="D207" s="712"/>
      <c r="E207" s="1137"/>
      <c r="F207" s="1143"/>
      <c r="G207" s="712"/>
      <c r="H207" s="1143"/>
      <c r="I207" s="1303"/>
    </row>
    <row r="208" spans="1:9" hidden="1" outlineLevel="1" x14ac:dyDescent="0.4">
      <c r="A208" s="439" t="s">
        <v>60</v>
      </c>
      <c r="B208" s="712">
        <v>0</v>
      </c>
      <c r="C208" s="1137">
        <f>+B208/$B$211</f>
        <v>0</v>
      </c>
      <c r="D208" s="712">
        <v>0</v>
      </c>
      <c r="E208" s="1137">
        <f>+D208/$D$211</f>
        <v>0</v>
      </c>
      <c r="F208" s="1137">
        <f>+C208-E208</f>
        <v>0</v>
      </c>
      <c r="G208" s="712">
        <v>0</v>
      </c>
      <c r="H208" s="1137">
        <f>+G208/$G$211</f>
        <v>0</v>
      </c>
      <c r="I208" s="1282">
        <f>+E208-H208</f>
        <v>0</v>
      </c>
    </row>
    <row r="209" spans="1:9" hidden="1" outlineLevel="1" x14ac:dyDescent="0.4">
      <c r="A209" s="439" t="s">
        <v>64</v>
      </c>
      <c r="B209" s="712">
        <v>0</v>
      </c>
      <c r="C209" s="1137">
        <f>+B209/$B$211</f>
        <v>0</v>
      </c>
      <c r="D209" s="712">
        <v>0</v>
      </c>
      <c r="E209" s="1137">
        <f>+D209/$D$211</f>
        <v>0</v>
      </c>
      <c r="F209" s="1137">
        <f>+C209-E209</f>
        <v>0</v>
      </c>
      <c r="G209" s="712">
        <v>0</v>
      </c>
      <c r="H209" s="1137">
        <f>+G209/$G$211</f>
        <v>0</v>
      </c>
      <c r="I209" s="1282">
        <f>+E209-H209</f>
        <v>0</v>
      </c>
    </row>
    <row r="210" spans="1:9" ht="6" customHeight="1" outlineLevel="1" x14ac:dyDescent="0.4">
      <c r="A210" s="439"/>
      <c r="B210" s="712"/>
      <c r="C210" s="1137"/>
      <c r="D210" s="712"/>
      <c r="E210" s="1137"/>
      <c r="F210" s="1143"/>
      <c r="G210" s="712"/>
      <c r="H210" s="1137"/>
      <c r="I210" s="1303"/>
    </row>
    <row r="211" spans="1:9" ht="22.5" customHeight="1" x14ac:dyDescent="0.4">
      <c r="A211" s="1334" t="s">
        <v>21</v>
      </c>
      <c r="B211" s="1335">
        <f>+B206+B181+B157+B112+B36+B12+B151</f>
        <v>15002038951.449999</v>
      </c>
      <c r="C211" s="1336">
        <f>+C206+C181+C157+C112+C36+C12+C151</f>
        <v>1</v>
      </c>
      <c r="D211" s="1335">
        <f>+D206+D181+D157+D112+D36+D12+D151</f>
        <v>10233650725.9</v>
      </c>
      <c r="E211" s="1336">
        <f>+E206+E181+E157+E112+E36+E12+E151</f>
        <v>1</v>
      </c>
      <c r="F211" s="1336">
        <f>+C211-E211</f>
        <v>0</v>
      </c>
      <c r="G211" s="1335">
        <f>+G206+G181+G157+G112+G36+G12</f>
        <v>15968223514.73</v>
      </c>
      <c r="H211" s="1336">
        <f>+H206+H181+H157+H112+H36+H12</f>
        <v>1</v>
      </c>
      <c r="I211" s="1337">
        <f>+E211-H211</f>
        <v>0</v>
      </c>
    </row>
    <row r="212" spans="1:9" ht="10.5" customHeight="1" thickBot="1" x14ac:dyDescent="0.45">
      <c r="A212" s="495"/>
      <c r="B212" s="738"/>
      <c r="C212" s="1139"/>
      <c r="D212" s="738"/>
      <c r="E212" s="1139"/>
      <c r="F212" s="1338"/>
      <c r="G212" s="738"/>
      <c r="H212" s="1139"/>
      <c r="I212" s="1339"/>
    </row>
    <row r="213" spans="1:9" ht="12" customHeight="1" thickBot="1" x14ac:dyDescent="0.45"/>
    <row r="214" spans="1:9" ht="25.95" customHeight="1" thickTop="1" x14ac:dyDescent="0.4">
      <c r="A214" s="1342"/>
      <c r="B214" s="1343"/>
      <c r="C214" s="1344"/>
      <c r="D214" s="1343"/>
      <c r="E214" s="1345"/>
      <c r="F214" s="1346"/>
      <c r="G214" s="1343"/>
      <c r="H214" s="1345"/>
      <c r="I214" s="1345"/>
    </row>
  </sheetData>
  <mergeCells count="4">
    <mergeCell ref="A2:I2"/>
    <mergeCell ref="A5:I5"/>
    <mergeCell ref="A6:I6"/>
    <mergeCell ref="A3:I3"/>
  </mergeCells>
  <phoneticPr fontId="0" type="noConversion"/>
  <printOptions horizontalCentered="1"/>
  <pageMargins left="0.59055118110236227" right="0.59055118110236227" top="0.78740157480314965" bottom="0.78740157480314965" header="0.59055118110236227" footer="0.59055118110236227"/>
  <pageSetup scale="68" firstPageNumber="13" orientation="landscape" useFirstPageNumber="1" r:id="rId1"/>
  <headerFooter alignWithMargins="0">
    <oddFooter>&amp;C&amp;"Tw Cen MT,Normal"&amp;P</oddFooter>
  </headerFooter>
  <rowBreaks count="2" manualBreakCount="2">
    <brk id="51" max="16383" man="1"/>
    <brk id="149" max="16383" man="1"/>
  </rowBreaks>
  <ignoredErrors>
    <ignoredError sqref="C13:C14 C34:C39 C44:C46 C52:C54 C73:C74 C79:C81 C83:C85 C89:C91 C100:C102 C105:C107 C111:C115 C120:C122 C124:C126 C133:C135 C138:C140 C156:C160 C170:C172 C180:C184 C188:C189 C200:C202 C206:C207 I15 H16:I16 H20:I20 H18:I18 H17:I17 H19:I19 H24:I24 H21:I21 H22:I22 H23:I23 H25:I25 H26:I26 H27:I27 H28:I28 H29:I29 H30:I30 H31:I31 H32:I32 H33:I33 H40:I40 H41:I41 H42:I42 H43:I43 H47:I47 H48:I48 H49:I49 H50:I50 H51:I51 H56:I56 H55:I55 H57:I57 H58:I58 H59:I59 I60 I66:I67 I64 I65 I68 I69 I70 I71 I75 I76 I77 I78 H82:I82 I86 I87 I88 I92 I95 I94 I96 I97 I98 I104 I109 I110 I117 I116 I118 I119 I123 I128 I127 I130 I129 I131 I132 I136 I137 I141 I142 I143 I144 I145:I148 I162:I167 I178 I186 I185 I197 I203 C99 E169:F169 C195 C194 E194:F194 C63 C62 E62:F62 I103 I93 I168 I187 I196 C12 H12:I12 C220:I231 C219 E219:I219 C205 E205:F205 I99 I149 C72 H72:I72 H63:I63 H62:I62 E13:F14 E34:F39 E44:F46 E52:F54 E73:F74 E80:F81 E83:F85 E89:F91 E100:F102 E105:F107 E111:F115 E120:F122 E124:F126 E133:F135 E138:F140 E156:F160 E170:F172 E180:F184 E188:F188 E200:F202 E206:F207 C210 E212:I213 E195:F195 E63:F63 E12:F12 E72:F72 I204 H169:I169 I208 I209 H194:I194 H205:I205 I179 H161:I161 H13:I14 H34:I39 H44:I46 H52:I54 H73:I74 H79:I81 H83:I85 H89:I91 H100:I102 H105:I107 H111:I115 H120:I122 H124:I126 H133:I135 H138:I140 H156:I160 H170:I172 H180:I184 H188:I188 H200:I202 H206:I207 E210:F210 H210:I210 H195:I195 C212:C213 H211 I108 H175:I177 I173 I174 E175:F177 C175:C177 F79 C151:C153" 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EC6E8-0DA5-42A0-8659-A32796EFBEB7}">
  <dimension ref="A1:O147"/>
  <sheetViews>
    <sheetView topLeftCell="A67" workbookViewId="0">
      <selection activeCell="B83" sqref="B83"/>
    </sheetView>
  </sheetViews>
  <sheetFormatPr baseColWidth="10" defaultColWidth="8.88671875" defaultRowHeight="13.2" x14ac:dyDescent="0.35"/>
  <cols>
    <col min="1" max="2" width="35.44140625" style="1256" customWidth="1"/>
    <col min="3" max="7" width="17" style="1256" customWidth="1"/>
    <col min="8" max="8" width="17" style="1271" customWidth="1"/>
    <col min="9" max="9" width="17" style="1272" customWidth="1"/>
    <col min="10" max="16" width="17" style="1256" customWidth="1"/>
    <col min="17" max="256" width="8.88671875" style="1256"/>
    <col min="257" max="258" width="35.44140625" style="1256" customWidth="1"/>
    <col min="259" max="272" width="17" style="1256" customWidth="1"/>
    <col min="273" max="512" width="8.88671875" style="1256"/>
    <col min="513" max="514" width="35.44140625" style="1256" customWidth="1"/>
    <col min="515" max="528" width="17" style="1256" customWidth="1"/>
    <col min="529" max="768" width="8.88671875" style="1256"/>
    <col min="769" max="770" width="35.44140625" style="1256" customWidth="1"/>
    <col min="771" max="784" width="17" style="1256" customWidth="1"/>
    <col min="785" max="1024" width="8.88671875" style="1256"/>
    <col min="1025" max="1026" width="35.44140625" style="1256" customWidth="1"/>
    <col min="1027" max="1040" width="17" style="1256" customWidth="1"/>
    <col min="1041" max="1280" width="8.88671875" style="1256"/>
    <col min="1281" max="1282" width="35.44140625" style="1256" customWidth="1"/>
    <col min="1283" max="1296" width="17" style="1256" customWidth="1"/>
    <col min="1297" max="1536" width="8.88671875" style="1256"/>
    <col min="1537" max="1538" width="35.44140625" style="1256" customWidth="1"/>
    <col min="1539" max="1552" width="17" style="1256" customWidth="1"/>
    <col min="1553" max="1792" width="8.88671875" style="1256"/>
    <col min="1793" max="1794" width="35.44140625" style="1256" customWidth="1"/>
    <col min="1795" max="1808" width="17" style="1256" customWidth="1"/>
    <col min="1809" max="2048" width="8.88671875" style="1256"/>
    <col min="2049" max="2050" width="35.44140625" style="1256" customWidth="1"/>
    <col min="2051" max="2064" width="17" style="1256" customWidth="1"/>
    <col min="2065" max="2304" width="8.88671875" style="1256"/>
    <col min="2305" max="2306" width="35.44140625" style="1256" customWidth="1"/>
    <col min="2307" max="2320" width="17" style="1256" customWidth="1"/>
    <col min="2321" max="2560" width="8.88671875" style="1256"/>
    <col min="2561" max="2562" width="35.44140625" style="1256" customWidth="1"/>
    <col min="2563" max="2576" width="17" style="1256" customWidth="1"/>
    <col min="2577" max="2816" width="8.88671875" style="1256"/>
    <col min="2817" max="2818" width="35.44140625" style="1256" customWidth="1"/>
    <col min="2819" max="2832" width="17" style="1256" customWidth="1"/>
    <col min="2833" max="3072" width="8.88671875" style="1256"/>
    <col min="3073" max="3074" width="35.44140625" style="1256" customWidth="1"/>
    <col min="3075" max="3088" width="17" style="1256" customWidth="1"/>
    <col min="3089" max="3328" width="8.88671875" style="1256"/>
    <col min="3329" max="3330" width="35.44140625" style="1256" customWidth="1"/>
    <col min="3331" max="3344" width="17" style="1256" customWidth="1"/>
    <col min="3345" max="3584" width="8.88671875" style="1256"/>
    <col min="3585" max="3586" width="35.44140625" style="1256" customWidth="1"/>
    <col min="3587" max="3600" width="17" style="1256" customWidth="1"/>
    <col min="3601" max="3840" width="8.88671875" style="1256"/>
    <col min="3841" max="3842" width="35.44140625" style="1256" customWidth="1"/>
    <col min="3843" max="3856" width="17" style="1256" customWidth="1"/>
    <col min="3857" max="4096" width="8.88671875" style="1256"/>
    <col min="4097" max="4098" width="35.44140625" style="1256" customWidth="1"/>
    <col min="4099" max="4112" width="17" style="1256" customWidth="1"/>
    <col min="4113" max="4352" width="8.88671875" style="1256"/>
    <col min="4353" max="4354" width="35.44140625" style="1256" customWidth="1"/>
    <col min="4355" max="4368" width="17" style="1256" customWidth="1"/>
    <col min="4369" max="4608" width="8.88671875" style="1256"/>
    <col min="4609" max="4610" width="35.44140625" style="1256" customWidth="1"/>
    <col min="4611" max="4624" width="17" style="1256" customWidth="1"/>
    <col min="4625" max="4864" width="8.88671875" style="1256"/>
    <col min="4865" max="4866" width="35.44140625" style="1256" customWidth="1"/>
    <col min="4867" max="4880" width="17" style="1256" customWidth="1"/>
    <col min="4881" max="5120" width="8.88671875" style="1256"/>
    <col min="5121" max="5122" width="35.44140625" style="1256" customWidth="1"/>
    <col min="5123" max="5136" width="17" style="1256" customWidth="1"/>
    <col min="5137" max="5376" width="8.88671875" style="1256"/>
    <col min="5377" max="5378" width="35.44140625" style="1256" customWidth="1"/>
    <col min="5379" max="5392" width="17" style="1256" customWidth="1"/>
    <col min="5393" max="5632" width="8.88671875" style="1256"/>
    <col min="5633" max="5634" width="35.44140625" style="1256" customWidth="1"/>
    <col min="5635" max="5648" width="17" style="1256" customWidth="1"/>
    <col min="5649" max="5888" width="8.88671875" style="1256"/>
    <col min="5889" max="5890" width="35.44140625" style="1256" customWidth="1"/>
    <col min="5891" max="5904" width="17" style="1256" customWidth="1"/>
    <col min="5905" max="6144" width="8.88671875" style="1256"/>
    <col min="6145" max="6146" width="35.44140625" style="1256" customWidth="1"/>
    <col min="6147" max="6160" width="17" style="1256" customWidth="1"/>
    <col min="6161" max="6400" width="8.88671875" style="1256"/>
    <col min="6401" max="6402" width="35.44140625" style="1256" customWidth="1"/>
    <col min="6403" max="6416" width="17" style="1256" customWidth="1"/>
    <col min="6417" max="6656" width="8.88671875" style="1256"/>
    <col min="6657" max="6658" width="35.44140625" style="1256" customWidth="1"/>
    <col min="6659" max="6672" width="17" style="1256" customWidth="1"/>
    <col min="6673" max="6912" width="8.88671875" style="1256"/>
    <col min="6913" max="6914" width="35.44140625" style="1256" customWidth="1"/>
    <col min="6915" max="6928" width="17" style="1256" customWidth="1"/>
    <col min="6929" max="7168" width="8.88671875" style="1256"/>
    <col min="7169" max="7170" width="35.44140625" style="1256" customWidth="1"/>
    <col min="7171" max="7184" width="17" style="1256" customWidth="1"/>
    <col min="7185" max="7424" width="8.88671875" style="1256"/>
    <col min="7425" max="7426" width="35.44140625" style="1256" customWidth="1"/>
    <col min="7427" max="7440" width="17" style="1256" customWidth="1"/>
    <col min="7441" max="7680" width="8.88671875" style="1256"/>
    <col min="7681" max="7682" width="35.44140625" style="1256" customWidth="1"/>
    <col min="7683" max="7696" width="17" style="1256" customWidth="1"/>
    <col min="7697" max="7936" width="8.88671875" style="1256"/>
    <col min="7937" max="7938" width="35.44140625" style="1256" customWidth="1"/>
    <col min="7939" max="7952" width="17" style="1256" customWidth="1"/>
    <col min="7953" max="8192" width="8.88671875" style="1256"/>
    <col min="8193" max="8194" width="35.44140625" style="1256" customWidth="1"/>
    <col min="8195" max="8208" width="17" style="1256" customWidth="1"/>
    <col min="8209" max="8448" width="8.88671875" style="1256"/>
    <col min="8449" max="8450" width="35.44140625" style="1256" customWidth="1"/>
    <col min="8451" max="8464" width="17" style="1256" customWidth="1"/>
    <col min="8465" max="8704" width="8.88671875" style="1256"/>
    <col min="8705" max="8706" width="35.44140625" style="1256" customWidth="1"/>
    <col min="8707" max="8720" width="17" style="1256" customWidth="1"/>
    <col min="8721" max="8960" width="8.88671875" style="1256"/>
    <col min="8961" max="8962" width="35.44140625" style="1256" customWidth="1"/>
    <col min="8963" max="8976" width="17" style="1256" customWidth="1"/>
    <col min="8977" max="9216" width="8.88671875" style="1256"/>
    <col min="9217" max="9218" width="35.44140625" style="1256" customWidth="1"/>
    <col min="9219" max="9232" width="17" style="1256" customWidth="1"/>
    <col min="9233" max="9472" width="8.88671875" style="1256"/>
    <col min="9473" max="9474" width="35.44140625" style="1256" customWidth="1"/>
    <col min="9475" max="9488" width="17" style="1256" customWidth="1"/>
    <col min="9489" max="9728" width="8.88671875" style="1256"/>
    <col min="9729" max="9730" width="35.44140625" style="1256" customWidth="1"/>
    <col min="9731" max="9744" width="17" style="1256" customWidth="1"/>
    <col min="9745" max="9984" width="8.88671875" style="1256"/>
    <col min="9985" max="9986" width="35.44140625" style="1256" customWidth="1"/>
    <col min="9987" max="10000" width="17" style="1256" customWidth="1"/>
    <col min="10001" max="10240" width="8.88671875" style="1256"/>
    <col min="10241" max="10242" width="35.44140625" style="1256" customWidth="1"/>
    <col min="10243" max="10256" width="17" style="1256" customWidth="1"/>
    <col min="10257" max="10496" width="8.88671875" style="1256"/>
    <col min="10497" max="10498" width="35.44140625" style="1256" customWidth="1"/>
    <col min="10499" max="10512" width="17" style="1256" customWidth="1"/>
    <col min="10513" max="10752" width="8.88671875" style="1256"/>
    <col min="10753" max="10754" width="35.44140625" style="1256" customWidth="1"/>
    <col min="10755" max="10768" width="17" style="1256" customWidth="1"/>
    <col min="10769" max="11008" width="8.88671875" style="1256"/>
    <col min="11009" max="11010" width="35.44140625" style="1256" customWidth="1"/>
    <col min="11011" max="11024" width="17" style="1256" customWidth="1"/>
    <col min="11025" max="11264" width="8.88671875" style="1256"/>
    <col min="11265" max="11266" width="35.44140625" style="1256" customWidth="1"/>
    <col min="11267" max="11280" width="17" style="1256" customWidth="1"/>
    <col min="11281" max="11520" width="8.88671875" style="1256"/>
    <col min="11521" max="11522" width="35.44140625" style="1256" customWidth="1"/>
    <col min="11523" max="11536" width="17" style="1256" customWidth="1"/>
    <col min="11537" max="11776" width="8.88671875" style="1256"/>
    <col min="11777" max="11778" width="35.44140625" style="1256" customWidth="1"/>
    <col min="11779" max="11792" width="17" style="1256" customWidth="1"/>
    <col min="11793" max="12032" width="8.88671875" style="1256"/>
    <col min="12033" max="12034" width="35.44140625" style="1256" customWidth="1"/>
    <col min="12035" max="12048" width="17" style="1256" customWidth="1"/>
    <col min="12049" max="12288" width="8.88671875" style="1256"/>
    <col min="12289" max="12290" width="35.44140625" style="1256" customWidth="1"/>
    <col min="12291" max="12304" width="17" style="1256" customWidth="1"/>
    <col min="12305" max="12544" width="8.88671875" style="1256"/>
    <col min="12545" max="12546" width="35.44140625" style="1256" customWidth="1"/>
    <col min="12547" max="12560" width="17" style="1256" customWidth="1"/>
    <col min="12561" max="12800" width="8.88671875" style="1256"/>
    <col min="12801" max="12802" width="35.44140625" style="1256" customWidth="1"/>
    <col min="12803" max="12816" width="17" style="1256" customWidth="1"/>
    <col min="12817" max="13056" width="8.88671875" style="1256"/>
    <col min="13057" max="13058" width="35.44140625" style="1256" customWidth="1"/>
    <col min="13059" max="13072" width="17" style="1256" customWidth="1"/>
    <col min="13073" max="13312" width="8.88671875" style="1256"/>
    <col min="13313" max="13314" width="35.44140625" style="1256" customWidth="1"/>
    <col min="13315" max="13328" width="17" style="1256" customWidth="1"/>
    <col min="13329" max="13568" width="8.88671875" style="1256"/>
    <col min="13569" max="13570" width="35.44140625" style="1256" customWidth="1"/>
    <col min="13571" max="13584" width="17" style="1256" customWidth="1"/>
    <col min="13585" max="13824" width="8.88671875" style="1256"/>
    <col min="13825" max="13826" width="35.44140625" style="1256" customWidth="1"/>
    <col min="13827" max="13840" width="17" style="1256" customWidth="1"/>
    <col min="13841" max="14080" width="8.88671875" style="1256"/>
    <col min="14081" max="14082" width="35.44140625" style="1256" customWidth="1"/>
    <col min="14083" max="14096" width="17" style="1256" customWidth="1"/>
    <col min="14097" max="14336" width="8.88671875" style="1256"/>
    <col min="14337" max="14338" width="35.44140625" style="1256" customWidth="1"/>
    <col min="14339" max="14352" width="17" style="1256" customWidth="1"/>
    <col min="14353" max="14592" width="8.88671875" style="1256"/>
    <col min="14593" max="14594" width="35.44140625" style="1256" customWidth="1"/>
    <col min="14595" max="14608" width="17" style="1256" customWidth="1"/>
    <col min="14609" max="14848" width="8.88671875" style="1256"/>
    <col min="14849" max="14850" width="35.44140625" style="1256" customWidth="1"/>
    <col min="14851" max="14864" width="17" style="1256" customWidth="1"/>
    <col min="14865" max="15104" width="8.88671875" style="1256"/>
    <col min="15105" max="15106" width="35.44140625" style="1256" customWidth="1"/>
    <col min="15107" max="15120" width="17" style="1256" customWidth="1"/>
    <col min="15121" max="15360" width="8.88671875" style="1256"/>
    <col min="15361" max="15362" width="35.44140625" style="1256" customWidth="1"/>
    <col min="15363" max="15376" width="17" style="1256" customWidth="1"/>
    <col min="15377" max="15616" width="8.88671875" style="1256"/>
    <col min="15617" max="15618" width="35.44140625" style="1256" customWidth="1"/>
    <col min="15619" max="15632" width="17" style="1256" customWidth="1"/>
    <col min="15633" max="15872" width="8.88671875" style="1256"/>
    <col min="15873" max="15874" width="35.44140625" style="1256" customWidth="1"/>
    <col min="15875" max="15888" width="17" style="1256" customWidth="1"/>
    <col min="15889" max="16128" width="8.88671875" style="1256"/>
    <col min="16129" max="16130" width="35.44140625" style="1256" customWidth="1"/>
    <col min="16131" max="16144" width="17" style="1256" customWidth="1"/>
    <col min="16145" max="16384" width="8.88671875" style="1256"/>
  </cols>
  <sheetData>
    <row r="1" spans="1:15" ht="39.6" x14ac:dyDescent="0.35">
      <c r="A1" s="1251" t="s">
        <v>1337</v>
      </c>
      <c r="B1" s="1251" t="s">
        <v>1337</v>
      </c>
      <c r="C1" s="1252" t="s">
        <v>1338</v>
      </c>
      <c r="D1" s="1253" t="s">
        <v>1339</v>
      </c>
      <c r="E1" s="1253" t="s">
        <v>1340</v>
      </c>
      <c r="F1" s="1252" t="s">
        <v>1341</v>
      </c>
      <c r="G1" s="1253" t="s">
        <v>1342</v>
      </c>
      <c r="H1" s="1254" t="s">
        <v>1343</v>
      </c>
      <c r="I1" s="1255" t="s">
        <v>1344</v>
      </c>
      <c r="J1" s="1252" t="s">
        <v>1345</v>
      </c>
      <c r="K1" s="1252" t="s">
        <v>1346</v>
      </c>
      <c r="L1" s="1252" t="s">
        <v>1347</v>
      </c>
      <c r="M1" s="1252"/>
      <c r="N1" s="1252"/>
      <c r="O1" s="1252"/>
    </row>
    <row r="2" spans="1:15" x14ac:dyDescent="0.35">
      <c r="A2" s="1257" t="s">
        <v>1348</v>
      </c>
      <c r="B2" s="1257" t="s">
        <v>1186</v>
      </c>
      <c r="C2" s="1258">
        <v>1086406800</v>
      </c>
      <c r="D2" s="1259">
        <v>0</v>
      </c>
      <c r="E2" s="1259">
        <v>73209300</v>
      </c>
      <c r="F2" s="1258">
        <v>1159616100</v>
      </c>
      <c r="G2" s="1260">
        <v>934106384.20000005</v>
      </c>
      <c r="H2" s="1261">
        <v>84791817.63000001</v>
      </c>
      <c r="I2" s="1262">
        <v>0</v>
      </c>
      <c r="J2" s="1258">
        <v>1018898201.83</v>
      </c>
      <c r="K2" s="1258">
        <v>140717898.16999999</v>
      </c>
      <c r="L2" s="1263">
        <v>87.865130695408595</v>
      </c>
      <c r="M2" s="1264"/>
      <c r="N2" s="1264"/>
    </row>
    <row r="3" spans="1:15" x14ac:dyDescent="0.35">
      <c r="A3" s="1257" t="s">
        <v>1349</v>
      </c>
      <c r="B3" s="1257" t="s">
        <v>442</v>
      </c>
      <c r="C3" s="1258">
        <v>1193709500</v>
      </c>
      <c r="D3" s="1259">
        <v>-100900000</v>
      </c>
      <c r="E3" s="1259">
        <v>1034494700</v>
      </c>
      <c r="F3" s="1258">
        <v>2127304200</v>
      </c>
      <c r="G3" s="1260">
        <v>1801840833.53</v>
      </c>
      <c r="H3" s="1261">
        <v>113398854.13</v>
      </c>
      <c r="I3" s="1262">
        <v>0</v>
      </c>
      <c r="J3" s="1258">
        <v>1915239687.6600001</v>
      </c>
      <c r="K3" s="1258">
        <v>212064512.34</v>
      </c>
      <c r="L3" s="1263">
        <v>90.031302888416249</v>
      </c>
      <c r="M3" s="1265" t="s">
        <v>1350</v>
      </c>
    </row>
    <row r="4" spans="1:15" x14ac:dyDescent="0.35">
      <c r="A4" s="1257" t="s">
        <v>1351</v>
      </c>
      <c r="B4" s="1257" t="s">
        <v>374</v>
      </c>
      <c r="C4" s="1258">
        <v>5000000</v>
      </c>
      <c r="D4" s="1259">
        <v>0</v>
      </c>
      <c r="E4" s="1259">
        <v>0</v>
      </c>
      <c r="F4" s="1258">
        <v>5000000</v>
      </c>
      <c r="G4" s="1260">
        <v>1052100</v>
      </c>
      <c r="H4" s="1261">
        <v>0</v>
      </c>
      <c r="I4" s="1262">
        <v>0</v>
      </c>
      <c r="J4" s="1258">
        <v>1052100</v>
      </c>
      <c r="K4" s="1258">
        <v>3947900</v>
      </c>
      <c r="L4" s="1263">
        <v>21.041999999999998</v>
      </c>
      <c r="M4" s="1263"/>
      <c r="N4" s="1263"/>
      <c r="O4" s="1263"/>
    </row>
    <row r="5" spans="1:15" x14ac:dyDescent="0.35">
      <c r="A5" s="1257" t="s">
        <v>1352</v>
      </c>
      <c r="B5" s="1257" t="s">
        <v>35</v>
      </c>
      <c r="C5" s="1258">
        <v>74129440</v>
      </c>
      <c r="D5" s="1259">
        <v>48900000</v>
      </c>
      <c r="E5" s="1259">
        <v>86828060</v>
      </c>
      <c r="F5" s="1258">
        <v>209857500</v>
      </c>
      <c r="G5" s="1260">
        <v>155911553.56</v>
      </c>
      <c r="H5" s="1261">
        <v>18317338.149999999</v>
      </c>
      <c r="I5" s="1262">
        <v>0</v>
      </c>
      <c r="J5" s="1258">
        <v>174228891.71000001</v>
      </c>
      <c r="K5" s="1258">
        <v>35628608.289999999</v>
      </c>
      <c r="L5" s="1263">
        <v>83.022475589388051</v>
      </c>
      <c r="M5" s="1263"/>
      <c r="N5" s="1263"/>
      <c r="O5" s="1263"/>
    </row>
    <row r="6" spans="1:15" x14ac:dyDescent="0.35">
      <c r="A6" s="1257" t="s">
        <v>1353</v>
      </c>
      <c r="B6" s="1257" t="s">
        <v>568</v>
      </c>
      <c r="C6" s="1258">
        <v>1500000</v>
      </c>
      <c r="D6" s="1259">
        <v>0</v>
      </c>
      <c r="E6" s="1259">
        <v>0</v>
      </c>
      <c r="F6" s="1258">
        <v>1500000</v>
      </c>
      <c r="G6" s="1260">
        <v>145966.65</v>
      </c>
      <c r="H6" s="1261">
        <v>0</v>
      </c>
      <c r="I6" s="1262">
        <v>0</v>
      </c>
      <c r="J6" s="1258">
        <v>145966.65</v>
      </c>
      <c r="K6" s="1258">
        <v>1354033.35</v>
      </c>
      <c r="L6" s="1263">
        <v>9.7311099999999993</v>
      </c>
      <c r="M6" s="1263"/>
      <c r="N6" s="1263"/>
      <c r="O6" s="1263"/>
    </row>
    <row r="7" spans="1:15" x14ac:dyDescent="0.35">
      <c r="A7" s="1257" t="s">
        <v>1354</v>
      </c>
      <c r="B7" s="1257" t="s">
        <v>17</v>
      </c>
      <c r="C7" s="1258">
        <v>12100000</v>
      </c>
      <c r="D7" s="1259">
        <v>0</v>
      </c>
      <c r="E7" s="1259">
        <v>0</v>
      </c>
      <c r="F7" s="1258">
        <v>12100000</v>
      </c>
      <c r="G7" s="1260">
        <v>8294112</v>
      </c>
      <c r="H7" s="1261">
        <v>2540071.7999999998</v>
      </c>
      <c r="I7" s="1262">
        <v>0</v>
      </c>
      <c r="J7" s="1258">
        <v>10834183.800000001</v>
      </c>
      <c r="K7" s="1258">
        <v>1265816.2</v>
      </c>
      <c r="L7" s="1263">
        <v>89.538709090909094</v>
      </c>
    </row>
    <row r="8" spans="1:15" x14ac:dyDescent="0.35">
      <c r="A8" s="1257" t="s">
        <v>1332</v>
      </c>
      <c r="B8" s="1257" t="s">
        <v>465</v>
      </c>
      <c r="C8" s="1258">
        <v>462616190</v>
      </c>
      <c r="D8" s="1259">
        <v>0</v>
      </c>
      <c r="E8" s="1259">
        <v>99753930</v>
      </c>
      <c r="F8" s="1258">
        <v>562370120</v>
      </c>
      <c r="G8" s="1260">
        <v>438643838.12</v>
      </c>
      <c r="H8" s="1261">
        <v>36169446.439999998</v>
      </c>
      <c r="I8" s="1262">
        <v>0</v>
      </c>
      <c r="J8" s="1258">
        <v>474813284.56</v>
      </c>
      <c r="K8" s="1258">
        <v>87556835.439999998</v>
      </c>
      <c r="L8" s="1263">
        <v>84.430745459947261</v>
      </c>
      <c r="M8" s="1263"/>
      <c r="N8" s="1263"/>
      <c r="O8" s="1263"/>
    </row>
    <row r="9" spans="1:15" x14ac:dyDescent="0.35">
      <c r="A9" s="1257" t="s">
        <v>1333</v>
      </c>
      <c r="B9" s="1257" t="s">
        <v>465</v>
      </c>
      <c r="C9" s="1258">
        <v>571860400</v>
      </c>
      <c r="D9" s="1259">
        <v>0</v>
      </c>
      <c r="E9" s="1259">
        <v>156446750</v>
      </c>
      <c r="F9" s="1258">
        <v>728307150</v>
      </c>
      <c r="G9" s="1260">
        <v>560953570.65999997</v>
      </c>
      <c r="H9" s="1261">
        <v>46704657.749999993</v>
      </c>
      <c r="I9" s="1262">
        <v>0</v>
      </c>
      <c r="J9" s="1258">
        <v>607658228.40999997</v>
      </c>
      <c r="K9" s="1258">
        <v>120648921.59</v>
      </c>
      <c r="L9" s="1263">
        <v>83.434335144176458</v>
      </c>
      <c r="M9" s="1265" t="s">
        <v>1350</v>
      </c>
    </row>
    <row r="10" spans="1:15" x14ac:dyDescent="0.35">
      <c r="A10" s="1257" t="s">
        <v>1355</v>
      </c>
      <c r="B10" s="1257" t="s">
        <v>1189</v>
      </c>
      <c r="C10" s="1258">
        <v>127354640</v>
      </c>
      <c r="D10" s="1259">
        <v>1000000</v>
      </c>
      <c r="E10" s="1259">
        <v>278991171</v>
      </c>
      <c r="F10" s="1258">
        <v>407345811</v>
      </c>
      <c r="G10" s="1260">
        <v>40304302.549999997</v>
      </c>
      <c r="H10" s="1261">
        <v>354959624.57000005</v>
      </c>
      <c r="I10" s="1262">
        <v>0</v>
      </c>
      <c r="J10" s="1258">
        <v>395263927.12</v>
      </c>
      <c r="K10" s="1258">
        <v>12081883.880000001</v>
      </c>
      <c r="L10" s="1263">
        <v>97.033998250690246</v>
      </c>
      <c r="M10" s="1263"/>
      <c r="N10" s="1263"/>
      <c r="O10" s="1263"/>
    </row>
    <row r="11" spans="1:15" x14ac:dyDescent="0.35">
      <c r="A11" s="1257" t="s">
        <v>1356</v>
      </c>
      <c r="B11" s="1257" t="s">
        <v>18</v>
      </c>
      <c r="C11" s="1258">
        <v>395240740</v>
      </c>
      <c r="D11" s="1259">
        <v>21000000</v>
      </c>
      <c r="E11" s="1259">
        <v>241450</v>
      </c>
      <c r="F11" s="1258">
        <v>416482190</v>
      </c>
      <c r="G11" s="1260">
        <v>355092060.92000002</v>
      </c>
      <c r="H11" s="1261">
        <v>34819895.960000001</v>
      </c>
      <c r="I11" s="1262">
        <v>0</v>
      </c>
      <c r="J11" s="1258">
        <v>389911956.88</v>
      </c>
      <c r="K11" s="1258">
        <v>26570233.120000001</v>
      </c>
      <c r="L11" s="1263">
        <v>93.62031948593048</v>
      </c>
      <c r="M11" s="1263"/>
      <c r="N11" s="1263"/>
      <c r="O11" s="1263"/>
    </row>
    <row r="12" spans="1:15" x14ac:dyDescent="0.35">
      <c r="A12" s="1257" t="s">
        <v>1334</v>
      </c>
      <c r="B12" s="1257" t="s">
        <v>88</v>
      </c>
      <c r="C12" s="1258">
        <v>132537470</v>
      </c>
      <c r="D12" s="1259">
        <v>4000000</v>
      </c>
      <c r="E12" s="1259">
        <v>25349400</v>
      </c>
      <c r="F12" s="1258">
        <v>161886870</v>
      </c>
      <c r="G12" s="1260">
        <v>139654842.34999999</v>
      </c>
      <c r="H12" s="1261">
        <v>11623510.450000001</v>
      </c>
      <c r="I12" s="1262">
        <v>0</v>
      </c>
      <c r="J12" s="1258">
        <v>151278352.80000001</v>
      </c>
      <c r="K12" s="1258">
        <v>10608517.199999999</v>
      </c>
      <c r="L12" s="1263">
        <v>93.446956383800611</v>
      </c>
      <c r="M12" s="1263"/>
      <c r="N12" s="1263"/>
      <c r="O12" s="1263"/>
    </row>
    <row r="13" spans="1:15" ht="26.4" x14ac:dyDescent="0.35">
      <c r="A13" s="1257" t="s">
        <v>1357</v>
      </c>
      <c r="B13" s="1257" t="s">
        <v>1191</v>
      </c>
      <c r="C13" s="1258">
        <v>353068490</v>
      </c>
      <c r="D13" s="1259">
        <v>0</v>
      </c>
      <c r="E13" s="1259">
        <v>145765050</v>
      </c>
      <c r="F13" s="1258">
        <v>498833540</v>
      </c>
      <c r="G13" s="1260">
        <v>403883771.67000002</v>
      </c>
      <c r="H13" s="1261">
        <v>31186579.250000007</v>
      </c>
      <c r="I13" s="1262">
        <v>0</v>
      </c>
      <c r="J13" s="1258">
        <v>435070350.92000002</v>
      </c>
      <c r="K13" s="1258">
        <v>63763189.079999998</v>
      </c>
      <c r="L13" s="1263">
        <v>87.217541731456151</v>
      </c>
    </row>
    <row r="14" spans="1:15" ht="26.4" x14ac:dyDescent="0.35">
      <c r="A14" s="1257" t="s">
        <v>1358</v>
      </c>
      <c r="B14" s="1257" t="s">
        <v>447</v>
      </c>
      <c r="C14" s="1258">
        <v>19086220</v>
      </c>
      <c r="D14" s="1259">
        <v>0</v>
      </c>
      <c r="E14" s="1259">
        <v>7879450</v>
      </c>
      <c r="F14" s="1258">
        <v>26965670</v>
      </c>
      <c r="G14" s="1260">
        <v>21845497.859999999</v>
      </c>
      <c r="H14" s="1261">
        <v>1738191.35</v>
      </c>
      <c r="I14" s="1262">
        <v>0</v>
      </c>
      <c r="J14" s="1258">
        <v>23583689.210000001</v>
      </c>
      <c r="K14" s="1258">
        <v>3381980.79</v>
      </c>
      <c r="L14" s="1263">
        <v>87.458198553939141</v>
      </c>
      <c r="M14" s="1263"/>
      <c r="N14" s="1263"/>
      <c r="O14" s="1263"/>
    </row>
    <row r="15" spans="1:15" ht="26.4" x14ac:dyDescent="0.35">
      <c r="A15" s="1257" t="s">
        <v>1359</v>
      </c>
      <c r="B15" s="1257" t="s">
        <v>448</v>
      </c>
      <c r="C15" s="1258">
        <v>57255640</v>
      </c>
      <c r="D15" s="1259">
        <v>0</v>
      </c>
      <c r="E15" s="1259">
        <v>23637800</v>
      </c>
      <c r="F15" s="1258">
        <v>80893440</v>
      </c>
      <c r="G15" s="1260">
        <v>65536495.770000003</v>
      </c>
      <c r="H15" s="1261">
        <v>5214574.04</v>
      </c>
      <c r="I15" s="1262">
        <v>0</v>
      </c>
      <c r="J15" s="1258">
        <v>70751069.810000002</v>
      </c>
      <c r="K15" s="1258">
        <v>10142370.189999999</v>
      </c>
      <c r="L15" s="1263">
        <v>87.462060965635786</v>
      </c>
      <c r="M15" s="1265" t="s">
        <v>1350</v>
      </c>
    </row>
    <row r="16" spans="1:15" ht="26.4" x14ac:dyDescent="0.35">
      <c r="A16" s="1257" t="s">
        <v>1360</v>
      </c>
      <c r="B16" s="1257" t="s">
        <v>609</v>
      </c>
      <c r="C16" s="1258">
        <v>190848705</v>
      </c>
      <c r="D16" s="1259">
        <v>0</v>
      </c>
      <c r="E16" s="1259">
        <v>78792025</v>
      </c>
      <c r="F16" s="1258">
        <v>269640730</v>
      </c>
      <c r="G16" s="1260">
        <v>218454984.00999999</v>
      </c>
      <c r="H16" s="1261">
        <v>17062510.699999996</v>
      </c>
      <c r="I16" s="1262">
        <v>0</v>
      </c>
      <c r="J16" s="1258">
        <v>235517494.71000001</v>
      </c>
      <c r="K16" s="1258">
        <v>34123235.289999999</v>
      </c>
      <c r="L16" s="1263">
        <v>87.34492549029963</v>
      </c>
      <c r="M16" s="1263"/>
      <c r="N16" s="1263"/>
      <c r="O16" s="1263"/>
    </row>
    <row r="17" spans="1:15" ht="26.4" x14ac:dyDescent="0.35">
      <c r="A17" s="1257" t="s">
        <v>1361</v>
      </c>
      <c r="B17" s="1257" t="s">
        <v>1192</v>
      </c>
      <c r="C17" s="1258">
        <v>19086195</v>
      </c>
      <c r="D17" s="1259">
        <v>0</v>
      </c>
      <c r="E17" s="1259">
        <v>7879425</v>
      </c>
      <c r="F17" s="1258">
        <v>26965620</v>
      </c>
      <c r="G17" s="1260">
        <v>21845548.550000001</v>
      </c>
      <c r="H17" s="1261">
        <v>1738191.35</v>
      </c>
      <c r="I17" s="1262">
        <v>0</v>
      </c>
      <c r="J17" s="1258">
        <v>23583739.899999999</v>
      </c>
      <c r="K17" s="1258">
        <v>3381880.1</v>
      </c>
      <c r="L17" s="1263">
        <v>87.458548700159682</v>
      </c>
      <c r="M17" s="1263"/>
      <c r="N17" s="1263"/>
      <c r="O17" s="1263"/>
    </row>
    <row r="18" spans="1:15" ht="26.4" x14ac:dyDescent="0.35">
      <c r="A18" s="1257" t="s">
        <v>1362</v>
      </c>
      <c r="B18" s="1257" t="s">
        <v>1194</v>
      </c>
      <c r="C18" s="1258">
        <v>202391095</v>
      </c>
      <c r="D18" s="1259">
        <v>0</v>
      </c>
      <c r="E18" s="1259">
        <v>82731625</v>
      </c>
      <c r="F18" s="1258">
        <v>285122720</v>
      </c>
      <c r="G18" s="1260">
        <v>229773722.00999999</v>
      </c>
      <c r="H18" s="1261">
        <v>18308134.469999999</v>
      </c>
      <c r="I18" s="1262">
        <v>0</v>
      </c>
      <c r="J18" s="1258">
        <v>248081856.47999999</v>
      </c>
      <c r="K18" s="1258">
        <v>37040863.520000003</v>
      </c>
      <c r="L18" s="1263">
        <v>87.008799747701616</v>
      </c>
      <c r="M18" s="1263"/>
      <c r="N18" s="1263"/>
      <c r="O18" s="1263"/>
    </row>
    <row r="19" spans="1:15" ht="26.4" x14ac:dyDescent="0.35">
      <c r="A19" s="1257" t="s">
        <v>1363</v>
      </c>
      <c r="B19" s="1257" t="s">
        <v>1195</v>
      </c>
      <c r="C19" s="1258">
        <v>112509610</v>
      </c>
      <c r="D19" s="1259">
        <v>0</v>
      </c>
      <c r="E19" s="1259">
        <v>47275400</v>
      </c>
      <c r="F19" s="1258">
        <v>159785010</v>
      </c>
      <c r="G19" s="1260">
        <v>131073222.5</v>
      </c>
      <c r="H19" s="1261">
        <v>10429148.07</v>
      </c>
      <c r="I19" s="1262">
        <v>0</v>
      </c>
      <c r="J19" s="1258">
        <v>141502370.56999999</v>
      </c>
      <c r="K19" s="1258">
        <v>18282639.43</v>
      </c>
      <c r="L19" s="1263">
        <v>88.55797585142686</v>
      </c>
      <c r="M19" s="1263"/>
      <c r="N19" s="1263"/>
      <c r="O19" s="1263"/>
    </row>
    <row r="20" spans="1:15" ht="26.4" x14ac:dyDescent="0.35">
      <c r="A20" s="1257" t="s">
        <v>1364</v>
      </c>
      <c r="B20" s="1257" t="s">
        <v>543</v>
      </c>
      <c r="C20" s="1258">
        <v>57255655</v>
      </c>
      <c r="D20" s="1259">
        <v>0</v>
      </c>
      <c r="E20" s="1259">
        <v>23637825</v>
      </c>
      <c r="F20" s="1258">
        <v>80893480</v>
      </c>
      <c r="G20" s="1260">
        <v>65536448.600000001</v>
      </c>
      <c r="H20" s="1261">
        <v>5214574.0399999991</v>
      </c>
      <c r="I20" s="1262">
        <v>0</v>
      </c>
      <c r="J20" s="1258">
        <v>70751022.640000001</v>
      </c>
      <c r="K20" s="1258">
        <v>10142457.359999999</v>
      </c>
      <c r="L20" s="1263">
        <v>87.461959406369957</v>
      </c>
      <c r="M20" s="1263"/>
      <c r="N20" s="1263"/>
      <c r="O20" s="1263"/>
    </row>
    <row r="21" spans="1:15" x14ac:dyDescent="0.35">
      <c r="A21" s="1257" t="s">
        <v>1365</v>
      </c>
      <c r="B21" s="1257" t="s">
        <v>375</v>
      </c>
      <c r="C21" s="1258">
        <v>11500000</v>
      </c>
      <c r="D21" s="1259">
        <v>0</v>
      </c>
      <c r="E21" s="1259">
        <v>0</v>
      </c>
      <c r="F21" s="1258">
        <v>11500000</v>
      </c>
      <c r="G21" s="1260">
        <v>238000</v>
      </c>
      <c r="H21" s="1261">
        <v>242000</v>
      </c>
      <c r="I21" s="1262">
        <v>0</v>
      </c>
      <c r="J21" s="1258">
        <v>480000</v>
      </c>
      <c r="K21" s="1258">
        <v>11020000</v>
      </c>
      <c r="L21" s="1263">
        <v>4.1739130434782616</v>
      </c>
    </row>
    <row r="22" spans="1:15" x14ac:dyDescent="0.35">
      <c r="A22" s="1257" t="s">
        <v>1366</v>
      </c>
      <c r="B22" s="1257" t="s">
        <v>621</v>
      </c>
      <c r="C22" s="1258">
        <v>108872300</v>
      </c>
      <c r="D22" s="1259">
        <v>-19576000</v>
      </c>
      <c r="E22" s="1259">
        <v>260227700</v>
      </c>
      <c r="F22" s="1258">
        <v>349524000</v>
      </c>
      <c r="G22" s="1260">
        <v>320262456.14999998</v>
      </c>
      <c r="H22" s="1261">
        <v>16651700</v>
      </c>
      <c r="I22" s="1262">
        <v>0</v>
      </c>
      <c r="J22" s="1258">
        <v>336914156.14999998</v>
      </c>
      <c r="K22" s="1258">
        <v>12609843.85</v>
      </c>
      <c r="L22" s="1263">
        <v>96.392280973552587</v>
      </c>
      <c r="M22" s="1263"/>
      <c r="N22" s="1263"/>
      <c r="O22" s="1263"/>
    </row>
    <row r="23" spans="1:15" x14ac:dyDescent="0.35">
      <c r="A23" s="1257" t="s">
        <v>1367</v>
      </c>
      <c r="B23" s="1257" t="s">
        <v>109</v>
      </c>
      <c r="C23" s="1258">
        <v>42500000</v>
      </c>
      <c r="D23" s="1259">
        <v>-32363000</v>
      </c>
      <c r="E23" s="1259">
        <v>143500000</v>
      </c>
      <c r="F23" s="1258">
        <v>153637000</v>
      </c>
      <c r="G23" s="1260">
        <v>87381927.390000001</v>
      </c>
      <c r="H23" s="1261">
        <v>39379877</v>
      </c>
      <c r="I23" s="1262">
        <v>0</v>
      </c>
      <c r="J23" s="1258">
        <v>126761804.39</v>
      </c>
      <c r="K23" s="1258">
        <v>26875195.609999999</v>
      </c>
      <c r="L23" s="1263">
        <v>82.50734158438398</v>
      </c>
      <c r="M23" s="1265" t="s">
        <v>1350</v>
      </c>
    </row>
    <row r="24" spans="1:15" x14ac:dyDescent="0.35">
      <c r="A24" s="1257" t="s">
        <v>1368</v>
      </c>
      <c r="B24" s="1257" t="s">
        <v>111</v>
      </c>
      <c r="C24" s="1258">
        <v>0</v>
      </c>
      <c r="D24" s="1259">
        <v>2150000</v>
      </c>
      <c r="E24" s="1259">
        <v>0</v>
      </c>
      <c r="F24" s="1258">
        <v>2150000</v>
      </c>
      <c r="G24" s="1260">
        <v>1652889.42</v>
      </c>
      <c r="H24" s="1261">
        <v>0</v>
      </c>
      <c r="I24" s="1262">
        <v>0</v>
      </c>
      <c r="J24" s="1258">
        <v>1652889.42</v>
      </c>
      <c r="K24" s="1258">
        <v>497110.58</v>
      </c>
      <c r="L24" s="1263">
        <v>76.878577674418608</v>
      </c>
      <c r="M24" s="1263"/>
      <c r="N24" s="1263"/>
      <c r="O24" s="1263"/>
    </row>
    <row r="25" spans="1:15" x14ac:dyDescent="0.35">
      <c r="A25" s="1257" t="s">
        <v>1369</v>
      </c>
      <c r="B25" s="1257" t="s">
        <v>113</v>
      </c>
      <c r="C25" s="1258">
        <v>27550000</v>
      </c>
      <c r="D25" s="1259">
        <v>20000000</v>
      </c>
      <c r="E25" s="1259">
        <v>27550000</v>
      </c>
      <c r="F25" s="1258">
        <v>75100000</v>
      </c>
      <c r="G25" s="1260">
        <v>64598570.939999998</v>
      </c>
      <c r="H25" s="1261">
        <v>5934596.0700000003</v>
      </c>
      <c r="I25" s="1262">
        <v>0</v>
      </c>
      <c r="J25" s="1258">
        <v>70533167.010000005</v>
      </c>
      <c r="K25" s="1258">
        <v>4566832.99</v>
      </c>
      <c r="L25" s="1263">
        <v>93.918997350199746</v>
      </c>
      <c r="M25" s="1263"/>
      <c r="N25" s="1263"/>
      <c r="O25" s="1263"/>
    </row>
    <row r="26" spans="1:15" x14ac:dyDescent="0.35">
      <c r="A26" s="1257" t="s">
        <v>1370</v>
      </c>
      <c r="B26" s="1257" t="s">
        <v>117</v>
      </c>
      <c r="C26" s="1258">
        <v>2717000</v>
      </c>
      <c r="D26" s="1259">
        <v>0</v>
      </c>
      <c r="E26" s="1259">
        <v>6664000</v>
      </c>
      <c r="F26" s="1258">
        <v>9381000</v>
      </c>
      <c r="G26" s="1260">
        <v>8098348</v>
      </c>
      <c r="H26" s="1261">
        <v>772100.28999999992</v>
      </c>
      <c r="I26" s="1262">
        <v>0</v>
      </c>
      <c r="J26" s="1258">
        <v>8870448.2899999991</v>
      </c>
      <c r="K26" s="1258">
        <v>510551.71</v>
      </c>
      <c r="L26" s="1263">
        <v>94.557598230465828</v>
      </c>
      <c r="M26" s="1263"/>
      <c r="N26" s="1263"/>
      <c r="O26" s="1263"/>
    </row>
    <row r="27" spans="1:15" x14ac:dyDescent="0.35">
      <c r="A27" s="1257" t="s">
        <v>1371</v>
      </c>
      <c r="B27" s="1257" t="s">
        <v>119</v>
      </c>
      <c r="C27" s="1258">
        <v>8310687.5</v>
      </c>
      <c r="D27" s="1259">
        <v>6600000</v>
      </c>
      <c r="E27" s="1259">
        <v>21325212.5</v>
      </c>
      <c r="F27" s="1258">
        <v>36235900</v>
      </c>
      <c r="G27" s="1260">
        <v>32214005</v>
      </c>
      <c r="H27" s="1261">
        <v>2447644.5499999998</v>
      </c>
      <c r="I27" s="1262">
        <v>0</v>
      </c>
      <c r="J27" s="1258">
        <v>34661649.549999997</v>
      </c>
      <c r="K27" s="1258">
        <v>1574250.45</v>
      </c>
      <c r="L27" s="1263">
        <v>95.655550296805089</v>
      </c>
      <c r="M27" s="1263"/>
      <c r="N27" s="1263"/>
      <c r="O27" s="1263"/>
    </row>
    <row r="28" spans="1:15" x14ac:dyDescent="0.35">
      <c r="A28" s="1257" t="s">
        <v>1372</v>
      </c>
      <c r="B28" s="1257" t="s">
        <v>121</v>
      </c>
      <c r="C28" s="1258">
        <v>2150000</v>
      </c>
      <c r="D28" s="1259">
        <v>-500000</v>
      </c>
      <c r="E28" s="1259">
        <v>2650000</v>
      </c>
      <c r="F28" s="1258">
        <v>4300000</v>
      </c>
      <c r="G28" s="1260">
        <v>3224568</v>
      </c>
      <c r="H28" s="1261">
        <v>352164.5</v>
      </c>
      <c r="I28" s="1262">
        <v>0</v>
      </c>
      <c r="J28" s="1258">
        <v>3576732.5</v>
      </c>
      <c r="K28" s="1258">
        <v>723267.5</v>
      </c>
      <c r="L28" s="1263">
        <v>83.179825581395349</v>
      </c>
      <c r="M28" s="1263"/>
      <c r="N28" s="1263"/>
      <c r="O28" s="1263"/>
    </row>
    <row r="29" spans="1:15" x14ac:dyDescent="0.35">
      <c r="A29" s="1257" t="s">
        <v>1373</v>
      </c>
      <c r="B29" s="1257" t="s">
        <v>1200</v>
      </c>
      <c r="C29" s="1258">
        <v>26869800</v>
      </c>
      <c r="D29" s="1259">
        <v>-21533367.379999999</v>
      </c>
      <c r="E29" s="1259">
        <v>244682947</v>
      </c>
      <c r="F29" s="1258">
        <v>250019379.62</v>
      </c>
      <c r="G29" s="1260">
        <v>189798328.38</v>
      </c>
      <c r="H29" s="1261">
        <v>23277746.630000003</v>
      </c>
      <c r="I29" s="1262">
        <v>0</v>
      </c>
      <c r="J29" s="1258">
        <v>213076075.00999999</v>
      </c>
      <c r="K29" s="1258">
        <v>36943304.609999999</v>
      </c>
      <c r="L29" s="1263">
        <v>85.223823582736074</v>
      </c>
    </row>
    <row r="30" spans="1:15" x14ac:dyDescent="0.35">
      <c r="A30" s="1257" t="s">
        <v>1374</v>
      </c>
      <c r="B30" s="1257" t="s">
        <v>124</v>
      </c>
      <c r="C30" s="1258">
        <v>0</v>
      </c>
      <c r="D30" s="1259">
        <v>351000</v>
      </c>
      <c r="E30" s="1259">
        <v>0</v>
      </c>
      <c r="F30" s="1258">
        <v>351000</v>
      </c>
      <c r="G30" s="1260">
        <v>155375</v>
      </c>
      <c r="H30" s="1261">
        <v>62150</v>
      </c>
      <c r="I30" s="1262">
        <v>0</v>
      </c>
      <c r="J30" s="1258">
        <v>217525</v>
      </c>
      <c r="K30" s="1258">
        <v>133475</v>
      </c>
      <c r="L30" s="1263">
        <v>61.972934472934462</v>
      </c>
      <c r="M30" s="1263"/>
      <c r="N30" s="1263"/>
      <c r="O30" s="1263"/>
    </row>
    <row r="31" spans="1:15" x14ac:dyDescent="0.35">
      <c r="A31" s="1257" t="s">
        <v>1375</v>
      </c>
      <c r="B31" s="1257" t="s">
        <v>436</v>
      </c>
      <c r="C31" s="1258">
        <v>950000</v>
      </c>
      <c r="D31" s="1259">
        <v>-199999.75</v>
      </c>
      <c r="E31" s="1259">
        <v>950000</v>
      </c>
      <c r="F31" s="1258">
        <v>1700000.25</v>
      </c>
      <c r="G31" s="1260">
        <v>1022333.6</v>
      </c>
      <c r="H31" s="1261">
        <v>27402.5</v>
      </c>
      <c r="I31" s="1262">
        <v>0</v>
      </c>
      <c r="J31" s="1258">
        <v>1049736.1000000001</v>
      </c>
      <c r="K31" s="1258">
        <v>650264.15</v>
      </c>
      <c r="L31" s="1263">
        <v>61.7491732721804</v>
      </c>
      <c r="M31" s="1265" t="s">
        <v>1350</v>
      </c>
    </row>
    <row r="32" spans="1:15" x14ac:dyDescent="0.35">
      <c r="A32" s="1257" t="s">
        <v>1376</v>
      </c>
      <c r="B32" s="1257" t="s">
        <v>437</v>
      </c>
      <c r="C32" s="1258">
        <v>0</v>
      </c>
      <c r="D32" s="1259">
        <v>0</v>
      </c>
      <c r="E32" s="1259">
        <v>340360171</v>
      </c>
      <c r="F32" s="1258">
        <v>340360171</v>
      </c>
      <c r="G32" s="1260">
        <v>340148356.54000002</v>
      </c>
      <c r="H32" s="1261">
        <v>0</v>
      </c>
      <c r="I32" s="1262">
        <v>0</v>
      </c>
      <c r="J32" s="1258">
        <v>340148356.54000002</v>
      </c>
      <c r="K32" s="1258">
        <v>211814.46</v>
      </c>
      <c r="L32" s="1263">
        <v>99.937767553889273</v>
      </c>
      <c r="M32" s="1263"/>
      <c r="N32" s="1263"/>
      <c r="O32" s="1263"/>
    </row>
    <row r="33" spans="1:15" x14ac:dyDescent="0.35">
      <c r="A33" s="1257" t="s">
        <v>1377</v>
      </c>
      <c r="B33" s="1257" t="s">
        <v>438</v>
      </c>
      <c r="C33" s="1258">
        <v>25865883</v>
      </c>
      <c r="D33" s="1259">
        <v>-5507828.5</v>
      </c>
      <c r="E33" s="1259">
        <v>8125000</v>
      </c>
      <c r="F33" s="1258">
        <v>28483054.5</v>
      </c>
      <c r="G33" s="1260">
        <v>24085643.25</v>
      </c>
      <c r="H33" s="1261">
        <v>3854978.63</v>
      </c>
      <c r="I33" s="1262">
        <v>0</v>
      </c>
      <c r="J33" s="1258">
        <v>27940621.879999999</v>
      </c>
      <c r="K33" s="1258">
        <v>542432.62</v>
      </c>
      <c r="L33" s="1263">
        <v>98.095595330198876</v>
      </c>
      <c r="M33" s="1263"/>
      <c r="N33" s="1263"/>
      <c r="O33" s="1263"/>
    </row>
    <row r="34" spans="1:15" x14ac:dyDescent="0.35">
      <c r="A34" s="1257" t="s">
        <v>1378</v>
      </c>
      <c r="B34" s="1257" t="s">
        <v>439</v>
      </c>
      <c r="C34" s="1258">
        <v>282500</v>
      </c>
      <c r="D34" s="1259">
        <v>9950000</v>
      </c>
      <c r="E34" s="1259">
        <v>567500</v>
      </c>
      <c r="F34" s="1258">
        <v>10800000</v>
      </c>
      <c r="G34" s="1260">
        <v>3124401.58</v>
      </c>
      <c r="H34" s="1261">
        <v>333722.53000000003</v>
      </c>
      <c r="I34" s="1262">
        <v>0</v>
      </c>
      <c r="J34" s="1258">
        <v>3458124.11</v>
      </c>
      <c r="K34" s="1258">
        <v>7341875.8899999997</v>
      </c>
      <c r="L34" s="1263">
        <v>32.019667685185183</v>
      </c>
      <c r="M34" s="1263"/>
      <c r="N34" s="1263"/>
      <c r="O34" s="1263"/>
    </row>
    <row r="35" spans="1:15" ht="26.4" x14ac:dyDescent="0.35">
      <c r="A35" s="1257" t="s">
        <v>1379</v>
      </c>
      <c r="B35" s="1257" t="s">
        <v>452</v>
      </c>
      <c r="C35" s="1258">
        <v>4600000</v>
      </c>
      <c r="D35" s="1259">
        <v>0</v>
      </c>
      <c r="E35" s="1259">
        <v>4600000</v>
      </c>
      <c r="F35" s="1258">
        <v>9200000</v>
      </c>
      <c r="G35" s="1260">
        <v>8120157.3700000001</v>
      </c>
      <c r="H35" s="1261">
        <v>755706.46</v>
      </c>
      <c r="I35" s="1262">
        <v>0</v>
      </c>
      <c r="J35" s="1258">
        <v>8875863.8300000001</v>
      </c>
      <c r="K35" s="1258">
        <v>324136.17</v>
      </c>
      <c r="L35" s="1263">
        <v>96.476780760869559</v>
      </c>
    </row>
    <row r="36" spans="1:15" x14ac:dyDescent="0.35">
      <c r="A36" s="1257" t="s">
        <v>1380</v>
      </c>
      <c r="B36" s="1257" t="s">
        <v>639</v>
      </c>
      <c r="C36" s="1258">
        <v>818900</v>
      </c>
      <c r="D36" s="1259">
        <v>-600000</v>
      </c>
      <c r="E36" s="1259">
        <v>818900</v>
      </c>
      <c r="F36" s="1258">
        <v>1037800</v>
      </c>
      <c r="G36" s="1260">
        <v>653567.78</v>
      </c>
      <c r="H36" s="1261">
        <v>23999.89</v>
      </c>
      <c r="I36" s="1262">
        <v>0</v>
      </c>
      <c r="J36" s="1258">
        <v>677567.67</v>
      </c>
      <c r="K36" s="1258">
        <v>360232.33</v>
      </c>
      <c r="L36" s="1263">
        <v>65.288848525727502</v>
      </c>
      <c r="M36" s="1263"/>
      <c r="N36" s="1263"/>
      <c r="O36" s="1263"/>
    </row>
    <row r="37" spans="1:15" x14ac:dyDescent="0.35">
      <c r="A37" s="1257" t="s">
        <v>1381</v>
      </c>
      <c r="B37" s="1257" t="s">
        <v>641</v>
      </c>
      <c r="C37" s="1258">
        <v>37500</v>
      </c>
      <c r="D37" s="1259">
        <v>-77000</v>
      </c>
      <c r="E37" s="1259">
        <v>112500</v>
      </c>
      <c r="F37" s="1258">
        <v>73000</v>
      </c>
      <c r="G37" s="1260">
        <v>62400</v>
      </c>
      <c r="H37" s="1261">
        <v>0</v>
      </c>
      <c r="I37" s="1262">
        <v>0</v>
      </c>
      <c r="J37" s="1258">
        <v>62400</v>
      </c>
      <c r="K37" s="1258">
        <v>10600</v>
      </c>
      <c r="L37" s="1263">
        <v>85.479452054794521</v>
      </c>
      <c r="M37" s="1265" t="s">
        <v>1350</v>
      </c>
    </row>
    <row r="38" spans="1:15" x14ac:dyDescent="0.35">
      <c r="A38" s="1257" t="s">
        <v>1382</v>
      </c>
      <c r="B38" s="1257" t="s">
        <v>1203</v>
      </c>
      <c r="C38" s="1258">
        <v>2260000</v>
      </c>
      <c r="D38" s="1259">
        <v>0</v>
      </c>
      <c r="E38" s="1259">
        <v>5760000</v>
      </c>
      <c r="F38" s="1258">
        <v>8020000</v>
      </c>
      <c r="G38" s="1260">
        <v>3609127.5</v>
      </c>
      <c r="H38" s="1261">
        <v>1825890</v>
      </c>
      <c r="I38" s="1262">
        <v>0</v>
      </c>
      <c r="J38" s="1258">
        <v>5435017.5</v>
      </c>
      <c r="K38" s="1258">
        <v>2584982.5</v>
      </c>
      <c r="L38" s="1263">
        <v>67.768298004987528</v>
      </c>
      <c r="M38" s="1263"/>
      <c r="N38" s="1263"/>
      <c r="O38" s="1263"/>
    </row>
    <row r="39" spans="1:15" x14ac:dyDescent="0.35">
      <c r="A39" s="1257" t="s">
        <v>1383</v>
      </c>
      <c r="B39" s="1257" t="s">
        <v>142</v>
      </c>
      <c r="C39" s="1258">
        <v>30000000</v>
      </c>
      <c r="D39" s="1259">
        <v>-9400000</v>
      </c>
      <c r="E39" s="1259">
        <v>40000000</v>
      </c>
      <c r="F39" s="1258">
        <v>60600000</v>
      </c>
      <c r="G39" s="1260">
        <v>45401781.710000001</v>
      </c>
      <c r="H39" s="1261">
        <v>9950098.6600000001</v>
      </c>
      <c r="I39" s="1262">
        <v>0</v>
      </c>
      <c r="J39" s="1258">
        <v>55351880.369999997</v>
      </c>
      <c r="K39" s="1258">
        <v>5248119.63</v>
      </c>
      <c r="L39" s="1263">
        <v>91.339736584158416</v>
      </c>
    </row>
    <row r="40" spans="1:15" x14ac:dyDescent="0.35">
      <c r="A40" s="1257" t="s">
        <v>1384</v>
      </c>
      <c r="B40" s="1257" t="s">
        <v>645</v>
      </c>
      <c r="C40" s="1258">
        <v>5000000</v>
      </c>
      <c r="D40" s="1259">
        <v>0</v>
      </c>
      <c r="E40" s="1259">
        <v>5000000</v>
      </c>
      <c r="F40" s="1258">
        <v>10000000</v>
      </c>
      <c r="G40" s="1260">
        <v>10000000</v>
      </c>
      <c r="H40" s="1261">
        <v>0</v>
      </c>
      <c r="I40" s="1262">
        <v>0</v>
      </c>
      <c r="J40" s="1258">
        <v>10000000</v>
      </c>
      <c r="K40" s="1258">
        <v>0</v>
      </c>
      <c r="L40" s="1263">
        <v>100</v>
      </c>
      <c r="M40" s="1263"/>
      <c r="N40" s="1263"/>
      <c r="O40" s="1263"/>
    </row>
    <row r="41" spans="1:15" x14ac:dyDescent="0.35">
      <c r="A41" s="1257" t="s">
        <v>1385</v>
      </c>
      <c r="B41" s="1257" t="s">
        <v>146</v>
      </c>
      <c r="C41" s="1258">
        <v>34033586</v>
      </c>
      <c r="D41" s="1259">
        <v>-9160000</v>
      </c>
      <c r="E41" s="1259">
        <v>88256514</v>
      </c>
      <c r="F41" s="1258">
        <v>113130100</v>
      </c>
      <c r="G41" s="1260">
        <v>91051578.859999999</v>
      </c>
      <c r="H41" s="1261">
        <v>14530513.32</v>
      </c>
      <c r="I41" s="1262">
        <v>0</v>
      </c>
      <c r="J41" s="1258">
        <v>105582092.18000001</v>
      </c>
      <c r="K41" s="1258">
        <v>7548007.8200000003</v>
      </c>
      <c r="L41" s="1263">
        <v>93.328028685557612</v>
      </c>
      <c r="M41" s="1264"/>
      <c r="N41" s="1264"/>
    </row>
    <row r="42" spans="1:15" x14ac:dyDescent="0.35">
      <c r="A42" s="1257" t="s">
        <v>1386</v>
      </c>
      <c r="B42" s="1257" t="s">
        <v>148</v>
      </c>
      <c r="C42" s="1258">
        <v>136975000</v>
      </c>
      <c r="D42" s="1259">
        <v>-142499950</v>
      </c>
      <c r="E42" s="1259">
        <v>5768154608</v>
      </c>
      <c r="F42" s="1258">
        <v>5762629658</v>
      </c>
      <c r="G42" s="1260">
        <v>5132851775.3100004</v>
      </c>
      <c r="H42" s="1261">
        <v>26554347.57</v>
      </c>
      <c r="I42" s="1262">
        <v>0</v>
      </c>
      <c r="J42" s="1258">
        <v>5159406122.8800001</v>
      </c>
      <c r="K42" s="1258">
        <v>603223535.12</v>
      </c>
      <c r="L42" s="1263">
        <v>89.532148152491956</v>
      </c>
      <c r="M42" s="1265" t="s">
        <v>1350</v>
      </c>
    </row>
    <row r="43" spans="1:15" x14ac:dyDescent="0.35">
      <c r="A43" s="1257" t="s">
        <v>1387</v>
      </c>
      <c r="B43" s="1257" t="s">
        <v>545</v>
      </c>
      <c r="C43" s="1258">
        <v>2262500</v>
      </c>
      <c r="D43" s="1259">
        <v>1625000.6800000004</v>
      </c>
      <c r="E43" s="1259">
        <v>11242500</v>
      </c>
      <c r="F43" s="1258">
        <v>15130000.68</v>
      </c>
      <c r="G43" s="1260">
        <v>9005457</v>
      </c>
      <c r="H43" s="1261">
        <v>62744.800000000003</v>
      </c>
      <c r="I43" s="1262">
        <v>0</v>
      </c>
      <c r="J43" s="1258">
        <v>9068201.8000000007</v>
      </c>
      <c r="K43" s="1258">
        <v>6061798.8799999999</v>
      </c>
      <c r="L43" s="1263">
        <v>59.935237226968859</v>
      </c>
      <c r="M43" s="1263"/>
      <c r="N43" s="1263"/>
      <c r="O43" s="1263"/>
    </row>
    <row r="44" spans="1:15" x14ac:dyDescent="0.35">
      <c r="A44" s="1257" t="s">
        <v>1388</v>
      </c>
      <c r="B44" s="1257" t="s">
        <v>542</v>
      </c>
      <c r="C44" s="1258">
        <v>92872848.5</v>
      </c>
      <c r="D44" s="1259">
        <v>14000000</v>
      </c>
      <c r="E44" s="1259">
        <v>311417151.5</v>
      </c>
      <c r="F44" s="1258">
        <v>418290000</v>
      </c>
      <c r="G44" s="1260">
        <v>387049979</v>
      </c>
      <c r="H44" s="1261">
        <v>6033269</v>
      </c>
      <c r="I44" s="1262">
        <v>0</v>
      </c>
      <c r="J44" s="1258">
        <v>393083248</v>
      </c>
      <c r="K44" s="1258">
        <v>25206752</v>
      </c>
      <c r="L44" s="1263">
        <v>93.973857371679941</v>
      </c>
      <c r="M44" s="1263"/>
      <c r="N44" s="1263"/>
      <c r="O44" s="1263"/>
    </row>
    <row r="45" spans="1:15" x14ac:dyDescent="0.35">
      <c r="A45" s="1257" t="s">
        <v>1389</v>
      </c>
      <c r="B45" s="1257" t="s">
        <v>156</v>
      </c>
      <c r="C45" s="1258">
        <v>1500000</v>
      </c>
      <c r="D45" s="1259">
        <v>400000</v>
      </c>
      <c r="E45" s="1259">
        <v>1500000</v>
      </c>
      <c r="F45" s="1258">
        <v>3400000</v>
      </c>
      <c r="G45" s="1260">
        <v>811955.52</v>
      </c>
      <c r="H45" s="1261">
        <v>1789008.99</v>
      </c>
      <c r="I45" s="1262">
        <v>0</v>
      </c>
      <c r="J45" s="1258">
        <v>2600964.5099999998</v>
      </c>
      <c r="K45" s="1258">
        <v>799035.49</v>
      </c>
      <c r="L45" s="1263">
        <v>76.498956176470585</v>
      </c>
      <c r="M45" s="1263"/>
      <c r="N45" s="1263"/>
      <c r="O45" s="1263"/>
    </row>
    <row r="46" spans="1:15" x14ac:dyDescent="0.35">
      <c r="A46" s="1257" t="s">
        <v>1390</v>
      </c>
      <c r="B46" s="1257" t="s">
        <v>440</v>
      </c>
      <c r="C46" s="1258">
        <v>2250000</v>
      </c>
      <c r="D46" s="1259">
        <v>2100000</v>
      </c>
      <c r="E46" s="1259">
        <v>2250000</v>
      </c>
      <c r="F46" s="1258">
        <v>6600000</v>
      </c>
      <c r="G46" s="1260">
        <v>4651004.96</v>
      </c>
      <c r="H46" s="1261">
        <v>0</v>
      </c>
      <c r="I46" s="1262">
        <v>0</v>
      </c>
      <c r="J46" s="1258">
        <v>4651004.96</v>
      </c>
      <c r="K46" s="1258">
        <v>1948995.04</v>
      </c>
      <c r="L46" s="1263">
        <v>70.469772121212117</v>
      </c>
      <c r="M46" s="1263"/>
      <c r="N46" s="1263"/>
      <c r="O46" s="1263"/>
    </row>
    <row r="47" spans="1:15" x14ac:dyDescent="0.35">
      <c r="A47" s="1257" t="s">
        <v>1391</v>
      </c>
      <c r="B47" s="1257" t="s">
        <v>1207</v>
      </c>
      <c r="C47" s="1258">
        <v>58604975</v>
      </c>
      <c r="D47" s="1259">
        <v>1000000</v>
      </c>
      <c r="E47" s="1259">
        <v>16687725</v>
      </c>
      <c r="F47" s="1258">
        <v>76292700</v>
      </c>
      <c r="G47" s="1260">
        <v>60528928.170000002</v>
      </c>
      <c r="H47" s="1261">
        <v>2365.789999999979</v>
      </c>
      <c r="I47" s="1262">
        <v>0</v>
      </c>
      <c r="J47" s="1258">
        <v>60531293.960000001</v>
      </c>
      <c r="K47" s="1258">
        <v>15761406.039999999</v>
      </c>
      <c r="L47" s="1263">
        <v>79.34087266540574</v>
      </c>
    </row>
    <row r="48" spans="1:15" x14ac:dyDescent="0.35">
      <c r="A48" s="1257" t="s">
        <v>1392</v>
      </c>
      <c r="B48" s="1257" t="s">
        <v>165</v>
      </c>
      <c r="C48" s="1258">
        <v>24250000</v>
      </c>
      <c r="D48" s="1259">
        <v>-4000666.82</v>
      </c>
      <c r="E48" s="1259">
        <v>33750000</v>
      </c>
      <c r="F48" s="1258">
        <v>53999333.18</v>
      </c>
      <c r="G48" s="1260">
        <v>44592628.920000002</v>
      </c>
      <c r="H48" s="1261">
        <v>3925128.26</v>
      </c>
      <c r="I48" s="1262">
        <v>0</v>
      </c>
      <c r="J48" s="1258">
        <v>48517757.18</v>
      </c>
      <c r="K48" s="1258">
        <v>5481576</v>
      </c>
      <c r="L48" s="1263">
        <v>89.848807981150699</v>
      </c>
      <c r="M48" s="1263"/>
      <c r="N48" s="1263"/>
      <c r="O48" s="1263"/>
    </row>
    <row r="49" spans="1:15" x14ac:dyDescent="0.35">
      <c r="A49" s="1257" t="s">
        <v>1393</v>
      </c>
      <c r="B49" s="1257" t="s">
        <v>169</v>
      </c>
      <c r="C49" s="1258">
        <v>25000</v>
      </c>
      <c r="D49" s="1259">
        <v>0</v>
      </c>
      <c r="E49" s="1259">
        <v>25000</v>
      </c>
      <c r="F49" s="1258">
        <v>50000</v>
      </c>
      <c r="G49" s="1260">
        <v>0</v>
      </c>
      <c r="H49" s="1261">
        <v>0</v>
      </c>
      <c r="I49" s="1262">
        <v>0</v>
      </c>
      <c r="J49" s="1258">
        <v>0</v>
      </c>
      <c r="K49" s="1258">
        <v>50000</v>
      </c>
      <c r="L49" s="1263">
        <v>0</v>
      </c>
      <c r="M49" s="1265" t="s">
        <v>1350</v>
      </c>
    </row>
    <row r="50" spans="1:15" ht="26.4" x14ac:dyDescent="0.35">
      <c r="A50" s="1257" t="s">
        <v>1394</v>
      </c>
      <c r="B50" s="1257" t="s">
        <v>661</v>
      </c>
      <c r="C50" s="1258">
        <v>250000</v>
      </c>
      <c r="D50" s="1259">
        <v>-500000</v>
      </c>
      <c r="E50" s="1259">
        <v>250000</v>
      </c>
      <c r="F50" s="1258">
        <v>0</v>
      </c>
      <c r="G50" s="1260">
        <v>0</v>
      </c>
      <c r="H50" s="1261">
        <v>0</v>
      </c>
      <c r="I50" s="1262">
        <v>0</v>
      </c>
      <c r="J50" s="1258">
        <v>0</v>
      </c>
      <c r="K50" s="1258">
        <v>0</v>
      </c>
      <c r="L50" s="1263">
        <v>0</v>
      </c>
      <c r="M50" s="1263"/>
      <c r="N50" s="1263"/>
      <c r="O50" s="1263"/>
    </row>
    <row r="51" spans="1:15" ht="26.4" x14ac:dyDescent="0.35">
      <c r="A51" s="1257" t="s">
        <v>1395</v>
      </c>
      <c r="B51" s="1257" t="s">
        <v>1210</v>
      </c>
      <c r="C51" s="1258">
        <v>8625000</v>
      </c>
      <c r="D51" s="1259">
        <v>7500000</v>
      </c>
      <c r="E51" s="1259">
        <v>26448077</v>
      </c>
      <c r="F51" s="1258">
        <v>42573077</v>
      </c>
      <c r="G51" s="1260">
        <v>31990390.300000001</v>
      </c>
      <c r="H51" s="1261">
        <v>1251002.06</v>
      </c>
      <c r="I51" s="1262">
        <v>0</v>
      </c>
      <c r="J51" s="1258">
        <v>33241392.359999999</v>
      </c>
      <c r="K51" s="1258">
        <v>9331684.6400000006</v>
      </c>
      <c r="L51" s="1263">
        <v>78.080784153797481</v>
      </c>
      <c r="M51" s="1263"/>
      <c r="N51" s="1263"/>
      <c r="O51" s="1263"/>
    </row>
    <row r="52" spans="1:15" ht="26.4" x14ac:dyDescent="0.35">
      <c r="A52" s="1257" t="s">
        <v>1396</v>
      </c>
      <c r="B52" s="1257" t="s">
        <v>1211</v>
      </c>
      <c r="C52" s="1258">
        <v>1300000</v>
      </c>
      <c r="D52" s="1259">
        <v>5500000</v>
      </c>
      <c r="E52" s="1259">
        <v>1300000</v>
      </c>
      <c r="F52" s="1258">
        <v>8100000</v>
      </c>
      <c r="G52" s="1260">
        <v>1154913.1100000001</v>
      </c>
      <c r="H52" s="1261">
        <v>2858418</v>
      </c>
      <c r="I52" s="1262">
        <v>0</v>
      </c>
      <c r="J52" s="1258">
        <v>4013331.11</v>
      </c>
      <c r="K52" s="1258">
        <v>4086668.89</v>
      </c>
      <c r="L52" s="1263">
        <v>49.547297654320985</v>
      </c>
      <c r="M52" s="1263"/>
      <c r="N52" s="1263"/>
      <c r="O52" s="1263"/>
    </row>
    <row r="53" spans="1:15" ht="26.4" x14ac:dyDescent="0.35">
      <c r="A53" s="1257" t="s">
        <v>1397</v>
      </c>
      <c r="B53" s="1257" t="s">
        <v>1212</v>
      </c>
      <c r="C53" s="1258">
        <v>775000</v>
      </c>
      <c r="D53" s="1259">
        <v>-105000</v>
      </c>
      <c r="E53" s="1259">
        <v>775000</v>
      </c>
      <c r="F53" s="1258">
        <v>1445000</v>
      </c>
      <c r="G53" s="1260">
        <v>795399.91</v>
      </c>
      <c r="H53" s="1261">
        <v>0</v>
      </c>
      <c r="I53" s="1262">
        <v>0</v>
      </c>
      <c r="J53" s="1258">
        <v>795399.91</v>
      </c>
      <c r="K53" s="1258">
        <v>649600.09</v>
      </c>
      <c r="L53" s="1263">
        <v>55.044976470588239</v>
      </c>
      <c r="M53" s="1263"/>
      <c r="N53" s="1263"/>
      <c r="O53" s="1263"/>
    </row>
    <row r="54" spans="1:15" ht="26.4" x14ac:dyDescent="0.35">
      <c r="A54" s="1257" t="s">
        <v>1398</v>
      </c>
      <c r="B54" s="1257" t="s">
        <v>1213</v>
      </c>
      <c r="C54" s="1258">
        <v>2900000</v>
      </c>
      <c r="D54" s="1259">
        <v>-181730</v>
      </c>
      <c r="E54" s="1259">
        <v>2900000</v>
      </c>
      <c r="F54" s="1258">
        <v>5618270</v>
      </c>
      <c r="G54" s="1260">
        <v>3825360</v>
      </c>
      <c r="H54" s="1261">
        <v>0</v>
      </c>
      <c r="I54" s="1262">
        <v>0</v>
      </c>
      <c r="J54" s="1258">
        <v>3825360</v>
      </c>
      <c r="K54" s="1258">
        <v>1792910</v>
      </c>
      <c r="L54" s="1263">
        <v>68.087863345834222</v>
      </c>
      <c r="M54" s="1263"/>
      <c r="N54" s="1263"/>
      <c r="O54" s="1263"/>
    </row>
    <row r="55" spans="1:15" ht="26.4" x14ac:dyDescent="0.35">
      <c r="A55" s="1257" t="s">
        <v>1399</v>
      </c>
      <c r="B55" s="1257" t="s">
        <v>1267</v>
      </c>
      <c r="C55" s="1258">
        <v>100000</v>
      </c>
      <c r="D55" s="1259">
        <v>-200000</v>
      </c>
      <c r="E55" s="1259">
        <v>100000</v>
      </c>
      <c r="F55" s="1258">
        <v>0</v>
      </c>
      <c r="G55" s="1260">
        <v>0</v>
      </c>
      <c r="H55" s="1261">
        <v>0</v>
      </c>
      <c r="I55" s="1262">
        <v>0</v>
      </c>
      <c r="J55" s="1258">
        <v>0</v>
      </c>
      <c r="K55" s="1258">
        <v>0</v>
      </c>
      <c r="L55" s="1263">
        <v>0</v>
      </c>
    </row>
    <row r="56" spans="1:15" x14ac:dyDescent="0.35">
      <c r="A56" s="1257" t="s">
        <v>1400</v>
      </c>
      <c r="B56" s="1257" t="s">
        <v>1215</v>
      </c>
      <c r="C56" s="1258">
        <v>707500</v>
      </c>
      <c r="D56" s="1259">
        <v>0</v>
      </c>
      <c r="E56" s="1259">
        <v>817500</v>
      </c>
      <c r="F56" s="1258">
        <v>1525000</v>
      </c>
      <c r="G56" s="1260">
        <v>18741.8</v>
      </c>
      <c r="H56" s="1261">
        <v>1160523</v>
      </c>
      <c r="I56" s="1262">
        <v>0</v>
      </c>
      <c r="J56" s="1258">
        <v>1179264.8</v>
      </c>
      <c r="K56" s="1258">
        <v>345735.2</v>
      </c>
      <c r="L56" s="1263">
        <v>77.328839344262306</v>
      </c>
      <c r="M56" s="1263"/>
      <c r="N56" s="1263"/>
      <c r="O56" s="1263"/>
    </row>
    <row r="57" spans="1:15" x14ac:dyDescent="0.35">
      <c r="A57" s="1257" t="s">
        <v>1401</v>
      </c>
      <c r="B57" s="1257" t="s">
        <v>420</v>
      </c>
      <c r="C57" s="1258">
        <v>250000</v>
      </c>
      <c r="D57" s="1259">
        <v>10000000</v>
      </c>
      <c r="E57" s="1259">
        <v>250000</v>
      </c>
      <c r="F57" s="1258">
        <v>10500000</v>
      </c>
      <c r="G57" s="1260">
        <v>4964064</v>
      </c>
      <c r="H57" s="1261">
        <v>1230008.45</v>
      </c>
      <c r="I57" s="1262">
        <v>0</v>
      </c>
      <c r="J57" s="1258">
        <v>6194072.4500000002</v>
      </c>
      <c r="K57" s="1258">
        <v>4305927.55</v>
      </c>
      <c r="L57" s="1263">
        <v>58.9911661904762</v>
      </c>
      <c r="M57" s="1265" t="s">
        <v>1350</v>
      </c>
    </row>
    <row r="58" spans="1:15" x14ac:dyDescent="0.35">
      <c r="A58" s="1257" t="s">
        <v>1402</v>
      </c>
      <c r="B58" s="1257" t="s">
        <v>188</v>
      </c>
      <c r="C58" s="1258">
        <v>1300000</v>
      </c>
      <c r="D58" s="1259">
        <v>-2000000</v>
      </c>
      <c r="E58" s="1259">
        <v>1700000</v>
      </c>
      <c r="F58" s="1258">
        <v>1000000</v>
      </c>
      <c r="G58" s="1260">
        <v>800000</v>
      </c>
      <c r="H58" s="1261">
        <v>0</v>
      </c>
      <c r="I58" s="1262">
        <v>0</v>
      </c>
      <c r="J58" s="1258">
        <v>800000</v>
      </c>
      <c r="K58" s="1258">
        <v>200000</v>
      </c>
      <c r="L58" s="1263">
        <v>80</v>
      </c>
      <c r="M58" s="1263"/>
      <c r="N58" s="1263"/>
      <c r="O58" s="1263"/>
    </row>
    <row r="59" spans="1:15" x14ac:dyDescent="0.35">
      <c r="A59" s="1257" t="s">
        <v>1403</v>
      </c>
      <c r="B59" s="1257" t="s">
        <v>190</v>
      </c>
      <c r="C59" s="1258">
        <v>90000</v>
      </c>
      <c r="D59" s="1259">
        <v>0</v>
      </c>
      <c r="E59" s="1259">
        <v>110000</v>
      </c>
      <c r="F59" s="1258">
        <v>200000</v>
      </c>
      <c r="G59" s="1260">
        <v>0</v>
      </c>
      <c r="H59" s="1261">
        <v>0</v>
      </c>
      <c r="I59" s="1262">
        <v>0</v>
      </c>
      <c r="J59" s="1258">
        <v>0</v>
      </c>
      <c r="K59" s="1258">
        <v>200000</v>
      </c>
      <c r="L59" s="1263">
        <v>0</v>
      </c>
      <c r="M59" s="1263"/>
      <c r="N59" s="1263"/>
      <c r="O59" s="1263"/>
    </row>
    <row r="60" spans="1:15" x14ac:dyDescent="0.35">
      <c r="A60" s="1257" t="s">
        <v>1404</v>
      </c>
      <c r="B60" s="1257" t="s">
        <v>194</v>
      </c>
      <c r="C60" s="1258">
        <v>0</v>
      </c>
      <c r="D60" s="1259">
        <v>33349400</v>
      </c>
      <c r="E60" s="1259">
        <v>40500000</v>
      </c>
      <c r="F60" s="1258">
        <v>73849400</v>
      </c>
      <c r="G60" s="1260">
        <v>20160868.280000001</v>
      </c>
      <c r="H60" s="1261">
        <v>39661425.500000007</v>
      </c>
      <c r="I60" s="1262">
        <v>0</v>
      </c>
      <c r="J60" s="1258">
        <v>59822293.780000001</v>
      </c>
      <c r="K60" s="1258">
        <v>14027106.220000001</v>
      </c>
      <c r="L60" s="1263">
        <v>81.005795280665794</v>
      </c>
      <c r="M60" s="1263"/>
      <c r="N60" s="1263"/>
      <c r="O60" s="1263"/>
    </row>
    <row r="61" spans="1:15" x14ac:dyDescent="0.35">
      <c r="A61" s="1257" t="s">
        <v>1405</v>
      </c>
      <c r="B61" s="1257" t="s">
        <v>196</v>
      </c>
      <c r="C61" s="1258">
        <v>0</v>
      </c>
      <c r="D61" s="1259">
        <v>-3088467.5</v>
      </c>
      <c r="E61" s="1259">
        <v>21211600</v>
      </c>
      <c r="F61" s="1258">
        <v>18123132.5</v>
      </c>
      <c r="G61" s="1260">
        <v>16069639</v>
      </c>
      <c r="H61" s="1261">
        <v>912249</v>
      </c>
      <c r="I61" s="1262">
        <v>0</v>
      </c>
      <c r="J61" s="1258">
        <v>16981888</v>
      </c>
      <c r="K61" s="1258">
        <v>1141244.5</v>
      </c>
      <c r="L61" s="1263">
        <v>93.702829795014736</v>
      </c>
      <c r="M61" s="1263"/>
      <c r="N61" s="1263"/>
      <c r="O61" s="1263"/>
    </row>
    <row r="62" spans="1:15" x14ac:dyDescent="0.35">
      <c r="A62" s="1257" t="s">
        <v>1406</v>
      </c>
      <c r="B62" s="1257" t="s">
        <v>198</v>
      </c>
      <c r="C62" s="1258">
        <v>0</v>
      </c>
      <c r="D62" s="1259">
        <v>-327000</v>
      </c>
      <c r="E62" s="1259">
        <v>4677800</v>
      </c>
      <c r="F62" s="1258">
        <v>4350800</v>
      </c>
      <c r="G62" s="1260">
        <v>4064611.41</v>
      </c>
      <c r="H62" s="1261">
        <v>0</v>
      </c>
      <c r="I62" s="1262">
        <v>0</v>
      </c>
      <c r="J62" s="1258">
        <v>4064611.41</v>
      </c>
      <c r="K62" s="1258">
        <v>286188.59000000003</v>
      </c>
      <c r="L62" s="1263">
        <v>93.42216167141676</v>
      </c>
      <c r="M62" s="1263"/>
      <c r="N62" s="1263"/>
      <c r="O62" s="1263"/>
    </row>
    <row r="63" spans="1:15" ht="26.4" x14ac:dyDescent="0.35">
      <c r="A63" s="1257" t="s">
        <v>1407</v>
      </c>
      <c r="B63" s="1257" t="s">
        <v>207</v>
      </c>
      <c r="C63" s="1258">
        <v>0</v>
      </c>
      <c r="D63" s="1259">
        <v>373299.25</v>
      </c>
      <c r="E63" s="1259">
        <v>3000000</v>
      </c>
      <c r="F63" s="1258">
        <v>3373299.25</v>
      </c>
      <c r="G63" s="1260">
        <v>196085</v>
      </c>
      <c r="H63" s="1261">
        <v>926468.01</v>
      </c>
      <c r="I63" s="1262">
        <v>0</v>
      </c>
      <c r="J63" s="1258">
        <v>1122553.01</v>
      </c>
      <c r="K63" s="1258">
        <v>2250746.2400000002</v>
      </c>
      <c r="L63" s="1263">
        <v>33.27759937100155</v>
      </c>
      <c r="M63" s="1263"/>
      <c r="N63" s="1263"/>
      <c r="O63" s="1263"/>
    </row>
    <row r="64" spans="1:15" x14ac:dyDescent="0.35">
      <c r="A64" s="1257" t="s">
        <v>1408</v>
      </c>
      <c r="B64" s="1257" t="s">
        <v>211</v>
      </c>
      <c r="C64" s="1258">
        <v>0</v>
      </c>
      <c r="D64" s="1259">
        <v>-231000</v>
      </c>
      <c r="E64" s="1259">
        <v>500000</v>
      </c>
      <c r="F64" s="1258">
        <v>269000</v>
      </c>
      <c r="G64" s="1260">
        <v>69464.37</v>
      </c>
      <c r="H64" s="1261">
        <v>188716.03</v>
      </c>
      <c r="I64" s="1262">
        <v>0</v>
      </c>
      <c r="J64" s="1258">
        <v>258180.4</v>
      </c>
      <c r="K64" s="1258">
        <v>10819.6</v>
      </c>
      <c r="L64" s="1263">
        <v>95.977843866171</v>
      </c>
    </row>
    <row r="65" spans="1:15" x14ac:dyDescent="0.35">
      <c r="A65" s="1257" t="s">
        <v>1409</v>
      </c>
      <c r="B65" s="1257" t="s">
        <v>217</v>
      </c>
      <c r="C65" s="1258">
        <v>0</v>
      </c>
      <c r="D65" s="1259">
        <v>3249900</v>
      </c>
      <c r="E65" s="1259">
        <v>5100</v>
      </c>
      <c r="F65" s="1258">
        <v>3255000</v>
      </c>
      <c r="G65" s="1260">
        <v>1983930.04</v>
      </c>
      <c r="H65" s="1261">
        <v>0</v>
      </c>
      <c r="I65" s="1262">
        <v>0</v>
      </c>
      <c r="J65" s="1258">
        <v>1983930.04</v>
      </c>
      <c r="K65" s="1258">
        <v>1271069.96</v>
      </c>
      <c r="L65" s="1263">
        <v>60.950231643625187</v>
      </c>
      <c r="M65" s="1263"/>
      <c r="N65" s="1263"/>
      <c r="O65" s="1263"/>
    </row>
    <row r="66" spans="1:15" x14ac:dyDescent="0.35">
      <c r="A66" s="1257" t="s">
        <v>1410</v>
      </c>
      <c r="B66" s="1257" t="s">
        <v>219</v>
      </c>
      <c r="C66" s="1258">
        <v>0</v>
      </c>
      <c r="D66" s="1259">
        <v>-2500000</v>
      </c>
      <c r="E66" s="1259">
        <v>15022000</v>
      </c>
      <c r="F66" s="1258">
        <v>12522000</v>
      </c>
      <c r="G66" s="1260">
        <v>9141653.6099999994</v>
      </c>
      <c r="H66" s="1261">
        <v>760078.16999999993</v>
      </c>
      <c r="I66" s="1262">
        <v>0</v>
      </c>
      <c r="J66" s="1258">
        <v>9901731.7799999993</v>
      </c>
      <c r="K66" s="1258">
        <v>2620268.2200000002</v>
      </c>
      <c r="L66" s="1263">
        <v>79.074682798275035</v>
      </c>
      <c r="M66" s="1265" t="s">
        <v>1350</v>
      </c>
    </row>
    <row r="67" spans="1:15" x14ac:dyDescent="0.35">
      <c r="A67" s="1257" t="s">
        <v>1411</v>
      </c>
      <c r="B67" s="1257" t="s">
        <v>222</v>
      </c>
      <c r="C67" s="1258">
        <v>0</v>
      </c>
      <c r="D67" s="1259">
        <v>-1113977.6400000001</v>
      </c>
      <c r="E67" s="1259">
        <v>6267422</v>
      </c>
      <c r="F67" s="1258">
        <v>5153444.3600000003</v>
      </c>
      <c r="G67" s="1260">
        <v>5130769.22</v>
      </c>
      <c r="H67" s="1261">
        <v>0</v>
      </c>
      <c r="I67" s="1262">
        <v>0</v>
      </c>
      <c r="J67" s="1258">
        <v>5130769.22</v>
      </c>
      <c r="K67" s="1258">
        <v>22675.14</v>
      </c>
      <c r="L67" s="1263">
        <v>99.560000294637888</v>
      </c>
      <c r="M67" s="1263"/>
      <c r="N67" s="1263"/>
      <c r="O67" s="1263"/>
    </row>
    <row r="68" spans="1:15" ht="26.4" x14ac:dyDescent="0.35">
      <c r="A68" s="1257" t="s">
        <v>1412</v>
      </c>
      <c r="B68" s="1257" t="s">
        <v>279</v>
      </c>
      <c r="C68" s="1258">
        <v>0</v>
      </c>
      <c r="D68" s="1259">
        <v>-3130881.84</v>
      </c>
      <c r="E68" s="1259">
        <v>30853400</v>
      </c>
      <c r="F68" s="1258">
        <v>27722518.16</v>
      </c>
      <c r="G68" s="1260">
        <v>26910948.16</v>
      </c>
      <c r="H68" s="1261">
        <v>0</v>
      </c>
      <c r="I68" s="1262">
        <v>0</v>
      </c>
      <c r="J68" s="1258">
        <v>26910948.16</v>
      </c>
      <c r="K68" s="1258">
        <v>811570</v>
      </c>
      <c r="L68" s="1263">
        <v>97.072524237098378</v>
      </c>
      <c r="M68" s="1263"/>
      <c r="N68" s="1263"/>
      <c r="O68" s="1263"/>
    </row>
    <row r="69" spans="1:15" x14ac:dyDescent="0.35">
      <c r="A69" s="1257" t="s">
        <v>1413</v>
      </c>
      <c r="B69" s="1257" t="s">
        <v>225</v>
      </c>
      <c r="C69" s="1258">
        <v>0</v>
      </c>
      <c r="D69" s="1259">
        <v>-317630</v>
      </c>
      <c r="E69" s="1259">
        <v>2541030</v>
      </c>
      <c r="F69" s="1258">
        <v>2223400</v>
      </c>
      <c r="G69" s="1260">
        <v>2005026</v>
      </c>
      <c r="H69" s="1261">
        <v>110898</v>
      </c>
      <c r="I69" s="1262">
        <v>0</v>
      </c>
      <c r="J69" s="1258">
        <v>2115924</v>
      </c>
      <c r="K69" s="1258">
        <v>107476</v>
      </c>
      <c r="L69" s="1263">
        <v>95.166141944769265</v>
      </c>
      <c r="M69" s="1263"/>
      <c r="N69" s="1263"/>
      <c r="O69" s="1263"/>
    </row>
    <row r="70" spans="1:15" x14ac:dyDescent="0.35">
      <c r="A70" s="1257" t="s">
        <v>1414</v>
      </c>
      <c r="B70" s="1257" t="s">
        <v>1222</v>
      </c>
      <c r="C70" s="1258">
        <v>0</v>
      </c>
      <c r="D70" s="1259">
        <v>33127067</v>
      </c>
      <c r="E70" s="1259">
        <v>97588705</v>
      </c>
      <c r="F70" s="1258">
        <v>130715772</v>
      </c>
      <c r="G70" s="1260">
        <v>127046145.59</v>
      </c>
      <c r="H70" s="1261">
        <v>1896272.57</v>
      </c>
      <c r="I70" s="1262">
        <v>0</v>
      </c>
      <c r="J70" s="1258">
        <v>128942418.16</v>
      </c>
      <c r="K70" s="1258">
        <v>1773353.84</v>
      </c>
      <c r="L70" s="1263">
        <v>98.64335128587237</v>
      </c>
      <c r="M70" s="1263"/>
      <c r="N70" s="1263"/>
      <c r="O70" s="1263"/>
    </row>
    <row r="71" spans="1:15" x14ac:dyDescent="0.35">
      <c r="A71" s="1257" t="s">
        <v>1415</v>
      </c>
      <c r="B71" s="1257" t="s">
        <v>229</v>
      </c>
      <c r="C71" s="1258">
        <v>0</v>
      </c>
      <c r="D71" s="1259">
        <v>3860000</v>
      </c>
      <c r="E71" s="1259">
        <v>1709200</v>
      </c>
      <c r="F71" s="1258">
        <v>5569200</v>
      </c>
      <c r="G71" s="1260">
        <v>4125664.21</v>
      </c>
      <c r="H71" s="1261">
        <v>185940.48000000001</v>
      </c>
      <c r="I71" s="1262">
        <v>0</v>
      </c>
      <c r="J71" s="1258">
        <v>4311604.6900000004</v>
      </c>
      <c r="K71" s="1258">
        <v>1257595.31</v>
      </c>
      <c r="L71" s="1263">
        <v>77.418743984773414</v>
      </c>
      <c r="M71" s="1263"/>
      <c r="N71" s="1263"/>
      <c r="O71" s="1263"/>
    </row>
    <row r="72" spans="1:15" ht="26.4" x14ac:dyDescent="0.35">
      <c r="A72" s="1257" t="s">
        <v>1416</v>
      </c>
      <c r="B72" s="1257" t="s">
        <v>231</v>
      </c>
      <c r="C72" s="1258">
        <v>0</v>
      </c>
      <c r="D72" s="1259">
        <v>-500000</v>
      </c>
      <c r="E72" s="1259">
        <v>600000</v>
      </c>
      <c r="F72" s="1258">
        <v>100000</v>
      </c>
      <c r="G72" s="1260">
        <v>36838</v>
      </c>
      <c r="H72" s="1261">
        <v>39550</v>
      </c>
      <c r="I72" s="1262">
        <v>0</v>
      </c>
      <c r="J72" s="1258">
        <v>76388</v>
      </c>
      <c r="K72" s="1258">
        <v>23612</v>
      </c>
      <c r="L72" s="1263">
        <v>76.388000000000005</v>
      </c>
      <c r="M72" s="1263"/>
      <c r="N72" s="1263"/>
      <c r="O72" s="1263"/>
    </row>
    <row r="73" spans="1:15" ht="26.4" x14ac:dyDescent="0.35">
      <c r="A73" s="1257" t="s">
        <v>1417</v>
      </c>
      <c r="B73" s="1257" t="s">
        <v>1223</v>
      </c>
      <c r="C73" s="1258">
        <v>0</v>
      </c>
      <c r="D73" s="1259">
        <v>-2500</v>
      </c>
      <c r="E73" s="1259">
        <v>416000</v>
      </c>
      <c r="F73" s="1258">
        <v>413500</v>
      </c>
      <c r="G73" s="1260">
        <v>402845</v>
      </c>
      <c r="H73" s="1261">
        <v>0</v>
      </c>
      <c r="I73" s="1262">
        <v>0</v>
      </c>
      <c r="J73" s="1258">
        <v>402845</v>
      </c>
      <c r="K73" s="1258">
        <v>10655</v>
      </c>
      <c r="L73" s="1263">
        <v>97.423216444981861</v>
      </c>
    </row>
    <row r="74" spans="1:15" x14ac:dyDescent="0.35">
      <c r="A74" s="1257" t="s">
        <v>1418</v>
      </c>
      <c r="B74" s="1257" t="s">
        <v>1030</v>
      </c>
      <c r="C74" s="1258">
        <v>0</v>
      </c>
      <c r="D74" s="1259">
        <v>0</v>
      </c>
      <c r="E74" s="1259">
        <v>5118612373</v>
      </c>
      <c r="F74" s="1258">
        <v>5118612373</v>
      </c>
      <c r="G74" s="1260">
        <v>0</v>
      </c>
      <c r="H74" s="1261">
        <v>0</v>
      </c>
      <c r="I74" s="1262">
        <v>0</v>
      </c>
      <c r="J74" s="1258">
        <v>0</v>
      </c>
      <c r="K74" s="1258">
        <v>5118612373</v>
      </c>
      <c r="L74" s="1263">
        <v>0</v>
      </c>
      <c r="M74" s="1263"/>
      <c r="N74" s="1263"/>
      <c r="O74" s="1263"/>
    </row>
    <row r="75" spans="1:15" x14ac:dyDescent="0.35">
      <c r="A75" s="1257" t="s">
        <v>1419</v>
      </c>
      <c r="B75" s="1257" t="s">
        <v>239</v>
      </c>
      <c r="C75" s="1258">
        <v>2456250</v>
      </c>
      <c r="D75" s="1259">
        <v>15012360</v>
      </c>
      <c r="E75" s="1259">
        <v>1060505750</v>
      </c>
      <c r="F75" s="1258">
        <v>1077974360</v>
      </c>
      <c r="G75" s="1260">
        <v>1075433257.6600001</v>
      </c>
      <c r="H75" s="1261">
        <v>1579579.57</v>
      </c>
      <c r="I75" s="1262">
        <v>0</v>
      </c>
      <c r="J75" s="1258">
        <v>1077012837.23</v>
      </c>
      <c r="K75" s="1258">
        <v>961522.77</v>
      </c>
      <c r="L75" s="1263">
        <v>99.910802816311886</v>
      </c>
      <c r="M75" s="1265" t="s">
        <v>1350</v>
      </c>
    </row>
    <row r="76" spans="1:15" x14ac:dyDescent="0.35">
      <c r="A76" s="1257" t="s">
        <v>1420</v>
      </c>
      <c r="B76" s="1257" t="s">
        <v>241</v>
      </c>
      <c r="C76" s="1258">
        <v>1000000</v>
      </c>
      <c r="D76" s="1259">
        <v>0</v>
      </c>
      <c r="E76" s="1259">
        <v>0</v>
      </c>
      <c r="F76" s="1258">
        <v>1000000</v>
      </c>
      <c r="G76" s="1260">
        <v>0</v>
      </c>
      <c r="H76" s="1261">
        <v>0</v>
      </c>
      <c r="I76" s="1262">
        <v>0</v>
      </c>
      <c r="J76" s="1258">
        <v>0</v>
      </c>
      <c r="K76" s="1258">
        <v>1000000</v>
      </c>
      <c r="L76" s="1263">
        <v>0</v>
      </c>
      <c r="M76" s="1263"/>
      <c r="N76" s="1263"/>
      <c r="O76" s="1263"/>
    </row>
    <row r="77" spans="1:15" x14ac:dyDescent="0.35">
      <c r="A77" s="1257" t="s">
        <v>1421</v>
      </c>
      <c r="B77" s="1257" t="s">
        <v>1336</v>
      </c>
      <c r="C77" s="1258">
        <v>152307000</v>
      </c>
      <c r="D77" s="1259">
        <v>22737399.5</v>
      </c>
      <c r="E77" s="1259">
        <v>58395000</v>
      </c>
      <c r="F77" s="1258">
        <v>233439399.5</v>
      </c>
      <c r="G77" s="1260">
        <v>215653892.71000001</v>
      </c>
      <c r="H77" s="1261">
        <v>0</v>
      </c>
      <c r="I77" s="1262">
        <v>0</v>
      </c>
      <c r="J77" s="1258">
        <v>215653892.71000001</v>
      </c>
      <c r="K77" s="1258">
        <v>17785506.789999999</v>
      </c>
      <c r="L77" s="1263">
        <v>92.381103263590262</v>
      </c>
      <c r="M77" s="1263"/>
      <c r="N77" s="1263"/>
      <c r="O77" s="1263"/>
    </row>
    <row r="78" spans="1:15" x14ac:dyDescent="0.35">
      <c r="A78" s="1257" t="s">
        <v>1422</v>
      </c>
      <c r="B78" s="1257" t="s">
        <v>1423</v>
      </c>
      <c r="C78" s="1258">
        <v>300000</v>
      </c>
      <c r="D78" s="1259">
        <v>-300000</v>
      </c>
      <c r="E78" s="1259">
        <v>0</v>
      </c>
      <c r="F78" s="1258">
        <v>0</v>
      </c>
      <c r="G78" s="1260">
        <v>0</v>
      </c>
      <c r="H78" s="1261">
        <v>0</v>
      </c>
      <c r="I78" s="1262">
        <v>0</v>
      </c>
      <c r="J78" s="1258">
        <v>0</v>
      </c>
      <c r="K78" s="1258">
        <v>0</v>
      </c>
      <c r="L78" s="1263">
        <v>0</v>
      </c>
      <c r="M78" s="1263"/>
      <c r="N78" s="1263"/>
      <c r="O78" s="1263"/>
    </row>
    <row r="79" spans="1:15" x14ac:dyDescent="0.35">
      <c r="A79" s="1257" t="s">
        <v>1424</v>
      </c>
      <c r="B79" s="1257" t="s">
        <v>1228</v>
      </c>
      <c r="C79" s="1258">
        <v>138361559</v>
      </c>
      <c r="D79" s="1259">
        <v>-18672360</v>
      </c>
      <c r="E79" s="1259">
        <v>274545795</v>
      </c>
      <c r="F79" s="1258">
        <v>394234994</v>
      </c>
      <c r="G79" s="1260">
        <v>217641381.91</v>
      </c>
      <c r="H79" s="1261">
        <v>81023873.150000006</v>
      </c>
      <c r="I79" s="1262">
        <v>0</v>
      </c>
      <c r="J79" s="1258">
        <v>298665255.06</v>
      </c>
      <c r="K79" s="1258">
        <v>95569738.939999998</v>
      </c>
      <c r="L79" s="1263">
        <v>75.758179665806125</v>
      </c>
      <c r="M79" s="1263"/>
      <c r="N79" s="1263"/>
      <c r="O79" s="1263"/>
    </row>
    <row r="80" spans="1:15" ht="26.4" x14ac:dyDescent="0.35">
      <c r="A80" s="1257" t="s">
        <v>1425</v>
      </c>
      <c r="B80" s="1257" t="s">
        <v>413</v>
      </c>
      <c r="C80" s="1258">
        <v>15000000</v>
      </c>
      <c r="D80" s="1259">
        <v>0</v>
      </c>
      <c r="E80" s="1259">
        <v>408292900</v>
      </c>
      <c r="F80" s="1258">
        <v>423292900</v>
      </c>
      <c r="G80" s="1260">
        <v>423292866</v>
      </c>
      <c r="H80" s="1261">
        <v>0</v>
      </c>
      <c r="I80" s="1262">
        <v>0</v>
      </c>
      <c r="J80" s="1258">
        <v>423292866</v>
      </c>
      <c r="K80" s="1258">
        <v>34</v>
      </c>
      <c r="L80" s="1263">
        <v>99.999991967736761</v>
      </c>
    </row>
    <row r="81" spans="1:15" x14ac:dyDescent="0.35">
      <c r="A81" s="1257" t="s">
        <v>1426</v>
      </c>
      <c r="B81" s="1257" t="s">
        <v>814</v>
      </c>
      <c r="C81" s="1258">
        <v>0</v>
      </c>
      <c r="D81" s="1259">
        <v>78000000</v>
      </c>
      <c r="E81" s="1259">
        <v>0</v>
      </c>
      <c r="F81" s="1258">
        <v>78000000</v>
      </c>
      <c r="G81" s="1260">
        <v>44414000</v>
      </c>
      <c r="H81" s="1261">
        <v>0</v>
      </c>
      <c r="I81" s="1262">
        <v>0</v>
      </c>
      <c r="J81" s="1258">
        <v>44414000</v>
      </c>
      <c r="K81" s="1258">
        <v>33586000</v>
      </c>
      <c r="L81" s="1263">
        <v>56.941025641025647</v>
      </c>
      <c r="M81" s="1263"/>
      <c r="N81" s="1263"/>
      <c r="O81" s="1263"/>
    </row>
    <row r="82" spans="1:15" x14ac:dyDescent="0.35">
      <c r="A82" s="1257" t="s">
        <v>1427</v>
      </c>
      <c r="B82" s="1257" t="s">
        <v>36</v>
      </c>
      <c r="C82" s="1258">
        <v>16000000</v>
      </c>
      <c r="D82" s="1259">
        <v>33702933</v>
      </c>
      <c r="E82" s="1259">
        <v>139390095</v>
      </c>
      <c r="F82" s="1258">
        <v>189093028</v>
      </c>
      <c r="G82" s="1260">
        <v>73647310.200000003</v>
      </c>
      <c r="H82" s="1261">
        <v>100590809.71000002</v>
      </c>
      <c r="I82" s="1262">
        <v>0</v>
      </c>
      <c r="J82" s="1258">
        <v>174238119.91</v>
      </c>
      <c r="K82" s="1258">
        <v>14854908.09</v>
      </c>
      <c r="L82" s="1263">
        <v>92.14412702196509</v>
      </c>
      <c r="M82" s="1265" t="s">
        <v>1350</v>
      </c>
    </row>
    <row r="83" spans="1:15" x14ac:dyDescent="0.35">
      <c r="A83" s="1257" t="s">
        <v>1428</v>
      </c>
      <c r="B83" s="1257" t="s">
        <v>381</v>
      </c>
      <c r="C83" s="1258">
        <v>3000000</v>
      </c>
      <c r="D83" s="1259">
        <v>0</v>
      </c>
      <c r="E83" s="1259">
        <v>0</v>
      </c>
      <c r="F83" s="1258">
        <v>3000000</v>
      </c>
      <c r="G83" s="1260">
        <v>681964.63</v>
      </c>
      <c r="H83" s="1261">
        <v>0</v>
      </c>
      <c r="I83" s="1262">
        <v>0</v>
      </c>
      <c r="J83" s="1258">
        <v>681964.63</v>
      </c>
      <c r="K83" s="1258">
        <v>2318035.37</v>
      </c>
      <c r="L83" s="1263">
        <v>22.732154333333334</v>
      </c>
      <c r="M83" s="1263"/>
      <c r="N83" s="1263"/>
      <c r="O83" s="1263"/>
    </row>
    <row r="84" spans="1:15" ht="26.4" x14ac:dyDescent="0.35">
      <c r="A84" s="1257" t="s">
        <v>1429</v>
      </c>
      <c r="B84" s="1257" t="s">
        <v>1234</v>
      </c>
      <c r="C84" s="1258">
        <v>0</v>
      </c>
      <c r="D84" s="1259">
        <v>0</v>
      </c>
      <c r="E84" s="1259">
        <v>1000000</v>
      </c>
      <c r="F84" s="1258">
        <v>1000000</v>
      </c>
      <c r="G84" s="1260">
        <v>0</v>
      </c>
      <c r="H84" s="1261">
        <v>838596.46</v>
      </c>
      <c r="I84" s="1262">
        <v>0</v>
      </c>
      <c r="J84" s="1258">
        <v>838596.46</v>
      </c>
      <c r="K84" s="1258">
        <v>161403.54</v>
      </c>
      <c r="L84" s="1263">
        <v>83.859645999999998</v>
      </c>
    </row>
    <row r="85" spans="1:15" x14ac:dyDescent="0.35">
      <c r="A85" s="1266" t="s">
        <v>1430</v>
      </c>
      <c r="B85" s="1257" t="s">
        <v>1430</v>
      </c>
      <c r="C85" s="1258">
        <v>6071737579</v>
      </c>
      <c r="D85" s="1259">
        <v>2.9802322387695313E-8</v>
      </c>
      <c r="E85" s="1259">
        <v>16839375537</v>
      </c>
      <c r="F85" s="1258">
        <v>22911113116</v>
      </c>
      <c r="G85" s="1260">
        <v>14780002830.98</v>
      </c>
      <c r="H85" s="1267">
        <v>1188220683.7499993</v>
      </c>
      <c r="I85" s="1268">
        <v>0</v>
      </c>
      <c r="J85" s="1258">
        <v>15968223514.73</v>
      </c>
      <c r="K85" s="1258">
        <v>6942889601.2700005</v>
      </c>
      <c r="L85" s="1263">
        <v>69.696410793671021</v>
      </c>
      <c r="M85" s="1263"/>
      <c r="N85" s="1263"/>
      <c r="O85" s="1263"/>
    </row>
    <row r="86" spans="1:15" x14ac:dyDescent="0.35">
      <c r="A86" s="1269"/>
      <c r="B86" s="1269"/>
      <c r="C86" s="1269"/>
      <c r="D86" s="1269"/>
      <c r="E86" s="1269"/>
      <c r="F86" s="1269"/>
      <c r="G86" s="1269"/>
      <c r="H86" s="1269"/>
      <c r="I86" s="1270"/>
      <c r="J86" s="1269"/>
      <c r="K86" s="1269"/>
      <c r="L86" s="1269"/>
    </row>
    <row r="87" spans="1:15" x14ac:dyDescent="0.35">
      <c r="M87" s="1263"/>
      <c r="N87" s="1263"/>
      <c r="O87" s="1263"/>
    </row>
    <row r="88" spans="1:15" x14ac:dyDescent="0.35">
      <c r="A88" s="1269"/>
      <c r="B88" s="1269"/>
      <c r="C88" s="1269"/>
      <c r="D88" s="1269"/>
      <c r="E88" s="1269"/>
      <c r="F88" s="1269"/>
      <c r="G88" s="1269"/>
      <c r="H88" s="1269"/>
      <c r="I88" s="1270"/>
      <c r="J88" s="1269"/>
      <c r="K88" s="1269"/>
      <c r="L88" s="1269"/>
      <c r="M88" s="1265" t="s">
        <v>1350</v>
      </c>
    </row>
    <row r="89" spans="1:15" x14ac:dyDescent="0.35">
      <c r="M89" s="1263"/>
      <c r="N89" s="1263"/>
      <c r="O89" s="1263"/>
    </row>
    <row r="90" spans="1:15" x14ac:dyDescent="0.35">
      <c r="A90" s="1269"/>
      <c r="B90" s="1269"/>
      <c r="C90" s="1269"/>
      <c r="D90" s="1269"/>
      <c r="E90" s="1269"/>
      <c r="F90" s="1269"/>
      <c r="G90" s="1269"/>
      <c r="H90" s="1269"/>
      <c r="I90" s="1270"/>
      <c r="J90" s="1269"/>
      <c r="K90" s="1269"/>
      <c r="L90" s="1269"/>
      <c r="M90" s="1263"/>
      <c r="N90" s="1263"/>
      <c r="O90" s="1263"/>
    </row>
    <row r="92" spans="1:15" x14ac:dyDescent="0.35">
      <c r="A92" s="1269"/>
      <c r="B92" s="1269"/>
      <c r="C92" s="1269"/>
      <c r="D92" s="1269"/>
      <c r="E92" s="1269"/>
      <c r="F92" s="1269"/>
      <c r="G92" s="1269"/>
      <c r="H92" s="1269"/>
      <c r="I92" s="1270"/>
      <c r="J92" s="1269"/>
      <c r="K92" s="1269"/>
      <c r="L92" s="1269"/>
      <c r="M92" s="1263"/>
      <c r="N92" s="1263"/>
      <c r="O92" s="1263"/>
    </row>
    <row r="93" spans="1:15" x14ac:dyDescent="0.35">
      <c r="M93" s="1265" t="s">
        <v>1350</v>
      </c>
    </row>
    <row r="94" spans="1:15" x14ac:dyDescent="0.35">
      <c r="A94" s="1269"/>
      <c r="B94" s="1269"/>
      <c r="C94" s="1269"/>
      <c r="D94" s="1269"/>
      <c r="E94" s="1269"/>
      <c r="F94" s="1269"/>
      <c r="G94" s="1269"/>
      <c r="H94" s="1269"/>
      <c r="I94" s="1270"/>
      <c r="J94" s="1269"/>
      <c r="K94" s="1269"/>
      <c r="L94" s="1269"/>
      <c r="M94" s="1263"/>
      <c r="N94" s="1263"/>
      <c r="O94" s="1263"/>
    </row>
    <row r="95" spans="1:15" x14ac:dyDescent="0.35">
      <c r="M95" s="1263"/>
      <c r="N95" s="1263"/>
      <c r="O95" s="1263"/>
    </row>
    <row r="96" spans="1:15" x14ac:dyDescent="0.35">
      <c r="A96" s="1269"/>
      <c r="B96" s="1269"/>
      <c r="C96" s="1269"/>
      <c r="D96" s="1269"/>
      <c r="E96" s="1269"/>
      <c r="F96" s="1269"/>
      <c r="G96" s="1269"/>
      <c r="H96" s="1269"/>
      <c r="I96" s="1270"/>
      <c r="J96" s="1269"/>
      <c r="K96" s="1269"/>
      <c r="L96" s="1269"/>
    </row>
    <row r="97" spans="1:15" x14ac:dyDescent="0.35">
      <c r="M97" s="1263"/>
      <c r="N97" s="1263"/>
      <c r="O97" s="1263"/>
    </row>
    <row r="98" spans="1:15" x14ac:dyDescent="0.35">
      <c r="A98" s="1264"/>
      <c r="B98" s="1264"/>
      <c r="C98" s="1264"/>
      <c r="D98" s="1264"/>
      <c r="E98" s="1264"/>
      <c r="F98" s="1264"/>
      <c r="G98" s="1264"/>
      <c r="H98" s="1264"/>
      <c r="I98" s="1273"/>
      <c r="J98" s="1264"/>
      <c r="K98" s="1264"/>
      <c r="L98" s="1264"/>
      <c r="M98" s="1265" t="s">
        <v>1350</v>
      </c>
    </row>
    <row r="99" spans="1:15" x14ac:dyDescent="0.35">
      <c r="A99" s="1269"/>
      <c r="B99" s="1269"/>
      <c r="C99" s="1269"/>
      <c r="D99" s="1269"/>
      <c r="E99" s="1269"/>
      <c r="F99" s="1269"/>
      <c r="G99" s="1269"/>
      <c r="H99" s="1269"/>
      <c r="I99" s="1270"/>
      <c r="J99" s="1269"/>
      <c r="K99" s="1269"/>
      <c r="L99" s="1269"/>
      <c r="M99" s="1263"/>
      <c r="N99" s="1263"/>
      <c r="O99" s="1263"/>
    </row>
    <row r="100" spans="1:15" x14ac:dyDescent="0.35">
      <c r="M100" s="1263"/>
      <c r="N100" s="1263"/>
      <c r="O100" s="1263"/>
    </row>
    <row r="101" spans="1:15" x14ac:dyDescent="0.35">
      <c r="A101" s="1269"/>
      <c r="B101" s="1269"/>
      <c r="C101" s="1269"/>
      <c r="D101" s="1269"/>
      <c r="E101" s="1269"/>
      <c r="F101" s="1269"/>
      <c r="G101" s="1269"/>
      <c r="H101" s="1269"/>
      <c r="I101" s="1270"/>
      <c r="J101" s="1269"/>
      <c r="K101" s="1269"/>
      <c r="L101" s="1269"/>
      <c r="M101" s="1263"/>
      <c r="N101" s="1263"/>
      <c r="O101" s="1263"/>
    </row>
    <row r="102" spans="1:15" x14ac:dyDescent="0.35">
      <c r="M102" s="1263"/>
      <c r="N102" s="1263"/>
      <c r="O102" s="1263"/>
    </row>
    <row r="103" spans="1:15" x14ac:dyDescent="0.35">
      <c r="A103" s="1269"/>
      <c r="B103" s="1269"/>
      <c r="C103" s="1269"/>
      <c r="D103" s="1269"/>
      <c r="E103" s="1269"/>
      <c r="F103" s="1269"/>
      <c r="G103" s="1269"/>
      <c r="H103" s="1269"/>
      <c r="I103" s="1270"/>
      <c r="J103" s="1269"/>
      <c r="K103" s="1269"/>
      <c r="L103" s="1269"/>
      <c r="M103" s="1263"/>
      <c r="N103" s="1263"/>
      <c r="O103" s="1263"/>
    </row>
    <row r="104" spans="1:15" x14ac:dyDescent="0.35">
      <c r="M104" s="1263"/>
      <c r="N104" s="1263"/>
      <c r="O104" s="1263"/>
    </row>
    <row r="105" spans="1:15" x14ac:dyDescent="0.35">
      <c r="A105" s="1269"/>
      <c r="B105" s="1269"/>
      <c r="C105" s="1269"/>
      <c r="D105" s="1269"/>
      <c r="E105" s="1269"/>
      <c r="F105" s="1269"/>
      <c r="G105" s="1269"/>
      <c r="H105" s="1269"/>
      <c r="I105" s="1270"/>
      <c r="J105" s="1269"/>
      <c r="K105" s="1269"/>
      <c r="L105" s="1269"/>
      <c r="M105" s="1263"/>
      <c r="N105" s="1263"/>
      <c r="O105" s="1263"/>
    </row>
    <row r="107" spans="1:15" x14ac:dyDescent="0.35">
      <c r="A107" s="1269"/>
      <c r="B107" s="1269"/>
      <c r="C107" s="1269"/>
      <c r="D107" s="1269"/>
      <c r="E107" s="1269"/>
      <c r="F107" s="1269"/>
      <c r="G107" s="1269"/>
      <c r="H107" s="1269"/>
      <c r="I107" s="1270"/>
      <c r="J107" s="1269"/>
      <c r="K107" s="1269"/>
      <c r="L107" s="1269"/>
      <c r="M107" s="1263"/>
      <c r="N107" s="1263"/>
      <c r="O107" s="1263"/>
    </row>
    <row r="108" spans="1:15" x14ac:dyDescent="0.35">
      <c r="M108" s="1264"/>
      <c r="N108" s="1264"/>
    </row>
    <row r="109" spans="1:15" x14ac:dyDescent="0.35">
      <c r="A109" s="1269"/>
      <c r="B109" s="1269"/>
      <c r="C109" s="1269"/>
      <c r="D109" s="1269"/>
      <c r="E109" s="1269"/>
      <c r="F109" s="1269"/>
      <c r="G109" s="1269"/>
      <c r="H109" s="1269"/>
      <c r="I109" s="1270"/>
      <c r="J109" s="1269"/>
      <c r="K109" s="1269"/>
      <c r="L109" s="1269"/>
      <c r="M109" s="1265" t="s">
        <v>1350</v>
      </c>
    </row>
    <row r="110" spans="1:15" x14ac:dyDescent="0.35">
      <c r="M110" s="1263"/>
      <c r="N110" s="1263"/>
      <c r="O110" s="1263"/>
    </row>
    <row r="111" spans="1:15" x14ac:dyDescent="0.35">
      <c r="A111" s="1269"/>
      <c r="B111" s="1269"/>
      <c r="C111" s="1269"/>
      <c r="D111" s="1269"/>
      <c r="E111" s="1269"/>
      <c r="F111" s="1269"/>
      <c r="G111" s="1269"/>
      <c r="H111" s="1269"/>
      <c r="I111" s="1270"/>
      <c r="J111" s="1269"/>
      <c r="K111" s="1269"/>
      <c r="L111" s="1269"/>
    </row>
    <row r="112" spans="1:15" x14ac:dyDescent="0.35">
      <c r="M112" s="1263"/>
      <c r="N112" s="1263"/>
      <c r="O112" s="1263"/>
    </row>
    <row r="113" spans="1:15" x14ac:dyDescent="0.35">
      <c r="A113" s="1269"/>
      <c r="B113" s="1269"/>
      <c r="C113" s="1269"/>
      <c r="D113" s="1269"/>
      <c r="E113" s="1269"/>
      <c r="F113" s="1269"/>
      <c r="G113" s="1269"/>
      <c r="H113" s="1269"/>
      <c r="I113" s="1270"/>
      <c r="J113" s="1269"/>
      <c r="K113" s="1269"/>
      <c r="L113" s="1269"/>
      <c r="M113" s="1264"/>
      <c r="N113" s="1264"/>
    </row>
    <row r="114" spans="1:15" x14ac:dyDescent="0.35">
      <c r="M114" s="1265" t="s">
        <v>1350</v>
      </c>
    </row>
    <row r="115" spans="1:15" x14ac:dyDescent="0.35">
      <c r="A115" s="1269"/>
      <c r="B115" s="1269"/>
      <c r="C115" s="1269"/>
      <c r="D115" s="1269"/>
      <c r="E115" s="1269"/>
      <c r="F115" s="1269"/>
      <c r="G115" s="1269"/>
      <c r="H115" s="1269"/>
      <c r="I115" s="1270"/>
      <c r="J115" s="1269"/>
      <c r="K115" s="1269"/>
      <c r="L115" s="1269"/>
      <c r="M115" s="1263"/>
      <c r="N115" s="1263"/>
      <c r="O115" s="1263"/>
    </row>
    <row r="116" spans="1:15" x14ac:dyDescent="0.35">
      <c r="M116" s="1263"/>
      <c r="N116" s="1263"/>
      <c r="O116" s="1263"/>
    </row>
    <row r="117" spans="1:15" x14ac:dyDescent="0.35">
      <c r="A117" s="1269"/>
      <c r="B117" s="1269"/>
      <c r="C117" s="1269"/>
      <c r="D117" s="1269"/>
      <c r="E117" s="1269"/>
      <c r="F117" s="1269"/>
      <c r="G117" s="1269"/>
      <c r="H117" s="1269"/>
      <c r="I117" s="1270"/>
      <c r="J117" s="1269"/>
      <c r="K117" s="1269"/>
      <c r="L117" s="1269"/>
      <c r="M117" s="1263"/>
      <c r="N117" s="1263"/>
      <c r="O117" s="1263"/>
    </row>
    <row r="118" spans="1:15" x14ac:dyDescent="0.35">
      <c r="M118" s="1263"/>
      <c r="N118" s="1263"/>
      <c r="O118" s="1263"/>
    </row>
    <row r="119" spans="1:15" x14ac:dyDescent="0.35">
      <c r="A119" s="1264"/>
      <c r="B119" s="1264"/>
      <c r="C119" s="1264"/>
      <c r="D119" s="1264"/>
      <c r="E119" s="1264"/>
      <c r="F119" s="1264"/>
      <c r="G119" s="1264"/>
      <c r="H119" s="1264"/>
      <c r="I119" s="1273"/>
      <c r="J119" s="1264"/>
      <c r="K119" s="1264"/>
      <c r="L119" s="1264"/>
    </row>
    <row r="120" spans="1:15" x14ac:dyDescent="0.35">
      <c r="A120" s="1269"/>
      <c r="B120" s="1269"/>
      <c r="C120" s="1269"/>
      <c r="D120" s="1269"/>
      <c r="E120" s="1269"/>
      <c r="F120" s="1269"/>
      <c r="G120" s="1269"/>
      <c r="H120" s="1269"/>
      <c r="I120" s="1270"/>
      <c r="J120" s="1269"/>
      <c r="K120" s="1269"/>
      <c r="L120" s="1269"/>
      <c r="M120" s="1263"/>
      <c r="N120" s="1263"/>
      <c r="O120" s="1263"/>
    </row>
    <row r="121" spans="1:15" x14ac:dyDescent="0.35">
      <c r="M121" s="1265" t="s">
        <v>1350</v>
      </c>
    </row>
    <row r="122" spans="1:15" x14ac:dyDescent="0.35">
      <c r="A122" s="1269"/>
      <c r="B122" s="1269"/>
      <c r="C122" s="1269"/>
      <c r="D122" s="1269"/>
      <c r="E122" s="1269"/>
      <c r="F122" s="1269"/>
      <c r="G122" s="1269"/>
      <c r="H122" s="1269"/>
      <c r="I122" s="1270"/>
      <c r="J122" s="1269"/>
      <c r="K122" s="1269"/>
      <c r="L122" s="1269"/>
      <c r="M122" s="1263"/>
      <c r="N122" s="1263"/>
      <c r="O122" s="1263"/>
    </row>
    <row r="124" spans="1:15" x14ac:dyDescent="0.35">
      <c r="A124" s="1269"/>
      <c r="B124" s="1269"/>
      <c r="C124" s="1269"/>
      <c r="D124" s="1269"/>
      <c r="E124" s="1269"/>
      <c r="F124" s="1269"/>
      <c r="G124" s="1269"/>
      <c r="H124" s="1269"/>
      <c r="I124" s="1270"/>
      <c r="J124" s="1269"/>
      <c r="K124" s="1269"/>
      <c r="L124" s="1269"/>
      <c r="M124" s="1263"/>
      <c r="N124" s="1263"/>
      <c r="O124" s="1263"/>
    </row>
    <row r="125" spans="1:15" x14ac:dyDescent="0.35">
      <c r="M125" s="1264"/>
      <c r="N125" s="1264"/>
    </row>
    <row r="126" spans="1:15" x14ac:dyDescent="0.35">
      <c r="A126" s="1269"/>
      <c r="B126" s="1269"/>
      <c r="C126" s="1269"/>
      <c r="D126" s="1269"/>
      <c r="E126" s="1269"/>
      <c r="F126" s="1269"/>
      <c r="G126" s="1269"/>
      <c r="H126" s="1269"/>
      <c r="I126" s="1270"/>
      <c r="J126" s="1269"/>
      <c r="K126" s="1269"/>
      <c r="L126" s="1269"/>
      <c r="M126" s="1265" t="s">
        <v>1350</v>
      </c>
    </row>
    <row r="127" spans="1:15" x14ac:dyDescent="0.35">
      <c r="M127" s="1263"/>
      <c r="N127" s="1263"/>
      <c r="O127" s="1263"/>
    </row>
    <row r="128" spans="1:15" x14ac:dyDescent="0.35">
      <c r="A128" s="1264"/>
      <c r="B128" s="1264"/>
      <c r="C128" s="1264"/>
      <c r="D128" s="1264"/>
      <c r="E128" s="1264"/>
      <c r="F128" s="1264"/>
      <c r="G128" s="1264"/>
      <c r="H128" s="1264"/>
      <c r="I128" s="1273"/>
      <c r="J128" s="1264"/>
      <c r="K128" s="1264"/>
      <c r="L128" s="1264"/>
    </row>
    <row r="129" spans="1:15" x14ac:dyDescent="0.35">
      <c r="A129" s="1269"/>
      <c r="B129" s="1269"/>
      <c r="C129" s="1269"/>
      <c r="D129" s="1269"/>
      <c r="E129" s="1269"/>
      <c r="F129" s="1269"/>
      <c r="G129" s="1269"/>
      <c r="H129" s="1269"/>
      <c r="I129" s="1270"/>
      <c r="J129" s="1269"/>
      <c r="K129" s="1269"/>
      <c r="L129" s="1269"/>
      <c r="M129" s="1263"/>
      <c r="N129" s="1263"/>
      <c r="O129" s="1263"/>
    </row>
    <row r="130" spans="1:15" x14ac:dyDescent="0.35">
      <c r="M130" s="1265" t="s">
        <v>1350</v>
      </c>
    </row>
    <row r="131" spans="1:15" x14ac:dyDescent="0.35">
      <c r="A131" s="1264"/>
      <c r="B131" s="1264"/>
      <c r="C131" s="1264"/>
      <c r="D131" s="1264"/>
      <c r="E131" s="1264"/>
      <c r="F131" s="1264"/>
      <c r="G131" s="1264"/>
      <c r="H131" s="1264"/>
      <c r="I131" s="1273"/>
      <c r="J131" s="1264"/>
      <c r="K131" s="1264"/>
      <c r="L131" s="1264"/>
      <c r="M131" s="1263"/>
      <c r="N131" s="1263"/>
      <c r="O131" s="1263"/>
    </row>
    <row r="132" spans="1:15" x14ac:dyDescent="0.35">
      <c r="A132" s="1269"/>
      <c r="B132" s="1269"/>
      <c r="C132" s="1269"/>
      <c r="D132" s="1269"/>
      <c r="E132" s="1269"/>
      <c r="F132" s="1269"/>
      <c r="G132" s="1269"/>
      <c r="H132" s="1269"/>
      <c r="I132" s="1270"/>
      <c r="J132" s="1269"/>
      <c r="K132" s="1269"/>
      <c r="L132" s="1269"/>
    </row>
    <row r="133" spans="1:15" x14ac:dyDescent="0.35">
      <c r="M133" s="1263"/>
      <c r="N133" s="1263"/>
      <c r="O133" s="1263"/>
    </row>
    <row r="134" spans="1:15" x14ac:dyDescent="0.35">
      <c r="A134" s="1269"/>
      <c r="B134" s="1269"/>
      <c r="C134" s="1269"/>
      <c r="D134" s="1269"/>
      <c r="E134" s="1269"/>
      <c r="F134" s="1269"/>
      <c r="G134" s="1269"/>
      <c r="H134" s="1269"/>
      <c r="I134" s="1270"/>
      <c r="J134" s="1269"/>
      <c r="K134" s="1269"/>
      <c r="L134" s="1269"/>
      <c r="M134" s="1265" t="s">
        <v>1350</v>
      </c>
    </row>
    <row r="135" spans="1:15" x14ac:dyDescent="0.35">
      <c r="M135" s="1263"/>
      <c r="N135" s="1263"/>
      <c r="O135" s="1263"/>
    </row>
    <row r="136" spans="1:15" x14ac:dyDescent="0.35">
      <c r="A136" s="1264"/>
      <c r="B136" s="1264"/>
      <c r="C136" s="1264"/>
      <c r="D136" s="1264"/>
      <c r="E136" s="1264"/>
      <c r="F136" s="1264"/>
      <c r="G136" s="1264"/>
      <c r="H136" s="1264"/>
      <c r="I136" s="1273"/>
      <c r="J136" s="1264"/>
      <c r="K136" s="1264"/>
      <c r="L136" s="1264"/>
    </row>
    <row r="137" spans="1:15" x14ac:dyDescent="0.35">
      <c r="A137" s="1269"/>
      <c r="B137" s="1269"/>
      <c r="C137" s="1269"/>
      <c r="D137" s="1269"/>
      <c r="E137" s="1269"/>
      <c r="F137" s="1269"/>
      <c r="G137" s="1269"/>
      <c r="H137" s="1269"/>
      <c r="I137" s="1270"/>
      <c r="J137" s="1269"/>
      <c r="K137" s="1269"/>
      <c r="L137" s="1269"/>
      <c r="M137" s="1263"/>
      <c r="N137" s="1263"/>
      <c r="O137" s="1263"/>
    </row>
    <row r="138" spans="1:15" x14ac:dyDescent="0.35">
      <c r="M138" s="1265" t="s">
        <v>1350</v>
      </c>
    </row>
    <row r="139" spans="1:15" x14ac:dyDescent="0.35">
      <c r="A139" s="1269"/>
      <c r="B139" s="1269"/>
      <c r="C139" s="1269"/>
      <c r="D139" s="1269"/>
      <c r="E139" s="1269"/>
      <c r="F139" s="1269"/>
      <c r="G139" s="1269"/>
      <c r="H139" s="1269"/>
      <c r="I139" s="1270"/>
      <c r="J139" s="1269"/>
      <c r="K139" s="1269"/>
      <c r="L139" s="1269"/>
      <c r="M139" s="1263"/>
      <c r="N139" s="1263"/>
      <c r="O139" s="1263"/>
    </row>
    <row r="141" spans="1:15" x14ac:dyDescent="0.35">
      <c r="A141" s="1269"/>
      <c r="B141" s="1269"/>
      <c r="C141" s="1269"/>
      <c r="D141" s="1269"/>
      <c r="E141" s="1269"/>
      <c r="F141" s="1269"/>
      <c r="G141" s="1269"/>
      <c r="H141" s="1269"/>
      <c r="I141" s="1270"/>
      <c r="J141" s="1269"/>
      <c r="K141" s="1269"/>
      <c r="L141" s="1269"/>
      <c r="M141" s="1263"/>
      <c r="N141" s="1263"/>
      <c r="O141" s="1263"/>
    </row>
    <row r="142" spans="1:15" x14ac:dyDescent="0.35">
      <c r="M142" s="1265" t="s">
        <v>1350</v>
      </c>
    </row>
    <row r="143" spans="1:15" x14ac:dyDescent="0.35">
      <c r="A143" s="1269"/>
      <c r="B143" s="1269"/>
      <c r="C143" s="1269"/>
      <c r="D143" s="1269"/>
      <c r="E143" s="1269"/>
      <c r="F143" s="1269"/>
      <c r="G143" s="1269"/>
      <c r="H143" s="1269"/>
      <c r="I143" s="1270"/>
      <c r="J143" s="1269"/>
      <c r="K143" s="1269"/>
      <c r="L143" s="1269"/>
      <c r="M143" s="1263"/>
      <c r="N143" s="1263"/>
      <c r="O143" s="1263"/>
    </row>
    <row r="145" spans="1:15" x14ac:dyDescent="0.35">
      <c r="A145" s="1269"/>
      <c r="B145" s="1269"/>
      <c r="C145" s="1269"/>
      <c r="D145" s="1269"/>
      <c r="E145" s="1269"/>
      <c r="F145" s="1269"/>
      <c r="G145" s="1269"/>
      <c r="H145" s="1269"/>
      <c r="I145" s="1270"/>
      <c r="J145" s="1269"/>
      <c r="K145" s="1269"/>
      <c r="L145" s="1269"/>
      <c r="M145" s="1263"/>
      <c r="N145" s="1263"/>
      <c r="O145" s="1263"/>
    </row>
    <row r="147" spans="1:15" x14ac:dyDescent="0.35">
      <c r="M147" s="1263"/>
      <c r="N147" s="1263"/>
      <c r="O147" s="1263"/>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2">
    <tabColor theme="9" tint="-0.499984740745262"/>
  </sheetPr>
  <dimension ref="A1:O279"/>
  <sheetViews>
    <sheetView showGridLines="0" topLeftCell="A36" zoomScaleNormal="100" workbookViewId="0">
      <selection activeCell="E62" sqref="E62"/>
    </sheetView>
  </sheetViews>
  <sheetFormatPr baseColWidth="10" defaultColWidth="11.44140625" defaultRowHeight="16.2" outlineLevelRow="2" x14ac:dyDescent="0.4"/>
  <cols>
    <col min="1" max="1" width="8.6640625" style="362" customWidth="1"/>
    <col min="2" max="2" width="61.33203125" style="362" bestFit="1" customWidth="1"/>
    <col min="3" max="3" width="14.88671875" style="887" bestFit="1" customWidth="1"/>
    <col min="4" max="4" width="13.44140625" style="384" bestFit="1" customWidth="1"/>
    <col min="5" max="5" width="14.88671875" style="384" bestFit="1" customWidth="1"/>
    <col min="6" max="6" width="13.44140625" style="384" bestFit="1" customWidth="1"/>
    <col min="7" max="7" width="17.6640625" style="384" customWidth="1"/>
    <col min="8" max="8" width="7" style="362" hidden="1" customWidth="1"/>
    <col min="9" max="9" width="11.44140625" style="362"/>
    <col min="10" max="10" width="13.88671875" style="362" hidden="1" customWidth="1"/>
    <col min="11" max="11" width="12.5546875" style="362" hidden="1" customWidth="1"/>
    <col min="12" max="12" width="12.109375" style="362" hidden="1" customWidth="1"/>
    <col min="13" max="14" width="0" style="362" hidden="1" customWidth="1"/>
    <col min="15" max="15" width="14.33203125" style="362" bestFit="1" customWidth="1"/>
    <col min="16" max="16384" width="11.44140625" style="362"/>
  </cols>
  <sheetData>
    <row r="1" spans="1:14" ht="8.25" customHeight="1" x14ac:dyDescent="0.4">
      <c r="A1" s="434"/>
      <c r="B1" s="750"/>
      <c r="C1" s="751"/>
      <c r="D1" s="752"/>
      <c r="E1" s="753"/>
      <c r="F1" s="753"/>
      <c r="G1" s="753"/>
    </row>
    <row r="2" spans="1:14" x14ac:dyDescent="0.4">
      <c r="A2" s="1472" t="s">
        <v>0</v>
      </c>
      <c r="B2" s="1472"/>
      <c r="C2" s="1472"/>
      <c r="D2" s="1472"/>
      <c r="E2" s="1472"/>
      <c r="F2" s="1472"/>
      <c r="G2" s="1472"/>
    </row>
    <row r="3" spans="1:14" x14ac:dyDescent="0.4">
      <c r="A3" s="1472" t="s">
        <v>304</v>
      </c>
      <c r="B3" s="1472"/>
      <c r="C3" s="1472"/>
      <c r="D3" s="1472"/>
      <c r="E3" s="1472"/>
      <c r="F3" s="1472"/>
      <c r="G3" s="1472"/>
    </row>
    <row r="4" spans="1:14" x14ac:dyDescent="0.4">
      <c r="A4" s="1472" t="s">
        <v>1278</v>
      </c>
      <c r="B4" s="1472"/>
      <c r="C4" s="1472"/>
      <c r="D4" s="1472"/>
      <c r="E4" s="1472"/>
      <c r="F4" s="1472"/>
      <c r="G4" s="1472"/>
    </row>
    <row r="5" spans="1:14" ht="16.8" thickBot="1" x14ac:dyDescent="0.45">
      <c r="A5" s="1474" t="s">
        <v>305</v>
      </c>
      <c r="B5" s="1474"/>
      <c r="C5" s="1474"/>
      <c r="D5" s="1474"/>
      <c r="E5" s="1474"/>
      <c r="F5" s="1474"/>
      <c r="G5" s="1474"/>
    </row>
    <row r="6" spans="1:14" ht="9.75" customHeight="1" thickTop="1" thickBot="1" x14ac:dyDescent="0.45">
      <c r="A6" s="361"/>
      <c r="B6" s="361"/>
      <c r="C6" s="754" t="s">
        <v>382</v>
      </c>
      <c r="D6" s="754"/>
      <c r="E6" s="754"/>
      <c r="F6" s="754"/>
      <c r="G6" s="754"/>
    </row>
    <row r="7" spans="1:14" ht="20.100000000000001" customHeight="1" thickBot="1" x14ac:dyDescent="0.45">
      <c r="A7" s="755"/>
      <c r="B7" s="756"/>
      <c r="C7" s="757" t="s">
        <v>66</v>
      </c>
      <c r="D7" s="758" t="s">
        <v>67</v>
      </c>
      <c r="E7" s="758" t="s">
        <v>68</v>
      </c>
      <c r="F7" s="758" t="s">
        <v>355</v>
      </c>
      <c r="G7" s="759" t="s">
        <v>31</v>
      </c>
      <c r="J7" s="757" t="s">
        <v>66</v>
      </c>
      <c r="K7" s="758" t="s">
        <v>67</v>
      </c>
      <c r="L7" s="758" t="s">
        <v>68</v>
      </c>
      <c r="M7" s="758" t="s">
        <v>355</v>
      </c>
    </row>
    <row r="8" spans="1:14" ht="7.5" customHeight="1" thickBot="1" x14ac:dyDescent="0.45">
      <c r="A8" s="760"/>
      <c r="B8" s="761"/>
      <c r="C8" s="762"/>
      <c r="D8" s="762"/>
      <c r="E8" s="762"/>
      <c r="F8" s="762"/>
      <c r="G8" s="762"/>
    </row>
    <row r="9" spans="1:14" ht="15.9" customHeight="1" thickBot="1" x14ac:dyDescent="0.45">
      <c r="A9" s="1519" t="s">
        <v>306</v>
      </c>
      <c r="B9" s="1520"/>
      <c r="C9" s="764">
        <f>+C15+C33</f>
        <v>6408011684.6499996</v>
      </c>
      <c r="D9" s="764">
        <f>+D15+D33</f>
        <v>552019300</v>
      </c>
      <c r="E9" s="764">
        <f>+E15+E33</f>
        <v>7480498366.8000002</v>
      </c>
      <c r="F9" s="764">
        <f>+F15+F33</f>
        <v>561509600</v>
      </c>
      <c r="G9" s="765">
        <f>+G11+G15+G24+G28+G33</f>
        <v>15002038951.450001</v>
      </c>
      <c r="H9" s="383"/>
      <c r="I9" s="383"/>
      <c r="J9" s="383">
        <f>+C9-C17-C21-C36</f>
        <v>-4.76837158203125E-7</v>
      </c>
      <c r="K9" s="383">
        <f t="shared" ref="K9:M9" si="0">+D9-D17-D21-D36</f>
        <v>0</v>
      </c>
      <c r="L9" s="383">
        <f t="shared" si="0"/>
        <v>0</v>
      </c>
      <c r="M9" s="383">
        <f t="shared" si="0"/>
        <v>0</v>
      </c>
      <c r="N9" s="384">
        <f>+G9-'EVOLUCION GASTO'!B211</f>
        <v>0</v>
      </c>
    </row>
    <row r="10" spans="1:14" ht="15.9" hidden="1" customHeight="1" x14ac:dyDescent="0.4">
      <c r="A10" s="766"/>
      <c r="B10" s="761"/>
      <c r="C10" s="762"/>
      <c r="D10" s="762"/>
      <c r="E10" s="762"/>
      <c r="F10" s="762"/>
      <c r="G10" s="767"/>
    </row>
    <row r="11" spans="1:14" ht="15.9" hidden="1" customHeight="1" x14ac:dyDescent="0.4">
      <c r="A11" s="768" t="s">
        <v>289</v>
      </c>
      <c r="B11" s="769"/>
      <c r="C11" s="770">
        <f>SUM(C13)</f>
        <v>0</v>
      </c>
      <c r="D11" s="770">
        <f>SUM(D13)</f>
        <v>0</v>
      </c>
      <c r="E11" s="770">
        <f>SUM(E13)</f>
        <v>0</v>
      </c>
      <c r="F11" s="770">
        <f>SUM(F13)</f>
        <v>0</v>
      </c>
      <c r="G11" s="771">
        <f>SUM(G13)</f>
        <v>0</v>
      </c>
    </row>
    <row r="12" spans="1:14" ht="15.9" hidden="1" customHeight="1" x14ac:dyDescent="0.4">
      <c r="A12" s="766"/>
      <c r="B12" s="761"/>
      <c r="C12" s="762"/>
      <c r="D12" s="762"/>
      <c r="E12" s="762"/>
      <c r="F12" s="762"/>
      <c r="G12" s="772"/>
    </row>
    <row r="13" spans="1:14" ht="15.9" hidden="1" customHeight="1" x14ac:dyDescent="0.4">
      <c r="A13" s="1517" t="s">
        <v>356</v>
      </c>
      <c r="B13" s="1518"/>
      <c r="C13" s="773">
        <v>0</v>
      </c>
      <c r="D13" s="773">
        <v>0</v>
      </c>
      <c r="E13" s="773">
        <v>0</v>
      </c>
      <c r="F13" s="773">
        <v>0</v>
      </c>
      <c r="G13" s="774">
        <f>SUM(C13:F13)</f>
        <v>0</v>
      </c>
    </row>
    <row r="14" spans="1:14" ht="9.9" customHeight="1" x14ac:dyDescent="0.4">
      <c r="A14" s="766"/>
      <c r="B14" s="761"/>
      <c r="C14" s="762"/>
      <c r="D14" s="762"/>
      <c r="E14" s="762"/>
      <c r="F14" s="762"/>
      <c r="G14" s="772"/>
    </row>
    <row r="15" spans="1:14" ht="15.9" customHeight="1" x14ac:dyDescent="0.4">
      <c r="A15" s="768" t="s">
        <v>307</v>
      </c>
      <c r="B15" s="769"/>
      <c r="C15" s="770">
        <f>SUM(C17:C22)</f>
        <v>6408011684.6499996</v>
      </c>
      <c r="D15" s="770">
        <f>SUM(D17:D22)</f>
        <v>552019300</v>
      </c>
      <c r="E15" s="770">
        <f>SUM(E17:E22)</f>
        <v>5865253345.8400002</v>
      </c>
      <c r="F15" s="770">
        <f>SUM(F17:F22)</f>
        <v>561509600</v>
      </c>
      <c r="G15" s="771">
        <f>SUM(G17:G22)</f>
        <v>13386793930.49</v>
      </c>
    </row>
    <row r="16" spans="1:14" ht="9.9" customHeight="1" x14ac:dyDescent="0.4">
      <c r="A16" s="775"/>
      <c r="B16" s="468"/>
      <c r="C16" s="773"/>
      <c r="D16" s="773"/>
      <c r="E16" s="773"/>
      <c r="F16" s="773"/>
      <c r="G16" s="776"/>
    </row>
    <row r="17" spans="1:15" ht="15.9" customHeight="1" x14ac:dyDescent="0.4">
      <c r="A17" s="1456" t="s">
        <v>308</v>
      </c>
      <c r="B17" s="468"/>
      <c r="C17" s="440">
        <f>SUMIFS('Distribución OyA Detalle'!$G:$G,'Distribución OyA Detalle'!$I:$I,'Distribución OyA Detalle'!$O$4,'Distribución OyA Detalle'!$A:$A,1)</f>
        <v>2309291526.1599998</v>
      </c>
      <c r="D17" s="440">
        <f>SUMIFS('Distribución OyA Detalle'!$G:$G,'Distribución OyA Detalle'!$I:$I,'Distribución OyA Detalle'!$O$4,'Distribución OyA Detalle'!$A:$A,2)</f>
        <v>443396600</v>
      </c>
      <c r="E17" s="440">
        <f>SUMIFS('Distribución OyA Detalle'!$G:$G,'Distribución OyA Detalle'!$I:$I,'Distribución OyA Detalle'!$O$4,'Distribución OyA Detalle'!$A:$A,3)</f>
        <v>4270401673.8400002</v>
      </c>
      <c r="F17" s="440">
        <f>SUMIFS('Distribución OyA Detalle'!$G:$G,'Distribución OyA Detalle'!$I:$I,'Distribución OyA Detalle'!$O$4,'Distribución OyA Detalle'!$A:$A,4)</f>
        <v>421910200</v>
      </c>
      <c r="G17" s="777">
        <f>+C17+D17+E17+F17</f>
        <v>7445000000</v>
      </c>
      <c r="H17" s="383"/>
      <c r="I17" s="383"/>
      <c r="J17" s="383"/>
      <c r="K17" s="383"/>
      <c r="L17" s="383"/>
    </row>
    <row r="18" spans="1:15" ht="15.9" hidden="1" customHeight="1" x14ac:dyDescent="0.4">
      <c r="A18" s="1456" t="s">
        <v>1070</v>
      </c>
      <c r="B18" s="468"/>
      <c r="C18" s="440"/>
      <c r="D18" s="372"/>
      <c r="E18" s="372"/>
      <c r="F18" s="372"/>
      <c r="G18" s="777"/>
      <c r="H18" s="383"/>
    </row>
    <row r="19" spans="1:15" ht="15.9" hidden="1" customHeight="1" x14ac:dyDescent="0.4">
      <c r="A19" s="1456" t="s">
        <v>1117</v>
      </c>
      <c r="B19" s="468"/>
      <c r="C19" s="1462"/>
      <c r="D19" s="372"/>
      <c r="E19" s="372"/>
      <c r="F19" s="372"/>
      <c r="G19" s="774"/>
      <c r="H19" s="778"/>
    </row>
    <row r="20" spans="1:15" ht="15.9" hidden="1" customHeight="1" outlineLevel="1" x14ac:dyDescent="0.4">
      <c r="A20" s="1456" t="s">
        <v>535</v>
      </c>
      <c r="B20" s="761"/>
      <c r="C20" s="372"/>
      <c r="D20" s="372"/>
      <c r="E20" s="372"/>
      <c r="F20" s="372"/>
      <c r="G20" s="774"/>
    </row>
    <row r="21" spans="1:15" ht="15.9" customHeight="1" collapsed="1" x14ac:dyDescent="0.4">
      <c r="A21" s="1456" t="s">
        <v>310</v>
      </c>
      <c r="B21" s="761"/>
      <c r="C21" s="440">
        <f>SUMIFS('Distribución OyA Detalle'!$G:$G,'Distribución OyA Detalle'!$I:$I,'Distribución OyA Detalle'!$O$5,'Distribución OyA Detalle'!$A:$A,1)</f>
        <v>4098720158.4900002</v>
      </c>
      <c r="D21" s="440">
        <f>SUMIFS('Distribución OyA Detalle'!$G:$G,'Distribución OyA Detalle'!$I:$I,'Distribución OyA Detalle'!$O$5,'Distribución OyA Detalle'!$A:$A,2)</f>
        <v>108622700</v>
      </c>
      <c r="E21" s="440">
        <f>SUMIFS('Distribución OyA Detalle'!$G:$G,'Distribución OyA Detalle'!$I:$I,'Distribución OyA Detalle'!$O$5,'Distribución OyA Detalle'!$A:$A,3)</f>
        <v>1594851672</v>
      </c>
      <c r="F21" s="440">
        <f>SUMIFS('Distribución OyA Detalle'!$G:$G,'Distribución OyA Detalle'!$I:$I,'Distribución OyA Detalle'!$O$5,'Distribución OyA Detalle'!$A:$A,4)</f>
        <v>139599400</v>
      </c>
      <c r="G21" s="777">
        <f>+C21+D21+E21+F21</f>
        <v>5941793930.4899998</v>
      </c>
      <c r="H21" s="779"/>
      <c r="I21" s="779"/>
      <c r="J21" s="779"/>
      <c r="K21" s="779"/>
      <c r="L21" s="383"/>
      <c r="O21" s="1439"/>
    </row>
    <row r="22" spans="1:15" ht="15.9" hidden="1" customHeight="1" x14ac:dyDescent="0.4">
      <c r="A22" s="1456" t="s">
        <v>547</v>
      </c>
      <c r="B22" s="761"/>
      <c r="C22" s="773"/>
      <c r="D22" s="773"/>
      <c r="E22" s="773">
        <v>0</v>
      </c>
      <c r="F22" s="773"/>
      <c r="G22" s="774">
        <f t="shared" ref="G22" si="1">SUM(C22:F22)</f>
        <v>0</v>
      </c>
    </row>
    <row r="23" spans="1:15" ht="15.9" hidden="1" customHeight="1" x14ac:dyDescent="0.4">
      <c r="A23" s="780"/>
      <c r="B23" s="761"/>
      <c r="C23" s="773"/>
      <c r="D23" s="773"/>
      <c r="E23" s="773"/>
      <c r="F23" s="773"/>
      <c r="G23" s="781"/>
    </row>
    <row r="24" spans="1:15" ht="15.9" hidden="1" customHeight="1" outlineLevel="2" x14ac:dyDescent="0.4">
      <c r="A24" s="782" t="s">
        <v>536</v>
      </c>
      <c r="B24" s="783"/>
      <c r="C24" s="784">
        <f>+C26+C29</f>
        <v>0</v>
      </c>
      <c r="D24" s="784">
        <f>+D26+D29</f>
        <v>0</v>
      </c>
      <c r="E24" s="784">
        <f>+E26+E29</f>
        <v>0</v>
      </c>
      <c r="F24" s="784"/>
      <c r="G24" s="785">
        <f>+G26+G29</f>
        <v>0</v>
      </c>
    </row>
    <row r="25" spans="1:15" ht="15.9" hidden="1" customHeight="1" outlineLevel="2" x14ac:dyDescent="0.4">
      <c r="A25" s="775"/>
      <c r="B25" s="468"/>
      <c r="C25" s="786"/>
      <c r="D25" s="786"/>
      <c r="E25" s="786"/>
      <c r="F25" s="786"/>
      <c r="G25" s="787"/>
    </row>
    <row r="26" spans="1:15" ht="15.9" hidden="1" customHeight="1" outlineLevel="2" x14ac:dyDescent="0.4">
      <c r="A26" s="780" t="s">
        <v>537</v>
      </c>
      <c r="B26" s="761"/>
      <c r="C26" s="773"/>
      <c r="D26" s="773">
        <v>0</v>
      </c>
      <c r="E26" s="773">
        <v>0</v>
      </c>
      <c r="F26" s="773"/>
      <c r="G26" s="774">
        <f>SUM(C26:E26)</f>
        <v>0</v>
      </c>
    </row>
    <row r="27" spans="1:15" ht="15.9" hidden="1" customHeight="1" outlineLevel="2" x14ac:dyDescent="0.4">
      <c r="A27" s="780"/>
      <c r="B27" s="761"/>
      <c r="C27" s="773"/>
      <c r="D27" s="773"/>
      <c r="E27" s="773"/>
      <c r="F27" s="773"/>
      <c r="G27" s="787"/>
    </row>
    <row r="28" spans="1:15" ht="15.9" hidden="1" customHeight="1" outlineLevel="1" collapsed="1" x14ac:dyDescent="0.4">
      <c r="A28" s="768" t="s">
        <v>314</v>
      </c>
      <c r="B28" s="769"/>
      <c r="C28" s="770">
        <f>+C30</f>
        <v>0</v>
      </c>
      <c r="D28" s="770">
        <f>+D30</f>
        <v>0</v>
      </c>
      <c r="E28" s="770">
        <f>+E30+E31</f>
        <v>0</v>
      </c>
      <c r="F28" s="770">
        <f>+F30</f>
        <v>0</v>
      </c>
      <c r="G28" s="771">
        <f>+G31+G30</f>
        <v>0</v>
      </c>
    </row>
    <row r="29" spans="1:15" ht="15.9" hidden="1" customHeight="1" outlineLevel="1" x14ac:dyDescent="0.4">
      <c r="A29" s="775"/>
      <c r="B29" s="468"/>
      <c r="C29" s="786"/>
      <c r="D29" s="786"/>
      <c r="E29" s="786"/>
      <c r="F29" s="786"/>
      <c r="G29" s="787"/>
    </row>
    <row r="30" spans="1:15" ht="15.9" hidden="1" customHeight="1" outlineLevel="1" x14ac:dyDescent="0.4">
      <c r="A30" s="780" t="s">
        <v>518</v>
      </c>
      <c r="B30" s="761"/>
      <c r="C30" s="773">
        <v>0</v>
      </c>
      <c r="D30" s="773">
        <v>0</v>
      </c>
      <c r="E30" s="773">
        <v>0</v>
      </c>
      <c r="F30" s="773">
        <v>0</v>
      </c>
      <c r="G30" s="788">
        <f>SUM(C30:F30)</f>
        <v>0</v>
      </c>
    </row>
    <row r="31" spans="1:15" ht="15.9" hidden="1" customHeight="1" outlineLevel="1" x14ac:dyDescent="0.4">
      <c r="A31" s="780" t="s">
        <v>538</v>
      </c>
      <c r="B31" s="761"/>
      <c r="C31" s="773"/>
      <c r="D31" s="773"/>
      <c r="E31" s="773">
        <v>0</v>
      </c>
      <c r="F31" s="773"/>
      <c r="G31" s="788">
        <f>SUM(C31:F31)</f>
        <v>0</v>
      </c>
    </row>
    <row r="32" spans="1:15" ht="9.9" customHeight="1" outlineLevel="1" x14ac:dyDescent="0.4">
      <c r="A32" s="780"/>
      <c r="B32" s="761"/>
      <c r="C32" s="773"/>
      <c r="D32" s="773"/>
      <c r="E32" s="773"/>
      <c r="F32" s="773"/>
      <c r="G32" s="787"/>
    </row>
    <row r="33" spans="1:13" ht="15.9" customHeight="1" x14ac:dyDescent="0.4">
      <c r="A33" s="768" t="s">
        <v>357</v>
      </c>
      <c r="B33" s="769"/>
      <c r="C33" s="770">
        <f>+C35+C36</f>
        <v>0</v>
      </c>
      <c r="D33" s="770">
        <f>+D35+D36</f>
        <v>0</v>
      </c>
      <c r="E33" s="770">
        <f>+E35+E36</f>
        <v>1615245020.96</v>
      </c>
      <c r="F33" s="770">
        <f>+F35+F36</f>
        <v>0</v>
      </c>
      <c r="G33" s="771">
        <f>+G35+G36</f>
        <v>1615245020.96</v>
      </c>
    </row>
    <row r="34" spans="1:13" ht="9.9" customHeight="1" x14ac:dyDescent="0.4">
      <c r="A34" s="780"/>
      <c r="B34" s="761"/>
      <c r="C34" s="773"/>
      <c r="D34" s="773"/>
      <c r="E34" s="773"/>
      <c r="F34" s="773"/>
      <c r="G34" s="787"/>
    </row>
    <row r="35" spans="1:13" ht="15.9" hidden="1" customHeight="1" x14ac:dyDescent="0.4">
      <c r="A35" s="1517" t="s">
        <v>434</v>
      </c>
      <c r="B35" s="1518"/>
      <c r="C35" s="773">
        <v>0</v>
      </c>
      <c r="D35" s="773">
        <v>0</v>
      </c>
      <c r="E35" s="773">
        <v>0</v>
      </c>
      <c r="F35" s="773">
        <v>0</v>
      </c>
      <c r="G35" s="774">
        <f>SUM(C35:F35)</f>
        <v>0</v>
      </c>
      <c r="H35" s="383"/>
    </row>
    <row r="36" spans="1:13" ht="15.9" customHeight="1" x14ac:dyDescent="0.4">
      <c r="A36" s="1517" t="s">
        <v>435</v>
      </c>
      <c r="B36" s="1518"/>
      <c r="C36" s="773"/>
      <c r="D36" s="773"/>
      <c r="E36" s="773">
        <f>+'CLASIFICACION DE INGRESOS 2024'!G44</f>
        <v>1615245020.96</v>
      </c>
      <c r="F36" s="773"/>
      <c r="G36" s="777">
        <f>SUM(C36:F36)</f>
        <v>1615245020.96</v>
      </c>
      <c r="H36" s="383"/>
      <c r="J36" s="779"/>
      <c r="L36" s="383"/>
    </row>
    <row r="37" spans="1:13" ht="9.9" customHeight="1" thickBot="1" x14ac:dyDescent="0.45">
      <c r="A37" s="780"/>
      <c r="B37" s="761"/>
      <c r="C37" s="773"/>
      <c r="D37" s="404"/>
      <c r="E37" s="404"/>
      <c r="F37" s="404"/>
      <c r="G37" s="789"/>
    </row>
    <row r="38" spans="1:13" ht="15.9" customHeight="1" thickBot="1" x14ac:dyDescent="0.45">
      <c r="A38" s="1446" t="s">
        <v>311</v>
      </c>
      <c r="B38" s="1447"/>
      <c r="C38" s="790">
        <f>+C43+C85+C160+C198+C205+C228</f>
        <v>6408011684.6499996</v>
      </c>
      <c r="D38" s="790">
        <f>+D43+D85+D160+D198+D205+D228</f>
        <v>552019300</v>
      </c>
      <c r="E38" s="790">
        <f>+E43+E85+E160+E198+E205+E228</f>
        <v>7480498366.8000002</v>
      </c>
      <c r="F38" s="790">
        <f>+F43+F85+F160+F198+F205+F228</f>
        <v>561509600</v>
      </c>
      <c r="G38" s="791">
        <f>+G43+G85+G160+G205+G228+G252+G198</f>
        <v>15002038951.449999</v>
      </c>
      <c r="H38" s="778"/>
      <c r="I38" s="778"/>
      <c r="J38" s="778"/>
      <c r="K38" s="778"/>
      <c r="L38" s="778"/>
      <c r="M38" s="778"/>
    </row>
    <row r="39" spans="1:13" ht="9.9" customHeight="1" thickBot="1" x14ac:dyDescent="0.45">
      <c r="A39" s="792"/>
      <c r="B39" s="793"/>
      <c r="C39" s="794"/>
      <c r="D39" s="794"/>
      <c r="E39" s="794"/>
      <c r="F39" s="794"/>
      <c r="G39" s="795"/>
    </row>
    <row r="40" spans="1:13" ht="15.9" customHeight="1" thickBot="1" x14ac:dyDescent="0.45">
      <c r="A40" s="796"/>
      <c r="B40" s="797"/>
      <c r="C40" s="798" t="s">
        <v>66</v>
      </c>
      <c r="D40" s="799" t="s">
        <v>67</v>
      </c>
      <c r="E40" s="799" t="s">
        <v>68</v>
      </c>
      <c r="F40" s="799" t="s">
        <v>355</v>
      </c>
      <c r="G40" s="800" t="s">
        <v>31</v>
      </c>
    </row>
    <row r="41" spans="1:13" ht="15.9" customHeight="1" thickBot="1" x14ac:dyDescent="0.45">
      <c r="A41" s="801" t="s">
        <v>69</v>
      </c>
      <c r="B41" s="802" t="s">
        <v>47</v>
      </c>
      <c r="C41" s="1516"/>
      <c r="D41" s="1516"/>
      <c r="E41" s="1516"/>
      <c r="F41" s="1455"/>
      <c r="G41" s="803"/>
    </row>
    <row r="42" spans="1:13" ht="15.9" hidden="1" customHeight="1" thickBot="1" x14ac:dyDescent="0.45">
      <c r="A42" s="804"/>
      <c r="B42" s="805"/>
      <c r="C42" s="806"/>
      <c r="D42" s="807"/>
      <c r="E42" s="807"/>
      <c r="F42" s="807"/>
      <c r="G42" s="808"/>
    </row>
    <row r="43" spans="1:13" ht="15.9" customHeight="1" thickBot="1" x14ac:dyDescent="0.45">
      <c r="A43" s="1440" t="s">
        <v>70</v>
      </c>
      <c r="B43" s="810" t="s">
        <v>53</v>
      </c>
      <c r="C43" s="811">
        <f>C46+C52+C58+C67+C75+C81</f>
        <v>2272238780</v>
      </c>
      <c r="D43" s="811">
        <f>D46+D52+D58+D67+D75+D81</f>
        <v>472770000</v>
      </c>
      <c r="E43" s="811">
        <f>E46+E52+E58+E67+E75+E81</f>
        <v>5194428000</v>
      </c>
      <c r="F43" s="811">
        <f>F46+F52+F58+F67+F75+F81</f>
        <v>388576000</v>
      </c>
      <c r="G43" s="812">
        <f>G46+G52+G58+G67+G75+G81</f>
        <v>8328012780</v>
      </c>
      <c r="H43" s="384">
        <f>+G43/1000000</f>
        <v>8328.0127799999991</v>
      </c>
    </row>
    <row r="44" spans="1:13" ht="15.9" hidden="1" customHeight="1" outlineLevel="1" x14ac:dyDescent="0.4">
      <c r="A44" s="813"/>
      <c r="B44" s="814" t="s">
        <v>390</v>
      </c>
      <c r="C44" s="815">
        <f>C48+C49+C54+C60+C61+C62+C63+C64</f>
        <v>1807557500</v>
      </c>
      <c r="D44" s="815">
        <f>D48+D49+D54+D60+D61+D62+D63+D64</f>
        <v>379373500</v>
      </c>
      <c r="E44" s="815">
        <f>E48+E49+E54+E60+E61+E62+E63+E64</f>
        <v>4168261500</v>
      </c>
      <c r="F44" s="815">
        <f>F48+F49+F54+F60+F61+F62+F63+F64</f>
        <v>311813000</v>
      </c>
      <c r="G44" s="816">
        <f>G48+G49+G54+G60+G61+G62+G63+G64</f>
        <v>6667005500</v>
      </c>
    </row>
    <row r="45" spans="1:13" ht="9.9" customHeight="1" collapsed="1" x14ac:dyDescent="0.4">
      <c r="A45" s="817"/>
      <c r="B45" s="818"/>
      <c r="C45" s="819"/>
      <c r="D45" s="819"/>
      <c r="E45" s="819"/>
      <c r="F45" s="819"/>
      <c r="G45" s="820"/>
    </row>
    <row r="46" spans="1:13" ht="15.9" customHeight="1" x14ac:dyDescent="0.4">
      <c r="A46" s="821" t="s">
        <v>325</v>
      </c>
      <c r="B46" s="822" t="s">
        <v>71</v>
      </c>
      <c r="C46" s="823">
        <f>SUM(C48:C50)</f>
        <v>1060719500</v>
      </c>
      <c r="D46" s="719">
        <f>SUM(D48:D50)</f>
        <v>226221500</v>
      </c>
      <c r="E46" s="719">
        <f>SUM(E48:E50)</f>
        <v>2832979500</v>
      </c>
      <c r="F46" s="719">
        <f>SUM(F48:F50)</f>
        <v>175799500</v>
      </c>
      <c r="G46" s="824">
        <f>SUM(G48:G50)</f>
        <v>4295720000</v>
      </c>
      <c r="H46" s="383"/>
    </row>
    <row r="47" spans="1:13" ht="9.9" customHeight="1" x14ac:dyDescent="0.4">
      <c r="A47" s="825"/>
      <c r="B47" s="818"/>
      <c r="C47" s="819"/>
      <c r="D47" s="819"/>
      <c r="E47" s="819"/>
      <c r="F47" s="819"/>
      <c r="G47" s="820"/>
      <c r="H47" s="383"/>
    </row>
    <row r="48" spans="1:13" ht="15.9" customHeight="1" x14ac:dyDescent="0.4">
      <c r="A48" s="826" t="s">
        <v>72</v>
      </c>
      <c r="B48" s="827" t="s">
        <v>1186</v>
      </c>
      <c r="C48" s="1347">
        <f>SUMIFS('Distribución OyA Detalle'!$G:$G,'Distribución OyA Detalle'!$D:$D,$A48,'Distribución OyA Detalle'!$A:$A,1)</f>
        <v>1055719500</v>
      </c>
      <c r="D48" s="1347">
        <f>SUMIFS('Distribución OyA Detalle'!$G:$G,'Distribución OyA Detalle'!$D:$D,$A48,'Distribución OyA Detalle'!$A:$A,2)</f>
        <v>222821000</v>
      </c>
      <c r="E48" s="1347">
        <f>SUMIFS('Distribución OyA Detalle'!$G:$G,'Distribución OyA Detalle'!$D:$D,$A48,'Distribución OyA Detalle'!$A:$A,3)</f>
        <v>1814225000</v>
      </c>
      <c r="F48" s="1347">
        <f>SUMIFS('Distribución OyA Detalle'!$G:$G,'Distribución OyA Detalle'!$D:$D,$A48,'Distribución OyA Detalle'!$A:$A,4)</f>
        <v>174805500</v>
      </c>
      <c r="G48" s="1463">
        <f>+C48+D48+E48+F48</f>
        <v>3267571000</v>
      </c>
      <c r="H48" s="383"/>
    </row>
    <row r="49" spans="1:8" ht="15.9" customHeight="1" x14ac:dyDescent="0.4">
      <c r="A49" s="826" t="s">
        <v>73</v>
      </c>
      <c r="B49" s="827" t="s">
        <v>442</v>
      </c>
      <c r="C49" s="1347">
        <f>SUMIFS('Distribución OyA Detalle'!$G:$G,'Distribución OyA Detalle'!$D:$D,$A49,'Distribución OyA Detalle'!$A:$A,1)</f>
        <v>0</v>
      </c>
      <c r="D49" s="1347">
        <f>SUMIFS('Distribución OyA Detalle'!$G:$G,'Distribución OyA Detalle'!$D:$D,$A49,'Distribución OyA Detalle'!$A:$A,2)</f>
        <v>3400500</v>
      </c>
      <c r="E49" s="1347">
        <f>SUMIFS('Distribución OyA Detalle'!$G:$G,'Distribución OyA Detalle'!$D:$D,$A49,'Distribución OyA Detalle'!$A:$A,3)</f>
        <v>1018754500</v>
      </c>
      <c r="F49" s="1347">
        <f>SUMIFS('Distribución OyA Detalle'!$G:$G,'Distribución OyA Detalle'!$D:$D,$A49,'Distribución OyA Detalle'!$A:$A,4)</f>
        <v>994000</v>
      </c>
      <c r="G49" s="1463">
        <f t="shared" ref="G49:G50" si="2">+C49+D49+E49+F49</f>
        <v>1023149000</v>
      </c>
      <c r="H49" s="383"/>
    </row>
    <row r="50" spans="1:8" ht="15.9" customHeight="1" x14ac:dyDescent="0.4">
      <c r="A50" s="826" t="s">
        <v>391</v>
      </c>
      <c r="B50" s="827" t="s">
        <v>374</v>
      </c>
      <c r="C50" s="1347">
        <f>SUMIFS('Distribución OyA Detalle'!$G:$G,'Distribución OyA Detalle'!$D:$D,$A50,'Distribución OyA Detalle'!$A:$A,1)</f>
        <v>5000000</v>
      </c>
      <c r="D50" s="1347">
        <f>SUMIFS('Distribución OyA Detalle'!$G:$G,'Distribución OyA Detalle'!$D:$D,$A50,'Distribución OyA Detalle'!$A:$A,2)</f>
        <v>0</v>
      </c>
      <c r="E50" s="1347">
        <f>SUMIFS('Distribución OyA Detalle'!$G:$G,'Distribución OyA Detalle'!$D:$D,$A50,'Distribución OyA Detalle'!$A:$A,3)</f>
        <v>0</v>
      </c>
      <c r="F50" s="1347">
        <f>SUMIFS('Distribución OyA Detalle'!$G:$G,'Distribución OyA Detalle'!$D:$D,$A50,'Distribución OyA Detalle'!$A:$A,4)</f>
        <v>0</v>
      </c>
      <c r="G50" s="1463">
        <f t="shared" si="2"/>
        <v>5000000</v>
      </c>
      <c r="H50" s="383"/>
    </row>
    <row r="51" spans="1:8" ht="9.9" customHeight="1" x14ac:dyDescent="0.4">
      <c r="A51" s="830"/>
      <c r="B51" s="831"/>
      <c r="C51" s="832"/>
      <c r="D51" s="832"/>
      <c r="E51" s="832"/>
      <c r="F51" s="832"/>
      <c r="G51" s="833"/>
      <c r="H51" s="383"/>
    </row>
    <row r="52" spans="1:8" ht="15.9" customHeight="1" x14ac:dyDescent="0.4">
      <c r="A52" s="821" t="s">
        <v>74</v>
      </c>
      <c r="B52" s="822" t="s">
        <v>75</v>
      </c>
      <c r="C52" s="823">
        <f>SUM(C54:C56)</f>
        <v>20436780</v>
      </c>
      <c r="D52" s="823">
        <f>SUM(D54:D56)</f>
        <v>0</v>
      </c>
      <c r="E52" s="823">
        <f>SUM(E54:E56)</f>
        <v>162680000</v>
      </c>
      <c r="F52" s="823">
        <f>SUM(F54:F56)</f>
        <v>2000000</v>
      </c>
      <c r="G52" s="824">
        <f>SUM(G54:G56)</f>
        <v>185116780</v>
      </c>
      <c r="H52" s="383"/>
    </row>
    <row r="53" spans="1:8" ht="9.9" customHeight="1" x14ac:dyDescent="0.4">
      <c r="A53" s="825"/>
      <c r="B53" s="818"/>
      <c r="C53" s="819"/>
      <c r="D53" s="819"/>
      <c r="E53" s="819"/>
      <c r="F53" s="819"/>
      <c r="G53" s="820"/>
      <c r="H53" s="383"/>
    </row>
    <row r="54" spans="1:8" ht="15.9" customHeight="1" x14ac:dyDescent="0.4">
      <c r="A54" s="826" t="s">
        <v>76</v>
      </c>
      <c r="B54" s="827" t="s">
        <v>35</v>
      </c>
      <c r="C54" s="1347">
        <f>SUMIFS('Distribución OyA Detalle'!$G:$G,'Distribución OyA Detalle'!$D:$D,$A54,'Distribución OyA Detalle'!$A:$A,1)</f>
        <v>5751500</v>
      </c>
      <c r="D54" s="1347">
        <f>SUMIFS('Distribución OyA Detalle'!$G:$G,'Distribución OyA Detalle'!$D:$D,$A54,'Distribución OyA Detalle'!$A:$A,2)</f>
        <v>0</v>
      </c>
      <c r="E54" s="1347">
        <f>SUMIFS('Distribución OyA Detalle'!$G:$G,'Distribución OyA Detalle'!$D:$D,$A54,'Distribución OyA Detalle'!$A:$A,3)</f>
        <v>162680000</v>
      </c>
      <c r="F54" s="1347">
        <f>SUMIFS('Distribución OyA Detalle'!$G:$G,'Distribución OyA Detalle'!$D:$D,$A54,'Distribución OyA Detalle'!$A:$A,4)</f>
        <v>2000000</v>
      </c>
      <c r="G54" s="1463">
        <f t="shared" ref="G54:G56" si="3">+C54+D54+E54+F54</f>
        <v>170431500</v>
      </c>
      <c r="H54" s="383"/>
    </row>
    <row r="55" spans="1:8" ht="15.9" customHeight="1" x14ac:dyDescent="0.4">
      <c r="A55" s="826" t="s">
        <v>567</v>
      </c>
      <c r="B55" s="827" t="s">
        <v>568</v>
      </c>
      <c r="C55" s="1347">
        <f>SUMIFS('Distribución OyA Detalle'!$G:$G,'Distribución OyA Detalle'!$D:$D,$A55,'Distribución OyA Detalle'!$A:$A,1)</f>
        <v>1000000</v>
      </c>
      <c r="D55" s="1347">
        <f>SUMIFS('Distribución OyA Detalle'!$G:$G,'Distribución OyA Detalle'!$D:$D,$A55,'Distribución OyA Detalle'!$A:$A,2)</f>
        <v>0</v>
      </c>
      <c r="E55" s="1347">
        <f>SUMIFS('Distribución OyA Detalle'!$G:$G,'Distribución OyA Detalle'!$D:$D,$A55,'Distribución OyA Detalle'!$A:$A,3)</f>
        <v>0</v>
      </c>
      <c r="F55" s="1347">
        <f>SUMIFS('Distribución OyA Detalle'!$G:$G,'Distribución OyA Detalle'!$D:$D,$A55,'Distribución OyA Detalle'!$A:$A,4)</f>
        <v>0</v>
      </c>
      <c r="G55" s="1463">
        <f t="shared" si="3"/>
        <v>1000000</v>
      </c>
      <c r="H55" s="383"/>
    </row>
    <row r="56" spans="1:8" ht="15.9" customHeight="1" x14ac:dyDescent="0.4">
      <c r="A56" s="834" t="s">
        <v>77</v>
      </c>
      <c r="B56" s="835" t="s">
        <v>17</v>
      </c>
      <c r="C56" s="1347">
        <f>SUMIFS('Distribución OyA Detalle'!$G:$G,'Distribución OyA Detalle'!$D:$D,$A56,'Distribución OyA Detalle'!$A:$A,1)</f>
        <v>13685280</v>
      </c>
      <c r="D56" s="1347">
        <f>SUMIFS('Distribución OyA Detalle'!$G:$G,'Distribución OyA Detalle'!$D:$D,$A56,'Distribución OyA Detalle'!$A:$A,2)</f>
        <v>0</v>
      </c>
      <c r="E56" s="1347">
        <f>SUMIFS('Distribución OyA Detalle'!$G:$G,'Distribución OyA Detalle'!$D:$D,$A56,'Distribución OyA Detalle'!$A:$A,3)</f>
        <v>0</v>
      </c>
      <c r="F56" s="1347">
        <f>SUMIFS('Distribución OyA Detalle'!$G:$G,'Distribución OyA Detalle'!$D:$D,$A56,'Distribución OyA Detalle'!$A:$A,4)</f>
        <v>0</v>
      </c>
      <c r="G56" s="1463">
        <f t="shared" si="3"/>
        <v>13685280</v>
      </c>
      <c r="H56" s="383"/>
    </row>
    <row r="57" spans="1:8" ht="9.9" customHeight="1" x14ac:dyDescent="0.4">
      <c r="A57" s="836"/>
      <c r="B57" s="837"/>
      <c r="C57" s="838"/>
      <c r="D57" s="838"/>
      <c r="E57" s="838"/>
      <c r="F57" s="838"/>
      <c r="G57" s="839"/>
      <c r="H57" s="383"/>
    </row>
    <row r="58" spans="1:8" ht="15.9" customHeight="1" x14ac:dyDescent="0.4">
      <c r="A58" s="821" t="s">
        <v>78</v>
      </c>
      <c r="B58" s="822" t="s">
        <v>79</v>
      </c>
      <c r="C58" s="823">
        <f>SUM(C60:C64)</f>
        <v>746086500</v>
      </c>
      <c r="D58" s="823">
        <f>SUM(D60:D64)</f>
        <v>153152000</v>
      </c>
      <c r="E58" s="719">
        <f>SUM(E60:E64)</f>
        <v>1172602000</v>
      </c>
      <c r="F58" s="719">
        <f>SUM(F60:F64)</f>
        <v>134013500</v>
      </c>
      <c r="G58" s="824">
        <f>SUM(G60:G64)</f>
        <v>2205854000</v>
      </c>
      <c r="H58" s="383"/>
    </row>
    <row r="59" spans="1:8" ht="9.9" customHeight="1" x14ac:dyDescent="0.4">
      <c r="A59" s="825"/>
      <c r="B59" s="818"/>
      <c r="C59" s="819"/>
      <c r="D59" s="819"/>
      <c r="E59" s="819"/>
      <c r="F59" s="840"/>
      <c r="G59" s="841"/>
      <c r="H59" s="383"/>
    </row>
    <row r="60" spans="1:8" ht="15.9" customHeight="1" x14ac:dyDescent="0.4">
      <c r="A60" s="826" t="s">
        <v>80</v>
      </c>
      <c r="B60" s="827" t="s">
        <v>443</v>
      </c>
      <c r="C60" s="1347">
        <f>SUMIFS('Distribución OyA Detalle'!$G:$G,'Distribución OyA Detalle'!$D:$D,$A60,'Distribución OyA Detalle'!$A:$A,1)</f>
        <v>191084500</v>
      </c>
      <c r="D60" s="1347">
        <f>SUMIFS('Distribución OyA Detalle'!$G:$G,'Distribución OyA Detalle'!$D:$D,$A60,'Distribución OyA Detalle'!$A:$A,2)</f>
        <v>32431000</v>
      </c>
      <c r="E60" s="1347">
        <f>SUMIFS('Distribución OyA Detalle'!$G:$G,'Distribución OyA Detalle'!$D:$D,$A60,'Distribución OyA Detalle'!$A:$A,3)</f>
        <v>269777500</v>
      </c>
      <c r="F60" s="1347">
        <f>SUMIFS('Distribución OyA Detalle'!$G:$G,'Distribución OyA Detalle'!$D:$D,$A60,'Distribución OyA Detalle'!$A:$A,4)</f>
        <v>43045500</v>
      </c>
      <c r="G60" s="1463">
        <f t="shared" ref="G60:G64" si="4">+C60+D60+E60+F60</f>
        <v>536338500</v>
      </c>
      <c r="H60" s="383"/>
    </row>
    <row r="61" spans="1:8" ht="15.9" customHeight="1" x14ac:dyDescent="0.4">
      <c r="A61" s="826" t="s">
        <v>82</v>
      </c>
      <c r="B61" s="827" t="s">
        <v>444</v>
      </c>
      <c r="C61" s="1347">
        <f>SUMIFS('Distribución OyA Detalle'!$G:$G,'Distribución OyA Detalle'!$D:$D,$A61,'Distribución OyA Detalle'!$A:$A,1)</f>
        <v>238623500</v>
      </c>
      <c r="D61" s="1347">
        <f>SUMIFS('Distribución OyA Detalle'!$G:$G,'Distribución OyA Detalle'!$D:$D,$A61,'Distribución OyA Detalle'!$A:$A,2)</f>
        <v>51115000</v>
      </c>
      <c r="E61" s="1347">
        <f>SUMIFS('Distribución OyA Detalle'!$G:$G,'Distribución OyA Detalle'!$D:$D,$A61,'Distribución OyA Detalle'!$A:$A,3)</f>
        <v>247231000</v>
      </c>
      <c r="F61" s="1347">
        <f>SUMIFS('Distribución OyA Detalle'!$G:$G,'Distribución OyA Detalle'!$D:$D,$A61,'Distribución OyA Detalle'!$A:$A,4)</f>
        <v>37203000</v>
      </c>
      <c r="G61" s="1463">
        <f t="shared" si="4"/>
        <v>574172500</v>
      </c>
      <c r="H61" s="383"/>
    </row>
    <row r="62" spans="1:8" ht="15.9" customHeight="1" x14ac:dyDescent="0.4">
      <c r="A62" s="826" t="s">
        <v>84</v>
      </c>
      <c r="B62" s="827" t="s">
        <v>14</v>
      </c>
      <c r="C62" s="1347">
        <f>SUMIFS('Distribución OyA Detalle'!$G:$G,'Distribución OyA Detalle'!$D:$D,$A62,'Distribución OyA Detalle'!$A:$A,1)</f>
        <v>139042500</v>
      </c>
      <c r="D62" s="1347">
        <f>SUMIFS('Distribución OyA Detalle'!$G:$G,'Distribución OyA Detalle'!$D:$D,$A62,'Distribución OyA Detalle'!$A:$A,2)</f>
        <v>29182500</v>
      </c>
      <c r="E62" s="1347">
        <f>SUMIFS('Distribución OyA Detalle'!$G:$G,'Distribución OyA Detalle'!$D:$D,$A62,'Distribución OyA Detalle'!$A:$A,3)</f>
        <v>320630500</v>
      </c>
      <c r="F62" s="1347">
        <f>SUMIFS('Distribución OyA Detalle'!$G:$G,'Distribución OyA Detalle'!$D:$D,$A62,'Distribución OyA Detalle'!$A:$A,4)</f>
        <v>23985000</v>
      </c>
      <c r="G62" s="1463">
        <f t="shared" si="4"/>
        <v>512840500</v>
      </c>
      <c r="H62" s="383"/>
    </row>
    <row r="63" spans="1:8" ht="15.9" customHeight="1" x14ac:dyDescent="0.4">
      <c r="A63" s="826" t="s">
        <v>86</v>
      </c>
      <c r="B63" s="827" t="s">
        <v>445</v>
      </c>
      <c r="C63" s="1347">
        <f>SUMIFS('Distribución OyA Detalle'!$G:$G,'Distribución OyA Detalle'!$D:$D,$A63,'Distribución OyA Detalle'!$A:$A,1)</f>
        <v>121774500</v>
      </c>
      <c r="D63" s="1347">
        <f>SUMIFS('Distribución OyA Detalle'!$G:$G,'Distribución OyA Detalle'!$D:$D,$A63,'Distribución OyA Detalle'!$A:$A,2)</f>
        <v>26112500</v>
      </c>
      <c r="E63" s="1347">
        <f>SUMIFS('Distribución OyA Detalle'!$G:$G,'Distribución OyA Detalle'!$D:$D,$A63,'Distribución OyA Detalle'!$A:$A,3)</f>
        <v>280721000</v>
      </c>
      <c r="F63" s="1347">
        <f>SUMIFS('Distribución OyA Detalle'!$G:$G,'Distribución OyA Detalle'!$D:$D,$A63,'Distribución OyA Detalle'!$A:$A,4)</f>
        <v>21596500</v>
      </c>
      <c r="G63" s="1463">
        <f t="shared" si="4"/>
        <v>450204500</v>
      </c>
      <c r="H63" s="383"/>
    </row>
    <row r="64" spans="1:8" ht="15.9" customHeight="1" x14ac:dyDescent="0.4">
      <c r="A64" s="826" t="s">
        <v>87</v>
      </c>
      <c r="B64" s="827" t="s">
        <v>88</v>
      </c>
      <c r="C64" s="1347">
        <f>SUMIFS('Distribución OyA Detalle'!$G:$G,'Distribución OyA Detalle'!$D:$D,$A64,'Distribución OyA Detalle'!$A:$A,1)</f>
        <v>55561500</v>
      </c>
      <c r="D64" s="1347">
        <f>SUMIFS('Distribución OyA Detalle'!$G:$G,'Distribución OyA Detalle'!$D:$D,$A64,'Distribución OyA Detalle'!$A:$A,2)</f>
        <v>14311000</v>
      </c>
      <c r="E64" s="1347">
        <f>SUMIFS('Distribución OyA Detalle'!$G:$G,'Distribución OyA Detalle'!$D:$D,$A64,'Distribución OyA Detalle'!$A:$A,3)</f>
        <v>54242000</v>
      </c>
      <c r="F64" s="1347">
        <f>SUMIFS('Distribución OyA Detalle'!$G:$G,'Distribución OyA Detalle'!$D:$D,$A64,'Distribución OyA Detalle'!$A:$A,4)</f>
        <v>8183500</v>
      </c>
      <c r="G64" s="1463">
        <f t="shared" si="4"/>
        <v>132298000</v>
      </c>
      <c r="H64" s="383"/>
    </row>
    <row r="65" spans="1:8" ht="9.9" customHeight="1" x14ac:dyDescent="0.4">
      <c r="A65" s="830"/>
      <c r="B65" s="831"/>
      <c r="C65" s="832"/>
      <c r="D65" s="832"/>
      <c r="E65" s="832"/>
      <c r="F65" s="832"/>
      <c r="G65" s="833"/>
      <c r="H65" s="383"/>
    </row>
    <row r="66" spans="1:8" ht="15.9" hidden="1" customHeight="1" outlineLevel="1" x14ac:dyDescent="0.4">
      <c r="A66" s="813"/>
      <c r="B66" s="814" t="s">
        <v>392</v>
      </c>
      <c r="C66" s="815">
        <f>C69+C70+C71+C72+C73+C78+C79</f>
        <v>354561500</v>
      </c>
      <c r="D66" s="815">
        <f>D69+D70+D71+D72+D73+D78+D79</f>
        <v>74416000</v>
      </c>
      <c r="E66" s="815">
        <f>E69+E70+E71+E72+E73+E78+E79</f>
        <v>817625000</v>
      </c>
      <c r="F66" s="815">
        <f>F69+F70+F71+F72+F73+F78+F79</f>
        <v>61162500</v>
      </c>
      <c r="G66" s="816">
        <f>G69+G70+G71+G72+G73+G78+G79</f>
        <v>1307765000</v>
      </c>
      <c r="H66" s="383"/>
    </row>
    <row r="67" spans="1:8" ht="15.9" customHeight="1" collapsed="1" x14ac:dyDescent="0.4">
      <c r="A67" s="821" t="s">
        <v>89</v>
      </c>
      <c r="B67" s="822" t="s">
        <v>273</v>
      </c>
      <c r="C67" s="823">
        <f>SUM(C69:C73)</f>
        <v>279478000</v>
      </c>
      <c r="D67" s="823">
        <f>SUM(D69:D73)</f>
        <v>58657000</v>
      </c>
      <c r="E67" s="719">
        <f>SUM(E69:E73)</f>
        <v>644481000</v>
      </c>
      <c r="F67" s="719">
        <f>SUM(F69:F73)</f>
        <v>48210000</v>
      </c>
      <c r="G67" s="824">
        <f>SUM(G69:G73)</f>
        <v>1030826000</v>
      </c>
      <c r="H67" s="383"/>
    </row>
    <row r="68" spans="1:8" ht="9.9" customHeight="1" x14ac:dyDescent="0.4">
      <c r="A68" s="825"/>
      <c r="B68" s="818"/>
      <c r="C68" s="819"/>
      <c r="D68" s="819"/>
      <c r="E68" s="819"/>
      <c r="F68" s="819"/>
      <c r="G68" s="820"/>
      <c r="H68" s="383"/>
    </row>
    <row r="69" spans="1:8" ht="15.9" customHeight="1" x14ac:dyDescent="0.4">
      <c r="A69" s="842" t="s">
        <v>90</v>
      </c>
      <c r="B69" s="827" t="s">
        <v>1191</v>
      </c>
      <c r="C69" s="1347">
        <f>SUMIFS('Distribución OyA Detalle'!$G:$G,'Distribución OyA Detalle'!$D:$D,$A69,'Distribución OyA Detalle'!$A:$A,1)</f>
        <v>154338500</v>
      </c>
      <c r="D69" s="1347">
        <f>SUMIFS('Distribución OyA Detalle'!$G:$G,'Distribución OyA Detalle'!$D:$D,$A69,'Distribución OyA Detalle'!$A:$A,2)</f>
        <v>32392500</v>
      </c>
      <c r="E69" s="1347">
        <f>SUMIFS('Distribución OyA Detalle'!$G:$G,'Distribución OyA Detalle'!$D:$D,$A69,'Distribución OyA Detalle'!$A:$A,3)</f>
        <v>355907000</v>
      </c>
      <c r="F69" s="1347">
        <f>SUMIFS('Distribución OyA Detalle'!$G:$G,'Distribución OyA Detalle'!$D:$D,$A69,'Distribución OyA Detalle'!$A:$A,4)</f>
        <v>26623500</v>
      </c>
      <c r="G69" s="1463">
        <f t="shared" ref="G69:G73" si="5">+C69+D69+E69+F69</f>
        <v>569261500</v>
      </c>
      <c r="H69" s="383"/>
    </row>
    <row r="70" spans="1:8" ht="15.9" customHeight="1" x14ac:dyDescent="0.4">
      <c r="A70" s="842" t="s">
        <v>92</v>
      </c>
      <c r="B70" s="827" t="s">
        <v>447</v>
      </c>
      <c r="C70" s="1347">
        <f>SUMIFS('Distribución OyA Detalle'!$G:$G,'Distribución OyA Detalle'!$D:$D,$A70,'Distribución OyA Detalle'!$A:$A,1)</f>
        <v>8343000</v>
      </c>
      <c r="D70" s="1347">
        <f>SUMIFS('Distribución OyA Detalle'!$G:$G,'Distribución OyA Detalle'!$D:$D,$A70,'Distribución OyA Detalle'!$A:$A,2)</f>
        <v>1751000</v>
      </c>
      <c r="E70" s="1347">
        <f>SUMIFS('Distribución OyA Detalle'!$G:$G,'Distribución OyA Detalle'!$D:$D,$A70,'Distribución OyA Detalle'!$A:$A,3)</f>
        <v>19238500</v>
      </c>
      <c r="F70" s="1347">
        <f>SUMIFS('Distribución OyA Detalle'!$G:$G,'Distribución OyA Detalle'!$D:$D,$A70,'Distribución OyA Detalle'!$A:$A,4)</f>
        <v>1439000</v>
      </c>
      <c r="G70" s="1463">
        <f t="shared" si="5"/>
        <v>30771500</v>
      </c>
      <c r="H70" s="383"/>
    </row>
    <row r="71" spans="1:8" ht="15.9" customHeight="1" x14ac:dyDescent="0.4">
      <c r="A71" s="842" t="s">
        <v>93</v>
      </c>
      <c r="B71" s="827" t="s">
        <v>448</v>
      </c>
      <c r="C71" s="1347">
        <f>SUMIFS('Distribución OyA Detalle'!$G:$G,'Distribución OyA Detalle'!$D:$D,$A71,'Distribución OyA Detalle'!$A:$A,1)</f>
        <v>25028000</v>
      </c>
      <c r="D71" s="1347">
        <f>SUMIFS('Distribución OyA Detalle'!$G:$G,'Distribución OyA Detalle'!$D:$D,$A71,'Distribución OyA Detalle'!$A:$A,2)</f>
        <v>5253000</v>
      </c>
      <c r="E71" s="1347">
        <f>SUMIFS('Distribución OyA Detalle'!$G:$G,'Distribución OyA Detalle'!$D:$D,$A71,'Distribución OyA Detalle'!$A:$A,3)</f>
        <v>57714500</v>
      </c>
      <c r="F71" s="1347">
        <f>SUMIFS('Distribución OyA Detalle'!$G:$G,'Distribución OyA Detalle'!$D:$D,$A71,'Distribución OyA Detalle'!$A:$A,4)</f>
        <v>4317500</v>
      </c>
      <c r="G71" s="1463">
        <f t="shared" si="5"/>
        <v>92313000</v>
      </c>
      <c r="H71" s="383"/>
    </row>
    <row r="72" spans="1:8" ht="15.9" customHeight="1" x14ac:dyDescent="0.4">
      <c r="A72" s="842" t="s">
        <v>94</v>
      </c>
      <c r="B72" s="827" t="s">
        <v>609</v>
      </c>
      <c r="C72" s="1347">
        <f>SUMIFS('Distribución OyA Detalle'!$G:$G,'Distribución OyA Detalle'!$D:$D,$A72,'Distribución OyA Detalle'!$A:$A,1)</f>
        <v>83425500</v>
      </c>
      <c r="D72" s="1347">
        <f>SUMIFS('Distribución OyA Detalle'!$G:$G,'Distribución OyA Detalle'!$D:$D,$A72,'Distribución OyA Detalle'!$A:$A,2)</f>
        <v>17509500</v>
      </c>
      <c r="E72" s="1347">
        <f>SUMIFS('Distribución OyA Detalle'!$G:$G,'Distribución OyA Detalle'!$D:$D,$A72,'Distribución OyA Detalle'!$A:$A,3)</f>
        <v>192382500</v>
      </c>
      <c r="F72" s="1347">
        <f>SUMIFS('Distribución OyA Detalle'!$G:$G,'Distribución OyA Detalle'!$D:$D,$A72,'Distribución OyA Detalle'!$A:$A,4)</f>
        <v>14391000</v>
      </c>
      <c r="G72" s="1463">
        <f t="shared" si="5"/>
        <v>307708500</v>
      </c>
      <c r="H72" s="383"/>
    </row>
    <row r="73" spans="1:8" ht="15.9" customHeight="1" x14ac:dyDescent="0.4">
      <c r="A73" s="842" t="s">
        <v>96</v>
      </c>
      <c r="B73" s="827" t="s">
        <v>1192</v>
      </c>
      <c r="C73" s="1347">
        <f>SUMIFS('Distribución OyA Detalle'!$G:$G,'Distribución OyA Detalle'!$D:$D,$A73,'Distribución OyA Detalle'!$A:$A,1)</f>
        <v>8343000</v>
      </c>
      <c r="D73" s="1347">
        <f>SUMIFS('Distribución OyA Detalle'!$G:$G,'Distribución OyA Detalle'!$D:$D,$A73,'Distribución OyA Detalle'!$A:$A,2)</f>
        <v>1751000</v>
      </c>
      <c r="E73" s="1347">
        <f>SUMIFS('Distribución OyA Detalle'!$G:$G,'Distribución OyA Detalle'!$D:$D,$A73,'Distribución OyA Detalle'!$A:$A,3)</f>
        <v>19238500</v>
      </c>
      <c r="F73" s="1347">
        <f>SUMIFS('Distribución OyA Detalle'!$G:$G,'Distribución OyA Detalle'!$D:$D,$A73,'Distribución OyA Detalle'!$A:$A,4)</f>
        <v>1439000</v>
      </c>
      <c r="G73" s="1463">
        <f t="shared" si="5"/>
        <v>30771500</v>
      </c>
      <c r="H73" s="383"/>
    </row>
    <row r="74" spans="1:8" ht="9.9" customHeight="1" x14ac:dyDescent="0.4">
      <c r="A74" s="843"/>
      <c r="B74" s="831"/>
      <c r="C74" s="828"/>
      <c r="D74" s="828"/>
      <c r="E74" s="828"/>
      <c r="F74" s="828"/>
      <c r="G74" s="833"/>
      <c r="H74" s="383"/>
    </row>
    <row r="75" spans="1:8" ht="15.9" customHeight="1" x14ac:dyDescent="0.4">
      <c r="A75" s="821" t="s">
        <v>98</v>
      </c>
      <c r="B75" s="844" t="s">
        <v>99</v>
      </c>
      <c r="C75" s="823">
        <f>SUM(C77:C79)</f>
        <v>165518000</v>
      </c>
      <c r="D75" s="823">
        <f>SUM(D77:D79)</f>
        <v>34739500</v>
      </c>
      <c r="E75" s="823">
        <f>SUM(E77:E79)</f>
        <v>381685500</v>
      </c>
      <c r="F75" s="823">
        <f>SUM(F77:F79)</f>
        <v>28553000</v>
      </c>
      <c r="G75" s="824">
        <f>SUM(G77:G79)</f>
        <v>610496000</v>
      </c>
      <c r="H75" s="383"/>
    </row>
    <row r="76" spans="1:8" ht="7.95" customHeight="1" x14ac:dyDescent="0.4">
      <c r="A76" s="825"/>
      <c r="B76" s="818"/>
      <c r="C76" s="819"/>
      <c r="D76" s="819"/>
      <c r="E76" s="819"/>
      <c r="F76" s="819"/>
      <c r="G76" s="820"/>
      <c r="H76" s="383"/>
    </row>
    <row r="77" spans="1:8" ht="15.9" customHeight="1" x14ac:dyDescent="0.4">
      <c r="A77" s="842" t="s">
        <v>510</v>
      </c>
      <c r="B77" s="831" t="s">
        <v>1194</v>
      </c>
      <c r="C77" s="1347">
        <f>SUMIFS('Distribución OyA Detalle'!$G:$G,'Distribución OyA Detalle'!$D:$D,$A77,'Distribución OyA Detalle'!$A:$A,1)</f>
        <v>90434500</v>
      </c>
      <c r="D77" s="1347">
        <f>SUMIFS('Distribución OyA Detalle'!$G:$G,'Distribución OyA Detalle'!$D:$D,$A77,'Distribución OyA Detalle'!$A:$A,2)</f>
        <v>18980500</v>
      </c>
      <c r="E77" s="1347">
        <f>SUMIFS('Distribución OyA Detalle'!$G:$G,'Distribución OyA Detalle'!$D:$D,$A77,'Distribución OyA Detalle'!$A:$A,3)</f>
        <v>208541500</v>
      </c>
      <c r="F77" s="1347">
        <f>SUMIFS('Distribución OyA Detalle'!$G:$G,'Distribución OyA Detalle'!$D:$D,$A77,'Distribución OyA Detalle'!$A:$A,4)</f>
        <v>15600500</v>
      </c>
      <c r="G77" s="1463">
        <f t="shared" ref="G77:G79" si="6">+C77+D77+E77+F77</f>
        <v>333557000</v>
      </c>
      <c r="H77" s="383"/>
    </row>
    <row r="78" spans="1:8" ht="15.9" customHeight="1" x14ac:dyDescent="0.4">
      <c r="A78" s="842" t="s">
        <v>100</v>
      </c>
      <c r="B78" s="845" t="s">
        <v>1195</v>
      </c>
      <c r="C78" s="1347">
        <f>SUMIFS('Distribución OyA Detalle'!$G:$G,'Distribución OyA Detalle'!$D:$D,$A78,'Distribución OyA Detalle'!$A:$A,1)</f>
        <v>50055500</v>
      </c>
      <c r="D78" s="1347">
        <f>SUMIFS('Distribución OyA Detalle'!$G:$G,'Distribución OyA Detalle'!$D:$D,$A78,'Distribución OyA Detalle'!$A:$A,2)</f>
        <v>10506000</v>
      </c>
      <c r="E78" s="1347">
        <f>SUMIFS('Distribución OyA Detalle'!$G:$G,'Distribución OyA Detalle'!$D:$D,$A78,'Distribución OyA Detalle'!$A:$A,3)</f>
        <v>115429500</v>
      </c>
      <c r="F78" s="1347">
        <f>SUMIFS('Distribución OyA Detalle'!$G:$G,'Distribución OyA Detalle'!$D:$D,$A78,'Distribución OyA Detalle'!$A:$A,4)</f>
        <v>8635000</v>
      </c>
      <c r="G78" s="1463">
        <f t="shared" si="6"/>
        <v>184626000</v>
      </c>
      <c r="H78" s="383"/>
    </row>
    <row r="79" spans="1:8" ht="15.9" customHeight="1" x14ac:dyDescent="0.4">
      <c r="A79" s="842" t="s">
        <v>101</v>
      </c>
      <c r="B79" s="845" t="s">
        <v>543</v>
      </c>
      <c r="C79" s="1347">
        <f>SUMIFS('Distribución OyA Detalle'!$G:$G,'Distribución OyA Detalle'!$D:$D,$A79,'Distribución OyA Detalle'!$A:$A,1)</f>
        <v>25028000</v>
      </c>
      <c r="D79" s="1347">
        <f>SUMIFS('Distribución OyA Detalle'!$G:$G,'Distribución OyA Detalle'!$D:$D,$A79,'Distribución OyA Detalle'!$A:$A,2)</f>
        <v>5253000</v>
      </c>
      <c r="E79" s="1347">
        <f>SUMIFS('Distribución OyA Detalle'!$G:$G,'Distribución OyA Detalle'!$D:$D,$A79,'Distribución OyA Detalle'!$A:$A,3)</f>
        <v>57714500</v>
      </c>
      <c r="F79" s="1347">
        <f>SUMIFS('Distribución OyA Detalle'!$G:$G,'Distribución OyA Detalle'!$D:$D,$A79,'Distribución OyA Detalle'!$A:$A,4)</f>
        <v>4317500</v>
      </c>
      <c r="G79" s="1463">
        <f t="shared" si="6"/>
        <v>92313000</v>
      </c>
      <c r="H79" s="383"/>
    </row>
    <row r="80" spans="1:8" ht="15.9" hidden="1" customHeight="1" x14ac:dyDescent="0.4">
      <c r="A80" s="843"/>
      <c r="B80" s="831"/>
      <c r="C80" s="832"/>
      <c r="D80" s="832"/>
      <c r="E80" s="832"/>
      <c r="F80" s="832"/>
      <c r="G80" s="833"/>
      <c r="H80" s="383"/>
    </row>
    <row r="81" spans="1:8" ht="15.9" hidden="1" customHeight="1" x14ac:dyDescent="0.4">
      <c r="A81" s="821" t="s">
        <v>393</v>
      </c>
      <c r="B81" s="844" t="s">
        <v>394</v>
      </c>
      <c r="C81" s="823">
        <f>SUM(C83)</f>
        <v>0</v>
      </c>
      <c r="D81" s="719">
        <f>SUM(D83)</f>
        <v>0</v>
      </c>
      <c r="E81" s="719">
        <f>SUM(E83)</f>
        <v>0</v>
      </c>
      <c r="F81" s="719">
        <f>SUM(F83)</f>
        <v>0</v>
      </c>
      <c r="G81" s="824">
        <f>SUM(G83)</f>
        <v>0</v>
      </c>
      <c r="H81" s="383"/>
    </row>
    <row r="82" spans="1:8" ht="15.9" hidden="1" customHeight="1" x14ac:dyDescent="0.4">
      <c r="A82" s="825"/>
      <c r="B82" s="818"/>
      <c r="C82" s="819"/>
      <c r="D82" s="819"/>
      <c r="E82" s="819"/>
      <c r="F82" s="819"/>
      <c r="G82" s="820"/>
      <c r="H82" s="383"/>
    </row>
    <row r="83" spans="1:8" ht="15.9" hidden="1" customHeight="1" x14ac:dyDescent="0.4">
      <c r="A83" s="846" t="s">
        <v>395</v>
      </c>
      <c r="B83" s="835" t="s">
        <v>396</v>
      </c>
      <c r="C83" s="828"/>
      <c r="D83" s="828"/>
      <c r="E83" s="828"/>
      <c r="F83" s="828"/>
      <c r="G83" s="829">
        <f>SUM(C83:F83)</f>
        <v>0</v>
      </c>
      <c r="H83" s="383"/>
    </row>
    <row r="84" spans="1:8" ht="9.9" customHeight="1" thickBot="1" x14ac:dyDescent="0.45">
      <c r="A84" s="847"/>
      <c r="B84" s="848"/>
      <c r="C84" s="849"/>
      <c r="D84" s="849"/>
      <c r="E84" s="849"/>
      <c r="F84" s="849"/>
      <c r="G84" s="850"/>
      <c r="H84" s="383"/>
    </row>
    <row r="85" spans="1:8" ht="15.9" customHeight="1" thickBot="1" x14ac:dyDescent="0.45">
      <c r="A85" s="851" t="s">
        <v>103</v>
      </c>
      <c r="B85" s="810" t="s">
        <v>54</v>
      </c>
      <c r="C85" s="852">
        <f>+C87+C94+C102+C111+C122+C129+C133+C139+C150+C154</f>
        <v>803003908</v>
      </c>
      <c r="D85" s="853">
        <f>+D87+D94+D102+D111+D122+D129+D133+D139+D150+D154</f>
        <v>79249300</v>
      </c>
      <c r="E85" s="853">
        <f>+E87+E94+E102+E111+E122+E129+E133+E139+E150+E154</f>
        <v>1701036600</v>
      </c>
      <c r="F85" s="853">
        <f>+F87+F94+F102+F111+F122+F129+F133+F139+F150+F154</f>
        <v>171383600</v>
      </c>
      <c r="G85" s="854">
        <f>+G87+G94+G102+G111+G122+G129+G133+G139+G150+G154</f>
        <v>2754673408</v>
      </c>
      <c r="H85" s="383"/>
    </row>
    <row r="86" spans="1:8" ht="9.9" customHeight="1" outlineLevel="1" x14ac:dyDescent="0.4">
      <c r="A86" s="855"/>
      <c r="B86" s="856"/>
      <c r="C86" s="857"/>
      <c r="D86" s="857"/>
      <c r="E86" s="857"/>
      <c r="F86" s="857"/>
      <c r="G86" s="858"/>
      <c r="H86" s="383"/>
    </row>
    <row r="87" spans="1:8" ht="15.9" customHeight="1" outlineLevel="1" x14ac:dyDescent="0.4">
      <c r="A87" s="821" t="s">
        <v>104</v>
      </c>
      <c r="B87" s="844" t="s">
        <v>105</v>
      </c>
      <c r="C87" s="823">
        <f>SUM(C89:C92)</f>
        <v>70277100</v>
      </c>
      <c r="D87" s="719">
        <f>SUM(D89:D92)</f>
        <v>7465900</v>
      </c>
      <c r="E87" s="719">
        <f>SUM(E89:E92)</f>
        <v>338344900</v>
      </c>
      <c r="F87" s="719">
        <f>SUM(F89:F92)</f>
        <v>35376600</v>
      </c>
      <c r="G87" s="824">
        <f>SUM(G89:G92)</f>
        <v>451464500</v>
      </c>
      <c r="H87" s="383"/>
    </row>
    <row r="88" spans="1:8" ht="9.9" customHeight="1" x14ac:dyDescent="0.4">
      <c r="A88" s="825"/>
      <c r="B88" s="818"/>
      <c r="C88" s="819"/>
      <c r="D88" s="819"/>
      <c r="E88" s="819"/>
      <c r="F88" s="819"/>
      <c r="G88" s="820"/>
      <c r="H88" s="383"/>
    </row>
    <row r="89" spans="1:8" ht="15.9" customHeight="1" x14ac:dyDescent="0.4">
      <c r="A89" s="846" t="s">
        <v>106</v>
      </c>
      <c r="B89" s="835" t="s">
        <v>621</v>
      </c>
      <c r="C89" s="1347">
        <f>SUMIFS('Distribución OyA Detalle'!$G:$G,'Distribución OyA Detalle'!$D:$D,$A89,'Distribución OyA Detalle'!$A:$A,1)</f>
        <v>70277100</v>
      </c>
      <c r="D89" s="1347">
        <f>SUMIFS('Distribución OyA Detalle'!$G:$G,'Distribución OyA Detalle'!$D:$D,$A89,'Distribución OyA Detalle'!$A:$A,2)</f>
        <v>7465900</v>
      </c>
      <c r="E89" s="1347">
        <f>SUMIFS('Distribución OyA Detalle'!$G:$G,'Distribución OyA Detalle'!$D:$D,$A89,'Distribución OyA Detalle'!$A:$A,3)</f>
        <v>124464900</v>
      </c>
      <c r="F89" s="1347">
        <f>SUMIFS('Distribución OyA Detalle'!$G:$G,'Distribución OyA Detalle'!$D:$D,$A89,'Distribución OyA Detalle'!$A:$A,4)</f>
        <v>35376600</v>
      </c>
      <c r="G89" s="1463">
        <f t="shared" ref="G89:G90" si="7">+C89+D89+E89+F89</f>
        <v>237584500</v>
      </c>
      <c r="H89" s="383"/>
    </row>
    <row r="90" spans="1:8" ht="15.9" customHeight="1" x14ac:dyDescent="0.4">
      <c r="A90" s="842" t="s">
        <v>108</v>
      </c>
      <c r="B90" s="827" t="s">
        <v>109</v>
      </c>
      <c r="C90" s="1347">
        <f>SUMIFS('Distribución OyA Detalle'!$G:$G,'Distribución OyA Detalle'!$D:$D,$A90,'Distribución OyA Detalle'!$A:$A,1)</f>
        <v>0</v>
      </c>
      <c r="D90" s="1347">
        <f>SUMIFS('Distribución OyA Detalle'!$G:$G,'Distribución OyA Detalle'!$D:$D,$A90,'Distribución OyA Detalle'!$A:$A,2)</f>
        <v>0</v>
      </c>
      <c r="E90" s="1347">
        <f>SUMIFS('Distribución OyA Detalle'!$G:$G,'Distribución OyA Detalle'!$D:$D,$A90,'Distribución OyA Detalle'!$A:$A,3)</f>
        <v>213880000</v>
      </c>
      <c r="F90" s="1347">
        <f>SUMIFS('Distribución OyA Detalle'!$G:$G,'Distribución OyA Detalle'!$D:$D,$A90,'Distribución OyA Detalle'!$A:$A,4)</f>
        <v>0</v>
      </c>
      <c r="G90" s="1463">
        <f t="shared" si="7"/>
        <v>213880000</v>
      </c>
      <c r="H90" s="383"/>
    </row>
    <row r="91" spans="1:8" ht="15.9" hidden="1" customHeight="1" x14ac:dyDescent="0.4">
      <c r="A91" s="859" t="s">
        <v>110</v>
      </c>
      <c r="B91" s="827" t="s">
        <v>111</v>
      </c>
      <c r="C91" s="828">
        <v>0</v>
      </c>
      <c r="D91" s="828">
        <v>0</v>
      </c>
      <c r="E91" s="828">
        <v>0</v>
      </c>
      <c r="F91" s="828">
        <v>0</v>
      </c>
      <c r="G91" s="829">
        <f>SUM(C91:F91)</f>
        <v>0</v>
      </c>
      <c r="H91" s="383"/>
    </row>
    <row r="92" spans="1:8" ht="15.9" hidden="1" customHeight="1" x14ac:dyDescent="0.4">
      <c r="A92" s="842" t="s">
        <v>112</v>
      </c>
      <c r="B92" s="827" t="s">
        <v>113</v>
      </c>
      <c r="C92" s="828">
        <v>0</v>
      </c>
      <c r="D92" s="828">
        <v>0</v>
      </c>
      <c r="E92" s="828">
        <v>0</v>
      </c>
      <c r="F92" s="828">
        <v>0</v>
      </c>
      <c r="G92" s="829">
        <f>SUM(C92:F92)</f>
        <v>0</v>
      </c>
      <c r="H92" s="383"/>
    </row>
    <row r="93" spans="1:8" ht="9.9" customHeight="1" x14ac:dyDescent="0.4">
      <c r="A93" s="860"/>
      <c r="B93" s="837"/>
      <c r="C93" s="838"/>
      <c r="D93" s="838"/>
      <c r="E93" s="838"/>
      <c r="F93" s="838"/>
      <c r="G93" s="839"/>
      <c r="H93" s="383"/>
    </row>
    <row r="94" spans="1:8" ht="15.9" customHeight="1" x14ac:dyDescent="0.4">
      <c r="A94" s="821" t="s">
        <v>114</v>
      </c>
      <c r="B94" s="844" t="s">
        <v>115</v>
      </c>
      <c r="C94" s="823">
        <f>SUM(C96:C100)</f>
        <v>49575700</v>
      </c>
      <c r="D94" s="719">
        <f>SUM(D96:D100)</f>
        <v>1836600</v>
      </c>
      <c r="E94" s="719">
        <f>SUM(E96:E100)</f>
        <v>71964800</v>
      </c>
      <c r="F94" s="719">
        <f>SUM(F96:F100)</f>
        <v>8701700</v>
      </c>
      <c r="G94" s="824">
        <f>SUM(G96:G100)</f>
        <v>132078800</v>
      </c>
      <c r="H94" s="383"/>
    </row>
    <row r="95" spans="1:8" ht="9.9" customHeight="1" outlineLevel="1" x14ac:dyDescent="0.4">
      <c r="A95" s="825"/>
      <c r="B95" s="818"/>
      <c r="C95" s="819"/>
      <c r="D95" s="819"/>
      <c r="E95" s="819"/>
      <c r="F95" s="819"/>
      <c r="G95" s="820"/>
      <c r="H95" s="383"/>
    </row>
    <row r="96" spans="1:8" ht="15.9" customHeight="1" x14ac:dyDescent="0.4">
      <c r="A96" s="846" t="s">
        <v>116</v>
      </c>
      <c r="B96" s="835" t="s">
        <v>117</v>
      </c>
      <c r="C96" s="1347">
        <f>SUMIFS('Distribución OyA Detalle'!$G:$G,'Distribución OyA Detalle'!$D:$D,$A96,'Distribución OyA Detalle'!$A:$A,1)</f>
        <v>2849100</v>
      </c>
      <c r="D96" s="1347">
        <f>SUMIFS('Distribución OyA Detalle'!$G:$G,'Distribución OyA Detalle'!$D:$D,$A96,'Distribución OyA Detalle'!$A:$A,2)</f>
        <v>302700</v>
      </c>
      <c r="E96" s="1347">
        <f>SUMIFS('Distribución OyA Detalle'!$G:$G,'Distribución OyA Detalle'!$D:$D,$A96,'Distribución OyA Detalle'!$A:$A,3)</f>
        <v>5045900</v>
      </c>
      <c r="F96" s="1347">
        <f>SUMIFS('Distribución OyA Detalle'!$G:$G,'Distribución OyA Detalle'!$D:$D,$A96,'Distribución OyA Detalle'!$A:$A,4)</f>
        <v>1434200</v>
      </c>
      <c r="G96" s="1463">
        <f t="shared" ref="G96:G100" si="8">+C96+D96+E96+F96</f>
        <v>9631900</v>
      </c>
      <c r="H96" s="383"/>
    </row>
    <row r="97" spans="1:8" ht="15.9" customHeight="1" x14ac:dyDescent="0.4">
      <c r="A97" s="846" t="s">
        <v>118</v>
      </c>
      <c r="B97" s="861" t="s">
        <v>119</v>
      </c>
      <c r="C97" s="1347">
        <f>SUMIFS('Distribución OyA Detalle'!$G:$G,'Distribución OyA Detalle'!$D:$D,$A97,'Distribución OyA Detalle'!$A:$A,1)</f>
        <v>11384820</v>
      </c>
      <c r="D97" s="1347">
        <f>SUMIFS('Distribución OyA Detalle'!$G:$G,'Distribución OyA Detalle'!$D:$D,$A97,'Distribución OyA Detalle'!$A:$A,2)</f>
        <v>1070600</v>
      </c>
      <c r="E97" s="1347">
        <f>SUMIFS('Distribución OyA Detalle'!$G:$G,'Distribución OyA Detalle'!$D:$D,$A97,'Distribución OyA Detalle'!$A:$A,3)</f>
        <v>17846500</v>
      </c>
      <c r="F97" s="1347">
        <f>SUMIFS('Distribución OyA Detalle'!$G:$G,'Distribución OyA Detalle'!$D:$D,$A97,'Distribución OyA Detalle'!$A:$A,4)</f>
        <v>5072400</v>
      </c>
      <c r="G97" s="1463">
        <f t="shared" si="8"/>
        <v>35374320</v>
      </c>
      <c r="H97" s="383"/>
    </row>
    <row r="98" spans="1:8" ht="15.9" customHeight="1" x14ac:dyDescent="0.4">
      <c r="A98" s="842" t="s">
        <v>120</v>
      </c>
      <c r="B98" s="827" t="s">
        <v>121</v>
      </c>
      <c r="C98" s="1347">
        <f>SUMIFS('Distribución OyA Detalle'!$G:$G,'Distribución OyA Detalle'!$D:$D,$A98,'Distribución OyA Detalle'!$A:$A,1)</f>
        <v>5000000</v>
      </c>
      <c r="D98" s="1347">
        <f>SUMIFS('Distribución OyA Detalle'!$G:$G,'Distribución OyA Detalle'!$D:$D,$A98,'Distribución OyA Detalle'!$A:$A,2)</f>
        <v>0</v>
      </c>
      <c r="E98" s="1347">
        <f>SUMIFS('Distribución OyA Detalle'!$G:$G,'Distribución OyA Detalle'!$D:$D,$A98,'Distribución OyA Detalle'!$A:$A,3)</f>
        <v>0</v>
      </c>
      <c r="F98" s="1347">
        <f>SUMIFS('Distribución OyA Detalle'!$G:$G,'Distribución OyA Detalle'!$D:$D,$A98,'Distribución OyA Detalle'!$A:$A,4)</f>
        <v>0</v>
      </c>
      <c r="G98" s="1463">
        <f t="shared" si="8"/>
        <v>5000000</v>
      </c>
      <c r="H98" s="383"/>
    </row>
    <row r="99" spans="1:8" ht="15.9" customHeight="1" x14ac:dyDescent="0.4">
      <c r="A99" s="842" t="s">
        <v>326</v>
      </c>
      <c r="B99" s="827" t="s">
        <v>464</v>
      </c>
      <c r="C99" s="1347">
        <f>SUMIFS('Distribución OyA Detalle'!$G:$G,'Distribución OyA Detalle'!$D:$D,$A99,'Distribución OyA Detalle'!$A:$A,1)</f>
        <v>29560400</v>
      </c>
      <c r="D99" s="1347">
        <f>SUMIFS('Distribución OyA Detalle'!$G:$G,'Distribución OyA Detalle'!$D:$D,$A99,'Distribución OyA Detalle'!$A:$A,2)</f>
        <v>463300</v>
      </c>
      <c r="E99" s="1347">
        <f>SUMIFS('Distribución OyA Detalle'!$G:$G,'Distribución OyA Detalle'!$D:$D,$A99,'Distribución OyA Detalle'!$A:$A,3)</f>
        <v>49072400</v>
      </c>
      <c r="F99" s="1347">
        <f>SUMIFS('Distribución OyA Detalle'!$G:$G,'Distribución OyA Detalle'!$D:$D,$A99,'Distribución OyA Detalle'!$A:$A,4)</f>
        <v>2195100</v>
      </c>
      <c r="G99" s="1463">
        <f t="shared" si="8"/>
        <v>81291200</v>
      </c>
      <c r="H99" s="383"/>
    </row>
    <row r="100" spans="1:8" ht="15.9" customHeight="1" x14ac:dyDescent="0.4">
      <c r="A100" s="846" t="s">
        <v>123</v>
      </c>
      <c r="B100" s="835" t="s">
        <v>124</v>
      </c>
      <c r="C100" s="1347">
        <f>SUMIFS('Distribución OyA Detalle'!$G:$G,'Distribución OyA Detalle'!$D:$D,$A100,'Distribución OyA Detalle'!$A:$A,1)</f>
        <v>781380</v>
      </c>
      <c r="D100" s="1347">
        <f>SUMIFS('Distribución OyA Detalle'!$G:$G,'Distribución OyA Detalle'!$D:$D,$A100,'Distribución OyA Detalle'!$A:$A,2)</f>
        <v>0</v>
      </c>
      <c r="E100" s="1347">
        <f>SUMIFS('Distribución OyA Detalle'!$G:$G,'Distribución OyA Detalle'!$D:$D,$A100,'Distribución OyA Detalle'!$A:$A,3)</f>
        <v>0</v>
      </c>
      <c r="F100" s="1347">
        <f>SUMIFS('Distribución OyA Detalle'!$G:$G,'Distribución OyA Detalle'!$D:$D,$A100,'Distribución OyA Detalle'!$A:$A,4)</f>
        <v>0</v>
      </c>
      <c r="G100" s="1463">
        <f t="shared" si="8"/>
        <v>781380</v>
      </c>
      <c r="H100" s="383"/>
    </row>
    <row r="101" spans="1:8" ht="9.9" customHeight="1" x14ac:dyDescent="0.4">
      <c r="A101" s="860"/>
      <c r="B101" s="837"/>
      <c r="C101" s="838"/>
      <c r="D101" s="838"/>
      <c r="E101" s="838"/>
      <c r="F101" s="838"/>
      <c r="G101" s="839"/>
      <c r="H101" s="383"/>
    </row>
    <row r="102" spans="1:8" ht="15.9" customHeight="1" x14ac:dyDescent="0.4">
      <c r="A102" s="821" t="s">
        <v>125</v>
      </c>
      <c r="B102" s="844" t="s">
        <v>126</v>
      </c>
      <c r="C102" s="823">
        <f>SUM(C104:C109)</f>
        <v>135140908</v>
      </c>
      <c r="D102" s="719">
        <f>SUM(D104:D109)</f>
        <v>0</v>
      </c>
      <c r="E102" s="719">
        <f>SUM(E104:E109)</f>
        <v>18635000</v>
      </c>
      <c r="F102" s="719">
        <f>SUM(F104:F109)</f>
        <v>42650000</v>
      </c>
      <c r="G102" s="824">
        <f>SUM(G104:G109)</f>
        <v>196425908</v>
      </c>
      <c r="H102" s="383"/>
    </row>
    <row r="103" spans="1:8" ht="9.9" customHeight="1" outlineLevel="1" x14ac:dyDescent="0.4">
      <c r="A103" s="825"/>
      <c r="B103" s="818"/>
      <c r="C103" s="819"/>
      <c r="D103" s="819"/>
      <c r="E103" s="819"/>
      <c r="F103" s="819"/>
      <c r="G103" s="820"/>
      <c r="H103" s="383"/>
    </row>
    <row r="104" spans="1:8" ht="15.9" customHeight="1" x14ac:dyDescent="0.4">
      <c r="A104" s="842" t="s">
        <v>127</v>
      </c>
      <c r="B104" s="827" t="s">
        <v>436</v>
      </c>
      <c r="C104" s="1347">
        <f>SUMIFS('Distribución OyA Detalle'!$G:$G,'Distribución OyA Detalle'!$D:$D,$A104,'Distribución OyA Detalle'!$A:$A,1)</f>
        <v>2400000</v>
      </c>
      <c r="D104" s="1347">
        <f>SUMIFS('Distribución OyA Detalle'!$G:$G,'Distribución OyA Detalle'!$D:$D,$A104,'Distribución OyA Detalle'!$A:$A,2)</f>
        <v>0</v>
      </c>
      <c r="E104" s="1347">
        <f>SUMIFS('Distribución OyA Detalle'!$G:$G,'Distribución OyA Detalle'!$D:$D,$A104,'Distribución OyA Detalle'!$A:$A,3)</f>
        <v>0</v>
      </c>
      <c r="F104" s="1347">
        <f>SUMIFS('Distribución OyA Detalle'!$G:$G,'Distribución OyA Detalle'!$D:$D,$A104,'Distribución OyA Detalle'!$A:$A,4)</f>
        <v>0</v>
      </c>
      <c r="G104" s="1463">
        <f t="shared" ref="G104:G109" si="9">+C104+D104+E104+F104</f>
        <v>2400000</v>
      </c>
      <c r="H104" s="383"/>
    </row>
    <row r="105" spans="1:8" ht="15.9" customHeight="1" x14ac:dyDescent="0.4">
      <c r="A105" s="842" t="s">
        <v>129</v>
      </c>
      <c r="B105" s="827" t="s">
        <v>437</v>
      </c>
      <c r="C105" s="1347">
        <f>SUMIFS('Distribución OyA Detalle'!$G:$G,'Distribución OyA Detalle'!$D:$D,$A105,'Distribución OyA Detalle'!$A:$A,1)</f>
        <v>0</v>
      </c>
      <c r="D105" s="1347">
        <f>SUMIFS('Distribución OyA Detalle'!$G:$G,'Distribución OyA Detalle'!$D:$D,$A105,'Distribución OyA Detalle'!$A:$A,2)</f>
        <v>0</v>
      </c>
      <c r="E105" s="1347">
        <f>SUMIFS('Distribución OyA Detalle'!$G:$G,'Distribución OyA Detalle'!$D:$D,$A105,'Distribución OyA Detalle'!$A:$A,3)</f>
        <v>0</v>
      </c>
      <c r="F105" s="1347">
        <f>SUMIFS('Distribución OyA Detalle'!$G:$G,'Distribución OyA Detalle'!$D:$D,$A105,'Distribución OyA Detalle'!$A:$A,4)</f>
        <v>42350000</v>
      </c>
      <c r="G105" s="1463">
        <f t="shared" si="9"/>
        <v>42350000</v>
      </c>
      <c r="H105" s="383"/>
    </row>
    <row r="106" spans="1:8" ht="15.9" customHeight="1" x14ac:dyDescent="0.4">
      <c r="A106" s="842" t="s">
        <v>131</v>
      </c>
      <c r="B106" s="827" t="s">
        <v>438</v>
      </c>
      <c r="C106" s="1347">
        <f>SUMIFS('Distribución OyA Detalle'!$G:$G,'Distribución OyA Detalle'!$D:$D,$A106,'Distribución OyA Detalle'!$A:$A,1)</f>
        <v>810000</v>
      </c>
      <c r="D106" s="1347">
        <f>SUMIFS('Distribución OyA Detalle'!$G:$G,'Distribución OyA Detalle'!$D:$D,$A106,'Distribución OyA Detalle'!$A:$A,2)</f>
        <v>0</v>
      </c>
      <c r="E106" s="1347">
        <f>SUMIFS('Distribución OyA Detalle'!$G:$G,'Distribución OyA Detalle'!$D:$D,$A106,'Distribución OyA Detalle'!$A:$A,3)</f>
        <v>9825000</v>
      </c>
      <c r="F106" s="1347">
        <f>SUMIFS('Distribución OyA Detalle'!$G:$G,'Distribución OyA Detalle'!$D:$D,$A106,'Distribución OyA Detalle'!$A:$A,4)</f>
        <v>0</v>
      </c>
      <c r="G106" s="1463">
        <f t="shared" si="9"/>
        <v>10635000</v>
      </c>
      <c r="H106" s="383"/>
    </row>
    <row r="107" spans="1:8" ht="15.9" customHeight="1" x14ac:dyDescent="0.4">
      <c r="A107" s="842" t="s">
        <v>133</v>
      </c>
      <c r="B107" s="827" t="s">
        <v>439</v>
      </c>
      <c r="C107" s="1347">
        <f>SUMIFS('Distribución OyA Detalle'!$G:$G,'Distribución OyA Detalle'!$D:$D,$A107,'Distribución OyA Detalle'!$A:$A,1)</f>
        <v>250000</v>
      </c>
      <c r="D107" s="1347">
        <f>SUMIFS('Distribución OyA Detalle'!$G:$G,'Distribución OyA Detalle'!$D:$D,$A107,'Distribución OyA Detalle'!$A:$A,2)</f>
        <v>0</v>
      </c>
      <c r="E107" s="1347">
        <f>SUMIFS('Distribución OyA Detalle'!$G:$G,'Distribución OyA Detalle'!$D:$D,$A107,'Distribución OyA Detalle'!$A:$A,3)</f>
        <v>8810000</v>
      </c>
      <c r="F107" s="1347">
        <f>SUMIFS('Distribución OyA Detalle'!$G:$G,'Distribución OyA Detalle'!$D:$D,$A107,'Distribución OyA Detalle'!$A:$A,4)</f>
        <v>0</v>
      </c>
      <c r="G107" s="1463">
        <f t="shared" si="9"/>
        <v>9060000</v>
      </c>
      <c r="H107" s="383"/>
    </row>
    <row r="108" spans="1:8" ht="15.9" customHeight="1" x14ac:dyDescent="0.4">
      <c r="A108" s="846" t="s">
        <v>137</v>
      </c>
      <c r="B108" s="835" t="s">
        <v>452</v>
      </c>
      <c r="C108" s="1347">
        <f>SUMIFS('Distribución OyA Detalle'!$G:$G,'Distribución OyA Detalle'!$D:$D,$A108,'Distribución OyA Detalle'!$A:$A,1)</f>
        <v>36000000</v>
      </c>
      <c r="D108" s="1347">
        <f>SUMIFS('Distribución OyA Detalle'!$G:$G,'Distribución OyA Detalle'!$D:$D,$A108,'Distribución OyA Detalle'!$A:$A,2)</f>
        <v>0</v>
      </c>
      <c r="E108" s="1347">
        <f>SUMIFS('Distribución OyA Detalle'!$G:$G,'Distribución OyA Detalle'!$D:$D,$A108,'Distribución OyA Detalle'!$A:$A,3)</f>
        <v>0</v>
      </c>
      <c r="F108" s="1347">
        <f>SUMIFS('Distribución OyA Detalle'!$G:$G,'Distribución OyA Detalle'!$D:$D,$A108,'Distribución OyA Detalle'!$A:$A,4)</f>
        <v>0</v>
      </c>
      <c r="G108" s="1463">
        <f t="shared" si="9"/>
        <v>36000000</v>
      </c>
      <c r="H108" s="383"/>
    </row>
    <row r="109" spans="1:8" ht="15.9" customHeight="1" x14ac:dyDescent="0.4">
      <c r="A109" s="842" t="s">
        <v>397</v>
      </c>
      <c r="B109" s="827" t="s">
        <v>398</v>
      </c>
      <c r="C109" s="1347">
        <f>SUMIFS('Distribución OyA Detalle'!$G:$G,'Distribución OyA Detalle'!$D:$D,$A109,'Distribución OyA Detalle'!$A:$A,1)</f>
        <v>95680908</v>
      </c>
      <c r="D109" s="1347">
        <f>SUMIFS('Distribución OyA Detalle'!$G:$G,'Distribución OyA Detalle'!$D:$D,$A109,'Distribución OyA Detalle'!$A:$A,2)</f>
        <v>0</v>
      </c>
      <c r="E109" s="1347">
        <f>SUMIFS('Distribución OyA Detalle'!$G:$G,'Distribución OyA Detalle'!$D:$D,$A109,'Distribución OyA Detalle'!$A:$A,3)</f>
        <v>0</v>
      </c>
      <c r="F109" s="1347">
        <f>SUMIFS('Distribución OyA Detalle'!$G:$G,'Distribución OyA Detalle'!$D:$D,$A109,'Distribución OyA Detalle'!$A:$A,4)</f>
        <v>300000</v>
      </c>
      <c r="G109" s="1463">
        <f t="shared" si="9"/>
        <v>95980908</v>
      </c>
      <c r="H109" s="383"/>
    </row>
    <row r="110" spans="1:8" ht="9.9" customHeight="1" x14ac:dyDescent="0.4">
      <c r="A110" s="843"/>
      <c r="B110" s="831"/>
      <c r="C110" s="832"/>
      <c r="D110" s="832"/>
      <c r="E110" s="832"/>
      <c r="F110" s="832"/>
      <c r="G110" s="833"/>
      <c r="H110" s="383"/>
    </row>
    <row r="111" spans="1:8" ht="15.9" customHeight="1" x14ac:dyDescent="0.4">
      <c r="A111" s="821" t="s">
        <v>139</v>
      </c>
      <c r="B111" s="844" t="s">
        <v>140</v>
      </c>
      <c r="C111" s="823">
        <f>SUM(C113:C120)</f>
        <v>321774700</v>
      </c>
      <c r="D111" s="823">
        <f>SUM(D113:D120)</f>
        <v>62996400</v>
      </c>
      <c r="E111" s="823">
        <f>SUM(E113:E120)</f>
        <v>362240600</v>
      </c>
      <c r="F111" s="823">
        <f>SUM(F113:F120)</f>
        <v>82507300</v>
      </c>
      <c r="G111" s="824">
        <f>SUM(G113:G120)</f>
        <v>829519000</v>
      </c>
      <c r="H111" s="383"/>
    </row>
    <row r="112" spans="1:8" ht="9.9" customHeight="1" outlineLevel="1" x14ac:dyDescent="0.4">
      <c r="A112" s="825"/>
      <c r="B112" s="818"/>
      <c r="C112" s="819"/>
      <c r="D112" s="819"/>
      <c r="E112" s="819"/>
      <c r="F112" s="819"/>
      <c r="G112" s="820"/>
      <c r="H112" s="383"/>
    </row>
    <row r="113" spans="1:8" ht="15.9" customHeight="1" outlineLevel="1" x14ac:dyDescent="0.4">
      <c r="A113" s="862" t="s">
        <v>569</v>
      </c>
      <c r="B113" s="827" t="s">
        <v>570</v>
      </c>
      <c r="C113" s="1347">
        <f>SUMIFS('Distribución OyA Detalle'!$G:$G,'Distribución OyA Detalle'!$D:$D,$A113,'Distribución OyA Detalle'!$A:$A,1)</f>
        <v>0</v>
      </c>
      <c r="D113" s="1347">
        <f>SUMIFS('Distribución OyA Detalle'!$G:$G,'Distribución OyA Detalle'!$D:$D,$A113,'Distribución OyA Detalle'!$A:$A,2)</f>
        <v>0</v>
      </c>
      <c r="E113" s="1347">
        <f>SUMIFS('Distribución OyA Detalle'!$G:$G,'Distribución OyA Detalle'!$D:$D,$A113,'Distribución OyA Detalle'!$A:$A,3)</f>
        <v>100000</v>
      </c>
      <c r="F113" s="1347">
        <f>SUMIFS('Distribución OyA Detalle'!$G:$G,'Distribución OyA Detalle'!$D:$D,$A113,'Distribución OyA Detalle'!$A:$A,4)</f>
        <v>0</v>
      </c>
      <c r="G113" s="1463">
        <f t="shared" ref="G113:G120" si="10">+C113+D113+E113+F113</f>
        <v>100000</v>
      </c>
      <c r="H113" s="383"/>
    </row>
    <row r="114" spans="1:8" ht="15.9" customHeight="1" x14ac:dyDescent="0.4">
      <c r="A114" s="862" t="s">
        <v>399</v>
      </c>
      <c r="B114" s="827" t="s">
        <v>400</v>
      </c>
      <c r="C114" s="1347">
        <f>SUMIFS('Distribución OyA Detalle'!$G:$G,'Distribución OyA Detalle'!$D:$D,$A114,'Distribución OyA Detalle'!$A:$A,1)</f>
        <v>12500000</v>
      </c>
      <c r="D114" s="1347">
        <f>SUMIFS('Distribución OyA Detalle'!$G:$G,'Distribución OyA Detalle'!$D:$D,$A114,'Distribución OyA Detalle'!$A:$A,2)</f>
        <v>0</v>
      </c>
      <c r="E114" s="1347">
        <f>SUMIFS('Distribución OyA Detalle'!$G:$G,'Distribución OyA Detalle'!$D:$D,$A114,'Distribución OyA Detalle'!$A:$A,3)</f>
        <v>0</v>
      </c>
      <c r="F114" s="1347">
        <f>SUMIFS('Distribución OyA Detalle'!$G:$G,'Distribución OyA Detalle'!$D:$D,$A114,'Distribución OyA Detalle'!$A:$A,4)</f>
        <v>0</v>
      </c>
      <c r="G114" s="1463">
        <f t="shared" si="10"/>
        <v>12500000</v>
      </c>
      <c r="H114" s="383"/>
    </row>
    <row r="115" spans="1:8" ht="15.9" hidden="1" customHeight="1" x14ac:dyDescent="0.4">
      <c r="A115" s="862"/>
      <c r="B115" s="827"/>
      <c r="C115" s="1347">
        <f>SUMIFS('Distribución OyA Detalle'!$G:$G,'Distribución OyA Detalle'!$D:$D,$A115,'Distribución OyA Detalle'!$A:$A,1)</f>
        <v>0</v>
      </c>
      <c r="D115" s="1347">
        <f>SUMIFS('Distribución OyA Detalle'!$G:$G,'Distribución OyA Detalle'!$D:$D,$A115,'Distribución OyA Detalle'!$A:$A,2)</f>
        <v>0</v>
      </c>
      <c r="E115" s="1347">
        <f>SUMIFS('Distribución OyA Detalle'!$G:$G,'Distribución OyA Detalle'!$D:$D,$A115,'Distribución OyA Detalle'!$A:$A,3)</f>
        <v>0</v>
      </c>
      <c r="F115" s="1347">
        <f>SUMIFS('Distribución OyA Detalle'!$G:$G,'Distribución OyA Detalle'!$D:$D,$A115,'Distribución OyA Detalle'!$A:$A,4)</f>
        <v>0</v>
      </c>
      <c r="G115" s="1463">
        <f t="shared" si="10"/>
        <v>0</v>
      </c>
      <c r="H115" s="383"/>
    </row>
    <row r="116" spans="1:8" ht="15.9" hidden="1" customHeight="1" x14ac:dyDescent="0.4">
      <c r="A116" s="862" t="s">
        <v>343</v>
      </c>
      <c r="B116" s="827" t="s">
        <v>401</v>
      </c>
      <c r="C116" s="1347">
        <f>SUMIFS('Distribución OyA Detalle'!$G:$G,'Distribución OyA Detalle'!$D:$D,$A116,'Distribución OyA Detalle'!$A:$A,1)</f>
        <v>0</v>
      </c>
      <c r="D116" s="1347">
        <f>SUMIFS('Distribución OyA Detalle'!$G:$G,'Distribución OyA Detalle'!$D:$D,$A116,'Distribución OyA Detalle'!$A:$A,2)</f>
        <v>0</v>
      </c>
      <c r="E116" s="1347">
        <f>SUMIFS('Distribución OyA Detalle'!$G:$G,'Distribución OyA Detalle'!$D:$D,$A116,'Distribución OyA Detalle'!$A:$A,3)</f>
        <v>0</v>
      </c>
      <c r="F116" s="1347">
        <f>SUMIFS('Distribución OyA Detalle'!$G:$G,'Distribución OyA Detalle'!$D:$D,$A116,'Distribución OyA Detalle'!$A:$A,4)</f>
        <v>0</v>
      </c>
      <c r="G116" s="1463">
        <f t="shared" si="10"/>
        <v>0</v>
      </c>
      <c r="H116" s="383"/>
    </row>
    <row r="117" spans="1:8" ht="15.9" customHeight="1" x14ac:dyDescent="0.4">
      <c r="A117" s="862" t="s">
        <v>141</v>
      </c>
      <c r="B117" s="827" t="s">
        <v>142</v>
      </c>
      <c r="C117" s="1347">
        <f>SUMIFS('Distribución OyA Detalle'!$G:$G,'Distribución OyA Detalle'!$D:$D,$A117,'Distribución OyA Detalle'!$A:$A,1)</f>
        <v>43000000</v>
      </c>
      <c r="D117" s="1347">
        <f>SUMIFS('Distribución OyA Detalle'!$G:$G,'Distribución OyA Detalle'!$D:$D,$A117,'Distribución OyA Detalle'!$A:$A,2)</f>
        <v>0</v>
      </c>
      <c r="E117" s="1347">
        <f>SUMIFS('Distribución OyA Detalle'!$G:$G,'Distribución OyA Detalle'!$D:$D,$A117,'Distribución OyA Detalle'!$A:$A,3)</f>
        <v>61000000</v>
      </c>
      <c r="F117" s="1347">
        <f>SUMIFS('Distribución OyA Detalle'!$G:$G,'Distribución OyA Detalle'!$D:$D,$A117,'Distribución OyA Detalle'!$A:$A,4)</f>
        <v>0</v>
      </c>
      <c r="G117" s="1463">
        <f t="shared" si="10"/>
        <v>104000000</v>
      </c>
      <c r="H117" s="383"/>
    </row>
    <row r="118" spans="1:8" ht="15.9" hidden="1" customHeight="1" x14ac:dyDescent="0.4">
      <c r="A118" s="862" t="s">
        <v>143</v>
      </c>
      <c r="B118" s="827" t="s">
        <v>144</v>
      </c>
      <c r="C118" s="1347">
        <f>SUMIFS('Distribución OyA Detalle'!$G:$G,'Distribución OyA Detalle'!$D:$D,$A118,'Distribución OyA Detalle'!$A:$A,1)</f>
        <v>0</v>
      </c>
      <c r="D118" s="1347">
        <f>SUMIFS('Distribución OyA Detalle'!$G:$G,'Distribución OyA Detalle'!$D:$D,$A118,'Distribución OyA Detalle'!$A:$A,2)</f>
        <v>0</v>
      </c>
      <c r="E118" s="1347">
        <f>SUMIFS('Distribución OyA Detalle'!$G:$G,'Distribución OyA Detalle'!$D:$D,$A118,'Distribución OyA Detalle'!$A:$A,3)</f>
        <v>0</v>
      </c>
      <c r="F118" s="1347">
        <f>SUMIFS('Distribución OyA Detalle'!$G:$G,'Distribución OyA Detalle'!$D:$D,$A118,'Distribución OyA Detalle'!$A:$A,4)</f>
        <v>0</v>
      </c>
      <c r="G118" s="1463">
        <f t="shared" si="10"/>
        <v>0</v>
      </c>
      <c r="H118" s="383"/>
    </row>
    <row r="119" spans="1:8" ht="15.9" customHeight="1" x14ac:dyDescent="0.4">
      <c r="A119" s="863" t="s">
        <v>145</v>
      </c>
      <c r="B119" s="835" t="s">
        <v>146</v>
      </c>
      <c r="C119" s="1347">
        <f>SUMIFS('Distribución OyA Detalle'!$G:$G,'Distribución OyA Detalle'!$D:$D,$A119,'Distribución OyA Detalle'!$A:$A,1)</f>
        <v>34074700</v>
      </c>
      <c r="D119" s="1347">
        <f>SUMIFS('Distribución OyA Detalle'!$G:$G,'Distribución OyA Detalle'!$D:$D,$A119,'Distribución OyA Detalle'!$A:$A,2)</f>
        <v>2196400</v>
      </c>
      <c r="E119" s="1347">
        <f>SUMIFS('Distribución OyA Detalle'!$G:$G,'Distribución OyA Detalle'!$D:$D,$A119,'Distribución OyA Detalle'!$A:$A,3)</f>
        <v>41140600</v>
      </c>
      <c r="F119" s="1347">
        <f>SUMIFS('Distribución OyA Detalle'!$G:$G,'Distribución OyA Detalle'!$D:$D,$A119,'Distribución OyA Detalle'!$A:$A,4)</f>
        <v>10407300</v>
      </c>
      <c r="G119" s="1463">
        <f t="shared" si="10"/>
        <v>87819000</v>
      </c>
      <c r="H119" s="383"/>
    </row>
    <row r="120" spans="1:8" ht="15.9" customHeight="1" x14ac:dyDescent="0.4">
      <c r="A120" s="863" t="s">
        <v>147</v>
      </c>
      <c r="B120" s="835" t="s">
        <v>148</v>
      </c>
      <c r="C120" s="1347">
        <f>SUMIFS('Distribución OyA Detalle'!$G:$G,'Distribución OyA Detalle'!$D:$D,$A120,'Distribución OyA Detalle'!$A:$A,1)</f>
        <v>232200000</v>
      </c>
      <c r="D120" s="1347">
        <f>SUMIFS('Distribución OyA Detalle'!$G:$G,'Distribución OyA Detalle'!$D:$D,$A120,'Distribución OyA Detalle'!$A:$A,2)</f>
        <v>60800000</v>
      </c>
      <c r="E120" s="1347">
        <f>SUMIFS('Distribución OyA Detalle'!$G:$G,'Distribución OyA Detalle'!$D:$D,$A120,'Distribución OyA Detalle'!$A:$A,3)</f>
        <v>260000000</v>
      </c>
      <c r="F120" s="1347">
        <f>SUMIFS('Distribución OyA Detalle'!$G:$G,'Distribución OyA Detalle'!$D:$D,$A120,'Distribución OyA Detalle'!$A:$A,4)</f>
        <v>72100000</v>
      </c>
      <c r="G120" s="1463">
        <f t="shared" si="10"/>
        <v>625100000</v>
      </c>
      <c r="H120" s="383"/>
    </row>
    <row r="121" spans="1:8" ht="9.9" customHeight="1" x14ac:dyDescent="0.4">
      <c r="A121" s="843"/>
      <c r="B121" s="831"/>
      <c r="C121" s="832"/>
      <c r="D121" s="832"/>
      <c r="E121" s="832"/>
      <c r="F121" s="832"/>
      <c r="G121" s="833"/>
      <c r="H121" s="383"/>
    </row>
    <row r="122" spans="1:8" ht="15.9" customHeight="1" x14ac:dyDescent="0.4">
      <c r="A122" s="821" t="s">
        <v>149</v>
      </c>
      <c r="B122" s="844" t="s">
        <v>150</v>
      </c>
      <c r="C122" s="823">
        <f>SUM(C124:C127)</f>
        <v>25883600</v>
      </c>
      <c r="D122" s="719">
        <f>SUM(D124:D127)</f>
        <v>3450000</v>
      </c>
      <c r="E122" s="719">
        <f>SUM(E124:E127)</f>
        <v>735164700</v>
      </c>
      <c r="F122" s="719">
        <f>SUM(F124:F127)</f>
        <v>150000</v>
      </c>
      <c r="G122" s="824">
        <f>SUM(G124:G127)</f>
        <v>764648300</v>
      </c>
      <c r="H122" s="383"/>
    </row>
    <row r="123" spans="1:8" ht="9.9" customHeight="1" x14ac:dyDescent="0.4">
      <c r="A123" s="825"/>
      <c r="B123" s="818"/>
      <c r="C123" s="819"/>
      <c r="D123" s="819"/>
      <c r="E123" s="819"/>
      <c r="F123" s="819"/>
      <c r="G123" s="820"/>
      <c r="H123" s="383"/>
    </row>
    <row r="124" spans="1:8" ht="15.9" customHeight="1" x14ac:dyDescent="0.4">
      <c r="A124" s="842" t="s">
        <v>151</v>
      </c>
      <c r="B124" s="827" t="s">
        <v>152</v>
      </c>
      <c r="C124" s="1347">
        <f>SUMIFS('Distribución OyA Detalle'!$G:$G,'Distribución OyA Detalle'!$D:$D,$A124,'Distribución OyA Detalle'!$A:$A,1)</f>
        <v>830000</v>
      </c>
      <c r="D124" s="1347">
        <f>SUMIFS('Distribución OyA Detalle'!$G:$G,'Distribución OyA Detalle'!$D:$D,$A124,'Distribución OyA Detalle'!$A:$A,2)</f>
        <v>0</v>
      </c>
      <c r="E124" s="1347">
        <f>SUMIFS('Distribución OyA Detalle'!$G:$G,'Distribución OyA Detalle'!$D:$D,$A124,'Distribución OyA Detalle'!$A:$A,3)</f>
        <v>13547500</v>
      </c>
      <c r="F124" s="1347">
        <f>SUMIFS('Distribución OyA Detalle'!$G:$G,'Distribución OyA Detalle'!$D:$D,$A124,'Distribución OyA Detalle'!$A:$A,4)</f>
        <v>0</v>
      </c>
      <c r="G124" s="1463">
        <f t="shared" ref="G124:G127" si="11">+C124+D124+E124+F124</f>
        <v>14377500</v>
      </c>
      <c r="H124" s="383"/>
    </row>
    <row r="125" spans="1:8" ht="15.9" customHeight="1" x14ac:dyDescent="0.4">
      <c r="A125" s="842" t="s">
        <v>153</v>
      </c>
      <c r="B125" s="827" t="s">
        <v>453</v>
      </c>
      <c r="C125" s="1347">
        <f>SUMIFS('Distribución OyA Detalle'!$G:$G,'Distribución OyA Detalle'!$D:$D,$A125,'Distribución OyA Detalle'!$A:$A,1)</f>
        <v>3353600</v>
      </c>
      <c r="D125" s="1347">
        <f>SUMIFS('Distribución OyA Detalle'!$G:$G,'Distribución OyA Detalle'!$D:$D,$A125,'Distribución OyA Detalle'!$A:$A,2)</f>
        <v>0</v>
      </c>
      <c r="E125" s="1347">
        <f>SUMIFS('Distribución OyA Detalle'!$G:$G,'Distribución OyA Detalle'!$D:$D,$A125,'Distribución OyA Detalle'!$A:$A,3)</f>
        <v>704437200</v>
      </c>
      <c r="F125" s="1347">
        <f>SUMIFS('Distribución OyA Detalle'!$G:$G,'Distribución OyA Detalle'!$D:$D,$A125,'Distribución OyA Detalle'!$A:$A,4)</f>
        <v>150000</v>
      </c>
      <c r="G125" s="1463">
        <f t="shared" si="11"/>
        <v>707940800</v>
      </c>
      <c r="H125" s="383"/>
    </row>
    <row r="126" spans="1:8" ht="15.9" customHeight="1" x14ac:dyDescent="0.4">
      <c r="A126" s="842" t="s">
        <v>155</v>
      </c>
      <c r="B126" s="827" t="s">
        <v>156</v>
      </c>
      <c r="C126" s="1347">
        <f>SUMIFS('Distribución OyA Detalle'!$G:$G,'Distribución OyA Detalle'!$D:$D,$A126,'Distribución OyA Detalle'!$A:$A,1)</f>
        <v>10200000</v>
      </c>
      <c r="D126" s="1347">
        <f>SUMIFS('Distribución OyA Detalle'!$G:$G,'Distribución OyA Detalle'!$D:$D,$A126,'Distribución OyA Detalle'!$A:$A,2)</f>
        <v>1750000</v>
      </c>
      <c r="E126" s="1347">
        <f>SUMIFS('Distribución OyA Detalle'!$G:$G,'Distribución OyA Detalle'!$D:$D,$A126,'Distribución OyA Detalle'!$A:$A,3)</f>
        <v>4800000</v>
      </c>
      <c r="F126" s="1347">
        <f>SUMIFS('Distribución OyA Detalle'!$G:$G,'Distribución OyA Detalle'!$D:$D,$A126,'Distribución OyA Detalle'!$A:$A,4)</f>
        <v>0</v>
      </c>
      <c r="G126" s="1463">
        <f t="shared" si="11"/>
        <v>16750000</v>
      </c>
      <c r="H126" s="383"/>
    </row>
    <row r="127" spans="1:8" ht="15.9" customHeight="1" x14ac:dyDescent="0.4">
      <c r="A127" s="842" t="s">
        <v>157</v>
      </c>
      <c r="B127" s="827" t="s">
        <v>454</v>
      </c>
      <c r="C127" s="1347">
        <f>SUMIFS('Distribución OyA Detalle'!$G:$G,'Distribución OyA Detalle'!$D:$D,$A127,'Distribución OyA Detalle'!$A:$A,1)</f>
        <v>11500000</v>
      </c>
      <c r="D127" s="1347">
        <f>SUMIFS('Distribución OyA Detalle'!$G:$G,'Distribución OyA Detalle'!$D:$D,$A127,'Distribución OyA Detalle'!$A:$A,2)</f>
        <v>1700000</v>
      </c>
      <c r="E127" s="1347">
        <f>SUMIFS('Distribución OyA Detalle'!$G:$G,'Distribución OyA Detalle'!$D:$D,$A127,'Distribución OyA Detalle'!$A:$A,3)</f>
        <v>12380000</v>
      </c>
      <c r="F127" s="1347">
        <f>SUMIFS('Distribución OyA Detalle'!$G:$G,'Distribución OyA Detalle'!$D:$D,$A127,'Distribución OyA Detalle'!$A:$A,4)</f>
        <v>0</v>
      </c>
      <c r="G127" s="1463">
        <f t="shared" si="11"/>
        <v>25580000</v>
      </c>
      <c r="H127" s="383"/>
    </row>
    <row r="128" spans="1:8" ht="9.9" customHeight="1" x14ac:dyDescent="0.4">
      <c r="A128" s="843"/>
      <c r="B128" s="831"/>
      <c r="C128" s="832"/>
      <c r="D128" s="832"/>
      <c r="E128" s="832"/>
      <c r="F128" s="832"/>
      <c r="G128" s="833"/>
      <c r="H128" s="383"/>
    </row>
    <row r="129" spans="1:8" ht="15.9" customHeight="1" x14ac:dyDescent="0.4">
      <c r="A129" s="821" t="s">
        <v>159</v>
      </c>
      <c r="B129" s="844" t="s">
        <v>275</v>
      </c>
      <c r="C129" s="823">
        <f>SUM(C131)</f>
        <v>20951900</v>
      </c>
      <c r="D129" s="719">
        <f>SUM(D131)</f>
        <v>2500400</v>
      </c>
      <c r="E129" s="719">
        <f>SUM(E131)</f>
        <v>78656600</v>
      </c>
      <c r="F129" s="719">
        <f>SUM(F131)</f>
        <v>1998000</v>
      </c>
      <c r="G129" s="824">
        <f>SUM(G131)</f>
        <v>104106900</v>
      </c>
      <c r="H129" s="383"/>
    </row>
    <row r="130" spans="1:8" ht="9.9" customHeight="1" x14ac:dyDescent="0.4">
      <c r="A130" s="825"/>
      <c r="B130" s="818"/>
      <c r="C130" s="819"/>
      <c r="D130" s="819"/>
      <c r="E130" s="819"/>
      <c r="F130" s="819"/>
      <c r="G130" s="820"/>
      <c r="H130" s="383"/>
    </row>
    <row r="131" spans="1:8" ht="15.9" customHeight="1" x14ac:dyDescent="0.4">
      <c r="A131" s="846" t="s">
        <v>160</v>
      </c>
      <c r="B131" s="835" t="s">
        <v>161</v>
      </c>
      <c r="C131" s="1347">
        <f>SUMIFS('Distribución OyA Detalle'!$G:$G,'Distribución OyA Detalle'!$D:$D,$A131,'Distribución OyA Detalle'!$A:$A,1)</f>
        <v>20951900</v>
      </c>
      <c r="D131" s="1347">
        <f>SUMIFS('Distribución OyA Detalle'!$G:$G,'Distribución OyA Detalle'!$D:$D,$A131,'Distribución OyA Detalle'!$A:$A,2)</f>
        <v>2500400</v>
      </c>
      <c r="E131" s="1347">
        <f>SUMIFS('Distribución OyA Detalle'!$G:$G,'Distribución OyA Detalle'!$D:$D,$A131,'Distribución OyA Detalle'!$A:$A,3)</f>
        <v>78656600</v>
      </c>
      <c r="F131" s="1347">
        <f>SUMIFS('Distribución OyA Detalle'!$G:$G,'Distribución OyA Detalle'!$D:$D,$A131,'Distribución OyA Detalle'!$A:$A,4)</f>
        <v>1998000</v>
      </c>
      <c r="G131" s="1463">
        <f>+C131+D131+E131+F131</f>
        <v>104106900</v>
      </c>
      <c r="H131" s="383"/>
    </row>
    <row r="132" spans="1:8" ht="9.9" customHeight="1" x14ac:dyDescent="0.4">
      <c r="A132" s="860"/>
      <c r="B132" s="837"/>
      <c r="C132" s="838"/>
      <c r="D132" s="838"/>
      <c r="E132" s="838"/>
      <c r="F132" s="838"/>
      <c r="G132" s="839"/>
      <c r="H132" s="383"/>
    </row>
    <row r="133" spans="1:8" ht="15.9" customHeight="1" x14ac:dyDescent="0.4">
      <c r="A133" s="821" t="s">
        <v>162</v>
      </c>
      <c r="B133" s="844" t="s">
        <v>163</v>
      </c>
      <c r="C133" s="823">
        <f>SUM(C135:C137)</f>
        <v>81950000</v>
      </c>
      <c r="D133" s="719">
        <f>SUM(D135:D137)</f>
        <v>1000000</v>
      </c>
      <c r="E133" s="719">
        <f>SUM(E135:E137)</f>
        <v>23170000</v>
      </c>
      <c r="F133" s="719">
        <f>SUM(F135:F137)</f>
        <v>0</v>
      </c>
      <c r="G133" s="824">
        <f>SUM(G135:G137)</f>
        <v>106120000</v>
      </c>
      <c r="H133" s="383"/>
    </row>
    <row r="134" spans="1:8" ht="9.9" customHeight="1" x14ac:dyDescent="0.4">
      <c r="A134" s="825"/>
      <c r="B134" s="818"/>
      <c r="C134" s="819"/>
      <c r="D134" s="819"/>
      <c r="E134" s="819"/>
      <c r="F134" s="819"/>
      <c r="G134" s="820"/>
      <c r="H134" s="383"/>
    </row>
    <row r="135" spans="1:8" ht="15.9" customHeight="1" x14ac:dyDescent="0.4">
      <c r="A135" s="842" t="s">
        <v>164</v>
      </c>
      <c r="B135" s="827" t="s">
        <v>165</v>
      </c>
      <c r="C135" s="1347">
        <f>SUMIFS('Distribución OyA Detalle'!$G:$G,'Distribución OyA Detalle'!$D:$D,$A135,'Distribución OyA Detalle'!$A:$A,1)</f>
        <v>81800000</v>
      </c>
      <c r="D135" s="1347">
        <f>SUMIFS('Distribución OyA Detalle'!$G:$G,'Distribución OyA Detalle'!$D:$D,$A135,'Distribución OyA Detalle'!$A:$A,2)</f>
        <v>1000000</v>
      </c>
      <c r="E135" s="1347">
        <f>SUMIFS('Distribución OyA Detalle'!$G:$G,'Distribución OyA Detalle'!$D:$D,$A135,'Distribución OyA Detalle'!$A:$A,3)</f>
        <v>23170000</v>
      </c>
      <c r="F135" s="1347">
        <f>SUMIFS('Distribución OyA Detalle'!$G:$G,'Distribución OyA Detalle'!$D:$D,$A135,'Distribución OyA Detalle'!$A:$A,4)</f>
        <v>0</v>
      </c>
      <c r="G135" s="1463">
        <f t="shared" ref="G135:G137" si="12">+C135+D135+E135+F135</f>
        <v>105970000</v>
      </c>
      <c r="H135" s="383"/>
    </row>
    <row r="136" spans="1:8" ht="15.9" hidden="1" customHeight="1" x14ac:dyDescent="0.4">
      <c r="A136" s="842" t="s">
        <v>166</v>
      </c>
      <c r="B136" s="827" t="s">
        <v>167</v>
      </c>
      <c r="C136" s="1347">
        <f>SUMIFS('Distribución OyA Detalle'!$G:$G,'Distribución OyA Detalle'!$D:$D,$A136,'Distribución OyA Detalle'!$A:$A,1)</f>
        <v>0</v>
      </c>
      <c r="D136" s="1347">
        <f>SUMIFS('Distribución OyA Detalle'!$G:$G,'Distribución OyA Detalle'!$D:$D,$A136,'Distribución OyA Detalle'!$A:$A,2)</f>
        <v>0</v>
      </c>
      <c r="E136" s="1347">
        <f>SUMIFS('Distribución OyA Detalle'!$G:$G,'Distribución OyA Detalle'!$D:$D,$A136,'Distribución OyA Detalle'!$A:$A,3)</f>
        <v>0</v>
      </c>
      <c r="F136" s="1347">
        <f>SUMIFS('Distribución OyA Detalle'!$G:$G,'Distribución OyA Detalle'!$D:$D,$A136,'Distribución OyA Detalle'!$A:$A,4)</f>
        <v>0</v>
      </c>
      <c r="G136" s="1463">
        <f t="shared" si="12"/>
        <v>0</v>
      </c>
      <c r="H136" s="383"/>
    </row>
    <row r="137" spans="1:8" ht="15.9" customHeight="1" x14ac:dyDescent="0.4">
      <c r="A137" s="846" t="s">
        <v>168</v>
      </c>
      <c r="B137" s="835" t="s">
        <v>169</v>
      </c>
      <c r="C137" s="1347">
        <f>SUMIFS('Distribución OyA Detalle'!$G:$G,'Distribución OyA Detalle'!$D:$D,$A137,'Distribución OyA Detalle'!$A:$A,1)</f>
        <v>150000</v>
      </c>
      <c r="D137" s="1347">
        <f>SUMIFS('Distribución OyA Detalle'!$G:$G,'Distribución OyA Detalle'!$D:$D,$A137,'Distribución OyA Detalle'!$A:$A,2)</f>
        <v>0</v>
      </c>
      <c r="E137" s="1347">
        <f>SUMIFS('Distribución OyA Detalle'!$G:$G,'Distribución OyA Detalle'!$D:$D,$A137,'Distribución OyA Detalle'!$A:$A,3)</f>
        <v>0</v>
      </c>
      <c r="F137" s="1347">
        <f>SUMIFS('Distribución OyA Detalle'!$G:$G,'Distribución OyA Detalle'!$D:$D,$A137,'Distribución OyA Detalle'!$A:$A,4)</f>
        <v>0</v>
      </c>
      <c r="G137" s="1463">
        <f t="shared" si="12"/>
        <v>150000</v>
      </c>
      <c r="H137" s="383"/>
    </row>
    <row r="138" spans="1:8" ht="9.9" customHeight="1" x14ac:dyDescent="0.4">
      <c r="A138" s="860"/>
      <c r="B138" s="837"/>
      <c r="C138" s="838"/>
      <c r="D138" s="838"/>
      <c r="E138" s="838"/>
      <c r="F138" s="838"/>
      <c r="G138" s="839"/>
      <c r="H138" s="383"/>
    </row>
    <row r="139" spans="1:8" ht="15.9" customHeight="1" x14ac:dyDescent="0.4">
      <c r="A139" s="821" t="s">
        <v>170</v>
      </c>
      <c r="B139" s="844" t="s">
        <v>171</v>
      </c>
      <c r="C139" s="823">
        <f>SUM(C141:C148)</f>
        <v>91040000</v>
      </c>
      <c r="D139" s="719">
        <f>SUM(D141:D148)</f>
        <v>0</v>
      </c>
      <c r="E139" s="719">
        <f>SUM(E141:E148)</f>
        <v>72860000</v>
      </c>
      <c r="F139" s="719">
        <f>SUM(F141:F148)</f>
        <v>0</v>
      </c>
      <c r="G139" s="824">
        <f>SUM(G141:G148)</f>
        <v>163900000</v>
      </c>
      <c r="H139" s="383"/>
    </row>
    <row r="140" spans="1:8" ht="9.9" customHeight="1" x14ac:dyDescent="0.4">
      <c r="A140" s="825"/>
      <c r="B140" s="818"/>
      <c r="C140" s="819"/>
      <c r="D140" s="819"/>
      <c r="E140" s="819"/>
      <c r="F140" s="819"/>
      <c r="G140" s="820"/>
      <c r="H140" s="383"/>
    </row>
    <row r="141" spans="1:8" ht="15.9" customHeight="1" outlineLevel="1" x14ac:dyDescent="0.4">
      <c r="A141" s="842" t="s">
        <v>172</v>
      </c>
      <c r="B141" s="827" t="s">
        <v>661</v>
      </c>
      <c r="C141" s="1347">
        <f>SUMIFS('Distribución OyA Detalle'!$G:$G,'Distribución OyA Detalle'!$D:$D,$A141,'Distribución OyA Detalle'!$A:$A,1)</f>
        <v>500000</v>
      </c>
      <c r="D141" s="1347">
        <f>SUMIFS('Distribución OyA Detalle'!$G:$G,'Distribución OyA Detalle'!$D:$D,$A141,'Distribución OyA Detalle'!$A:$A,2)</f>
        <v>0</v>
      </c>
      <c r="E141" s="1347">
        <f>SUMIFS('Distribución OyA Detalle'!$G:$G,'Distribución OyA Detalle'!$D:$D,$A141,'Distribución OyA Detalle'!$A:$A,3)</f>
        <v>0</v>
      </c>
      <c r="F141" s="1347">
        <f>SUMIFS('Distribución OyA Detalle'!$G:$G,'Distribución OyA Detalle'!$D:$D,$A141,'Distribución OyA Detalle'!$A:$A,4)</f>
        <v>0</v>
      </c>
      <c r="G141" s="1463">
        <f t="shared" ref="G141:G148" si="13">+C141+D141+E141+F141</f>
        <v>500000</v>
      </c>
      <c r="H141" s="383"/>
    </row>
    <row r="142" spans="1:8" ht="15.9" hidden="1" customHeight="1" x14ac:dyDescent="0.4">
      <c r="A142" s="842" t="s">
        <v>174</v>
      </c>
      <c r="B142" s="827" t="s">
        <v>175</v>
      </c>
      <c r="C142" s="1347">
        <f>SUMIFS('Distribución OyA Detalle'!$G:$G,'Distribución OyA Detalle'!$D:$D,$A142,'Distribución OyA Detalle'!$A:$A,1)</f>
        <v>0</v>
      </c>
      <c r="D142" s="1347">
        <f>SUMIFS('Distribución OyA Detalle'!$G:$G,'Distribución OyA Detalle'!$D:$D,$A142,'Distribución OyA Detalle'!$A:$A,2)</f>
        <v>0</v>
      </c>
      <c r="E142" s="1347">
        <f>SUMIFS('Distribución OyA Detalle'!$G:$G,'Distribución OyA Detalle'!$D:$D,$A142,'Distribución OyA Detalle'!$A:$A,3)</f>
        <v>0</v>
      </c>
      <c r="F142" s="1347">
        <f>SUMIFS('Distribución OyA Detalle'!$G:$G,'Distribución OyA Detalle'!$D:$D,$A142,'Distribución OyA Detalle'!$A:$A,4)</f>
        <v>0</v>
      </c>
      <c r="G142" s="1463">
        <f t="shared" si="13"/>
        <v>0</v>
      </c>
      <c r="H142" s="383"/>
    </row>
    <row r="143" spans="1:8" ht="15.9" hidden="1" customHeight="1" x14ac:dyDescent="0.4">
      <c r="A143" s="842" t="s">
        <v>402</v>
      </c>
      <c r="B143" s="827" t="s">
        <v>455</v>
      </c>
      <c r="C143" s="1347">
        <f>SUMIFS('Distribución OyA Detalle'!$G:$G,'Distribución OyA Detalle'!$D:$D,$A143,'Distribución OyA Detalle'!$A:$A,1)</f>
        <v>0</v>
      </c>
      <c r="D143" s="1347">
        <f>SUMIFS('Distribución OyA Detalle'!$G:$G,'Distribución OyA Detalle'!$D:$D,$A143,'Distribución OyA Detalle'!$A:$A,2)</f>
        <v>0</v>
      </c>
      <c r="E143" s="1347">
        <f>SUMIFS('Distribución OyA Detalle'!$G:$G,'Distribución OyA Detalle'!$D:$D,$A143,'Distribución OyA Detalle'!$A:$A,3)</f>
        <v>0</v>
      </c>
      <c r="F143" s="1347">
        <f>SUMIFS('Distribución OyA Detalle'!$G:$G,'Distribución OyA Detalle'!$D:$D,$A143,'Distribución OyA Detalle'!$A:$A,4)</f>
        <v>0</v>
      </c>
      <c r="G143" s="1463">
        <f t="shared" si="13"/>
        <v>0</v>
      </c>
      <c r="H143" s="383"/>
    </row>
    <row r="144" spans="1:8" ht="15.9" customHeight="1" x14ac:dyDescent="0.4">
      <c r="A144" s="842" t="s">
        <v>176</v>
      </c>
      <c r="B144" s="827" t="s">
        <v>1210</v>
      </c>
      <c r="C144" s="1347">
        <f>SUMIFS('Distribución OyA Detalle'!$G:$G,'Distribución OyA Detalle'!$D:$D,$A144,'Distribución OyA Detalle'!$A:$A,1)</f>
        <v>1340000</v>
      </c>
      <c r="D144" s="1347">
        <f>SUMIFS('Distribución OyA Detalle'!$G:$G,'Distribución OyA Detalle'!$D:$D,$A144,'Distribución OyA Detalle'!$A:$A,2)</f>
        <v>0</v>
      </c>
      <c r="E144" s="1347">
        <f>SUMIFS('Distribución OyA Detalle'!$G:$G,'Distribución OyA Detalle'!$D:$D,$A144,'Distribución OyA Detalle'!$A:$A,3)</f>
        <v>72860000</v>
      </c>
      <c r="F144" s="1347">
        <f>SUMIFS('Distribución OyA Detalle'!$G:$G,'Distribución OyA Detalle'!$D:$D,$A144,'Distribución OyA Detalle'!$A:$A,4)</f>
        <v>0</v>
      </c>
      <c r="G144" s="1463">
        <f t="shared" si="13"/>
        <v>74200000</v>
      </c>
      <c r="H144" s="383"/>
    </row>
    <row r="145" spans="1:8" ht="15.9" customHeight="1" x14ac:dyDescent="0.4">
      <c r="A145" s="842" t="s">
        <v>178</v>
      </c>
      <c r="B145" s="827" t="s">
        <v>1211</v>
      </c>
      <c r="C145" s="1347">
        <f>SUMIFS('Distribución OyA Detalle'!$G:$G,'Distribución OyA Detalle'!$D:$D,$A145,'Distribución OyA Detalle'!$A:$A,1)</f>
        <v>44100000</v>
      </c>
      <c r="D145" s="1347">
        <f>SUMIFS('Distribución OyA Detalle'!$G:$G,'Distribución OyA Detalle'!$D:$D,$A145,'Distribución OyA Detalle'!$A:$A,2)</f>
        <v>0</v>
      </c>
      <c r="E145" s="1347">
        <f>SUMIFS('Distribución OyA Detalle'!$G:$G,'Distribución OyA Detalle'!$D:$D,$A145,'Distribución OyA Detalle'!$A:$A,3)</f>
        <v>0</v>
      </c>
      <c r="F145" s="1347">
        <f>SUMIFS('Distribución OyA Detalle'!$G:$G,'Distribución OyA Detalle'!$D:$D,$A145,'Distribución OyA Detalle'!$A:$A,4)</f>
        <v>0</v>
      </c>
      <c r="G145" s="1463">
        <f t="shared" si="13"/>
        <v>44100000</v>
      </c>
      <c r="H145" s="383"/>
    </row>
    <row r="146" spans="1:8" ht="15.9" customHeight="1" x14ac:dyDescent="0.4">
      <c r="A146" s="842" t="s">
        <v>180</v>
      </c>
      <c r="B146" s="827" t="s">
        <v>1212</v>
      </c>
      <c r="C146" s="1347">
        <f>SUMIFS('Distribución OyA Detalle'!$G:$G,'Distribución OyA Detalle'!$D:$D,$A146,'Distribución OyA Detalle'!$A:$A,1)</f>
        <v>5800000</v>
      </c>
      <c r="D146" s="1347">
        <f>SUMIFS('Distribución OyA Detalle'!$G:$G,'Distribución OyA Detalle'!$D:$D,$A146,'Distribución OyA Detalle'!$A:$A,2)</f>
        <v>0</v>
      </c>
      <c r="E146" s="1347">
        <f>SUMIFS('Distribución OyA Detalle'!$G:$G,'Distribución OyA Detalle'!$D:$D,$A146,'Distribución OyA Detalle'!$A:$A,3)</f>
        <v>0</v>
      </c>
      <c r="F146" s="1347">
        <f>SUMIFS('Distribución OyA Detalle'!$G:$G,'Distribución OyA Detalle'!$D:$D,$A146,'Distribución OyA Detalle'!$A:$A,4)</f>
        <v>0</v>
      </c>
      <c r="G146" s="1463">
        <f t="shared" si="13"/>
        <v>5800000</v>
      </c>
      <c r="H146" s="383"/>
    </row>
    <row r="147" spans="1:8" ht="15.9" customHeight="1" x14ac:dyDescent="0.4">
      <c r="A147" s="842" t="s">
        <v>182</v>
      </c>
      <c r="B147" s="827" t="s">
        <v>1213</v>
      </c>
      <c r="C147" s="1347">
        <f>SUMIFS('Distribución OyA Detalle'!$G:$G,'Distribución OyA Detalle'!$D:$D,$A147,'Distribución OyA Detalle'!$A:$A,1)</f>
        <v>39000000</v>
      </c>
      <c r="D147" s="1347">
        <f>SUMIFS('Distribución OyA Detalle'!$G:$G,'Distribución OyA Detalle'!$D:$D,$A147,'Distribución OyA Detalle'!$A:$A,2)</f>
        <v>0</v>
      </c>
      <c r="E147" s="1347">
        <f>SUMIFS('Distribución OyA Detalle'!$G:$G,'Distribución OyA Detalle'!$D:$D,$A147,'Distribución OyA Detalle'!$A:$A,3)</f>
        <v>0</v>
      </c>
      <c r="F147" s="1347">
        <f>SUMIFS('Distribución OyA Detalle'!$G:$G,'Distribución OyA Detalle'!$D:$D,$A147,'Distribución OyA Detalle'!$A:$A,4)</f>
        <v>0</v>
      </c>
      <c r="G147" s="1463">
        <f t="shared" si="13"/>
        <v>39000000</v>
      </c>
      <c r="H147" s="383"/>
    </row>
    <row r="148" spans="1:8" ht="15.9" customHeight="1" x14ac:dyDescent="0.4">
      <c r="A148" s="842" t="s">
        <v>183</v>
      </c>
      <c r="B148" s="827" t="s">
        <v>1267</v>
      </c>
      <c r="C148" s="1347">
        <f>SUMIFS('Distribución OyA Detalle'!$G:$G,'Distribución OyA Detalle'!$D:$D,$A148,'Distribución OyA Detalle'!$A:$A,1)</f>
        <v>300000</v>
      </c>
      <c r="D148" s="1347">
        <f>SUMIFS('Distribución OyA Detalle'!$G:$G,'Distribución OyA Detalle'!$D:$D,$A148,'Distribución OyA Detalle'!$A:$A,2)</f>
        <v>0</v>
      </c>
      <c r="E148" s="1347">
        <f>SUMIFS('Distribución OyA Detalle'!$G:$G,'Distribución OyA Detalle'!$D:$D,$A148,'Distribución OyA Detalle'!$A:$A,3)</f>
        <v>0</v>
      </c>
      <c r="F148" s="1347">
        <f>SUMIFS('Distribución OyA Detalle'!$G:$G,'Distribución OyA Detalle'!$D:$D,$A148,'Distribución OyA Detalle'!$A:$A,4)</f>
        <v>0</v>
      </c>
      <c r="G148" s="1463">
        <f t="shared" si="13"/>
        <v>300000</v>
      </c>
      <c r="H148" s="383"/>
    </row>
    <row r="149" spans="1:8" ht="9.9" customHeight="1" x14ac:dyDescent="0.4">
      <c r="A149" s="843"/>
      <c r="B149" s="831"/>
      <c r="C149" s="832"/>
      <c r="D149" s="832"/>
      <c r="E149" s="832"/>
      <c r="F149" s="832"/>
      <c r="G149" s="833"/>
      <c r="H149" s="383"/>
    </row>
    <row r="150" spans="1:8" ht="15.9" customHeight="1" x14ac:dyDescent="0.4">
      <c r="A150" s="821" t="s">
        <v>404</v>
      </c>
      <c r="B150" s="844" t="s">
        <v>405</v>
      </c>
      <c r="C150" s="823">
        <f>SUM(C152)</f>
        <v>2160000</v>
      </c>
      <c r="D150" s="719">
        <f>SUM(D152)</f>
        <v>0</v>
      </c>
      <c r="E150" s="719">
        <f>SUM(E152)</f>
        <v>0</v>
      </c>
      <c r="F150" s="719">
        <f>SUM(F152)</f>
        <v>0</v>
      </c>
      <c r="G150" s="824">
        <f>SUM(G152)</f>
        <v>2160000</v>
      </c>
      <c r="H150" s="383"/>
    </row>
    <row r="151" spans="1:8" ht="9.9" customHeight="1" x14ac:dyDescent="0.4">
      <c r="A151" s="825"/>
      <c r="B151" s="818"/>
      <c r="C151" s="819"/>
      <c r="D151" s="819"/>
      <c r="E151" s="819"/>
      <c r="F151" s="819"/>
      <c r="G151" s="820"/>
      <c r="H151" s="383"/>
    </row>
    <row r="152" spans="1:8" ht="15.9" customHeight="1" x14ac:dyDescent="0.4">
      <c r="A152" s="846" t="s">
        <v>406</v>
      </c>
      <c r="B152" s="835" t="s">
        <v>407</v>
      </c>
      <c r="C152" s="1347">
        <f>SUMIFS('Distribución OyA Detalle'!$G:$G,'Distribución OyA Detalle'!$D:$D,$A152,'Distribución OyA Detalle'!$A:$A,1)</f>
        <v>2160000</v>
      </c>
      <c r="D152" s="1347">
        <f>SUMIFS('Distribución OyA Detalle'!$G:$G,'Distribución OyA Detalle'!$D:$D,$A152,'Distribución OyA Detalle'!$A:$A,2)</f>
        <v>0</v>
      </c>
      <c r="E152" s="1347">
        <f>SUMIFS('Distribución OyA Detalle'!$G:$G,'Distribución OyA Detalle'!$D:$D,$A152,'Distribución OyA Detalle'!$A:$A,3)</f>
        <v>0</v>
      </c>
      <c r="F152" s="1347">
        <f>SUMIFS('Distribución OyA Detalle'!$G:$G,'Distribución OyA Detalle'!$D:$D,$A152,'Distribución OyA Detalle'!$A:$A,4)</f>
        <v>0</v>
      </c>
      <c r="G152" s="1463">
        <f>+C152+D152+E152+F152</f>
        <v>2160000</v>
      </c>
      <c r="H152" s="383"/>
    </row>
    <row r="153" spans="1:8" ht="9.9" customHeight="1" x14ac:dyDescent="0.4">
      <c r="A153" s="860"/>
      <c r="B153" s="837"/>
      <c r="C153" s="838"/>
      <c r="D153" s="838"/>
      <c r="E153" s="838"/>
      <c r="F153" s="838"/>
      <c r="G153" s="839"/>
      <c r="H153" s="383"/>
    </row>
    <row r="154" spans="1:8" ht="15.9" customHeight="1" x14ac:dyDescent="0.4">
      <c r="A154" s="821" t="s">
        <v>185</v>
      </c>
      <c r="B154" s="844" t="s">
        <v>186</v>
      </c>
      <c r="C154" s="823">
        <f>SUM(C156:C158)</f>
        <v>4250000</v>
      </c>
      <c r="D154" s="719">
        <f>SUM(D156:D158)</f>
        <v>0</v>
      </c>
      <c r="E154" s="719">
        <f>SUM(E156:E158)</f>
        <v>0</v>
      </c>
      <c r="F154" s="719">
        <f>SUM(F156:F158)</f>
        <v>0</v>
      </c>
      <c r="G154" s="824">
        <f>SUM(G156:G158)</f>
        <v>4250000</v>
      </c>
      <c r="H154" s="383"/>
    </row>
    <row r="155" spans="1:8" ht="9.9" customHeight="1" outlineLevel="1" x14ac:dyDescent="0.4">
      <c r="A155" s="825"/>
      <c r="B155" s="818"/>
      <c r="C155" s="819"/>
      <c r="D155" s="819"/>
      <c r="E155" s="819"/>
      <c r="F155" s="819"/>
      <c r="G155" s="820"/>
      <c r="H155" s="383"/>
    </row>
    <row r="156" spans="1:8" ht="15.9" customHeight="1" x14ac:dyDescent="0.4">
      <c r="A156" s="846" t="s">
        <v>408</v>
      </c>
      <c r="B156" s="835" t="s">
        <v>409</v>
      </c>
      <c r="C156" s="1347">
        <f>SUMIFS('Distribución OyA Detalle'!$G:$G,'Distribución OyA Detalle'!$D:$D,$A156,'Distribución OyA Detalle'!$A:$A,1)</f>
        <v>500000</v>
      </c>
      <c r="D156" s="1347">
        <f>SUMIFS('Distribución OyA Detalle'!$G:$G,'Distribución OyA Detalle'!$D:$D,$A156,'Distribución OyA Detalle'!$A:$A,2)</f>
        <v>0</v>
      </c>
      <c r="E156" s="1347">
        <f>SUMIFS('Distribución OyA Detalle'!$G:$G,'Distribución OyA Detalle'!$D:$D,$A156,'Distribución OyA Detalle'!$A:$A,3)</f>
        <v>0</v>
      </c>
      <c r="F156" s="1347">
        <f>SUMIFS('Distribución OyA Detalle'!$G:$G,'Distribución OyA Detalle'!$D:$D,$A156,'Distribución OyA Detalle'!$A:$A,4)</f>
        <v>0</v>
      </c>
      <c r="G156" s="1463">
        <f t="shared" ref="G156:G158" si="14">+C156+D156+E156+F156</f>
        <v>500000</v>
      </c>
      <c r="H156" s="383"/>
    </row>
    <row r="157" spans="1:8" ht="15.9" customHeight="1" x14ac:dyDescent="0.4">
      <c r="A157" s="842" t="s">
        <v>187</v>
      </c>
      <c r="B157" s="827" t="s">
        <v>188</v>
      </c>
      <c r="C157" s="1347">
        <f>SUMIFS('Distribución OyA Detalle'!$G:$G,'Distribución OyA Detalle'!$D:$D,$A157,'Distribución OyA Detalle'!$A:$A,1)</f>
        <v>3600000</v>
      </c>
      <c r="D157" s="1347">
        <f>SUMIFS('Distribución OyA Detalle'!$G:$G,'Distribución OyA Detalle'!$D:$D,$A157,'Distribución OyA Detalle'!$A:$A,2)</f>
        <v>0</v>
      </c>
      <c r="E157" s="1347">
        <f>SUMIFS('Distribución OyA Detalle'!$G:$G,'Distribución OyA Detalle'!$D:$D,$A157,'Distribución OyA Detalle'!$A:$A,3)</f>
        <v>0</v>
      </c>
      <c r="F157" s="1347">
        <f>SUMIFS('Distribución OyA Detalle'!$G:$G,'Distribución OyA Detalle'!$D:$D,$A157,'Distribución OyA Detalle'!$A:$A,4)</f>
        <v>0</v>
      </c>
      <c r="G157" s="1463">
        <f t="shared" si="14"/>
        <v>3600000</v>
      </c>
      <c r="H157" s="383"/>
    </row>
    <row r="158" spans="1:8" ht="15.9" customHeight="1" x14ac:dyDescent="0.4">
      <c r="A158" s="842" t="s">
        <v>189</v>
      </c>
      <c r="B158" s="827" t="s">
        <v>190</v>
      </c>
      <c r="C158" s="1347">
        <f>SUMIFS('Distribución OyA Detalle'!$G:$G,'Distribución OyA Detalle'!$D:$D,$A158,'Distribución OyA Detalle'!$A:$A,1)</f>
        <v>150000</v>
      </c>
      <c r="D158" s="1347">
        <f>SUMIFS('Distribución OyA Detalle'!$G:$G,'Distribución OyA Detalle'!$D:$D,$A158,'Distribución OyA Detalle'!$A:$A,2)</f>
        <v>0</v>
      </c>
      <c r="E158" s="1347">
        <f>SUMIFS('Distribución OyA Detalle'!$G:$G,'Distribución OyA Detalle'!$D:$D,$A158,'Distribución OyA Detalle'!$A:$A,3)</f>
        <v>0</v>
      </c>
      <c r="F158" s="1347">
        <f>SUMIFS('Distribución OyA Detalle'!$G:$G,'Distribución OyA Detalle'!$D:$D,$A158,'Distribución OyA Detalle'!$A:$A,4)</f>
        <v>0</v>
      </c>
      <c r="G158" s="1463">
        <f t="shared" si="14"/>
        <v>150000</v>
      </c>
      <c r="H158" s="383"/>
    </row>
    <row r="159" spans="1:8" ht="9.9" customHeight="1" thickBot="1" x14ac:dyDescent="0.45">
      <c r="A159" s="864"/>
      <c r="B159" s="865"/>
      <c r="C159" s="866"/>
      <c r="D159" s="866"/>
      <c r="E159" s="866"/>
      <c r="F159" s="866"/>
      <c r="G159" s="867"/>
      <c r="H159" s="383"/>
    </row>
    <row r="160" spans="1:8" ht="15.9" customHeight="1" collapsed="1" thickBot="1" x14ac:dyDescent="0.45">
      <c r="A160" s="851">
        <v>2</v>
      </c>
      <c r="B160" s="810" t="s">
        <v>22</v>
      </c>
      <c r="C160" s="852">
        <f>+C162+C169+C173+C182+C187</f>
        <v>29106731</v>
      </c>
      <c r="D160" s="853">
        <f>+D162+D169+D173+D182+D187</f>
        <v>0</v>
      </c>
      <c r="E160" s="853">
        <f>+E162+E169+E173+E182+E187</f>
        <v>161131230.80000001</v>
      </c>
      <c r="F160" s="853">
        <f>+F162+F169+F173+F182+F187</f>
        <v>350000</v>
      </c>
      <c r="G160" s="854">
        <f>+G162+G169+G173+G182+G187</f>
        <v>190587961.80000001</v>
      </c>
      <c r="H160" s="383"/>
    </row>
    <row r="161" spans="1:8" ht="9.9" customHeight="1" x14ac:dyDescent="0.4">
      <c r="A161" s="855"/>
      <c r="B161" s="856"/>
      <c r="C161" s="857"/>
      <c r="D161" s="857"/>
      <c r="E161" s="857"/>
      <c r="F161" s="857"/>
      <c r="G161" s="858"/>
      <c r="H161" s="383"/>
    </row>
    <row r="162" spans="1:8" ht="15.9" customHeight="1" x14ac:dyDescent="0.4">
      <c r="A162" s="821" t="s">
        <v>191</v>
      </c>
      <c r="B162" s="844" t="s">
        <v>192</v>
      </c>
      <c r="C162" s="823">
        <f>SUM(C164:C167)</f>
        <v>9880380</v>
      </c>
      <c r="D162" s="719">
        <f>SUM(D164:D167)</f>
        <v>0</v>
      </c>
      <c r="E162" s="719">
        <f>SUM(E164:E167)</f>
        <v>124792840.8</v>
      </c>
      <c r="F162" s="719">
        <f>SUM(F164:F167)</f>
        <v>0</v>
      </c>
      <c r="G162" s="824">
        <f>SUM(G164:G167)</f>
        <v>134673220.80000001</v>
      </c>
      <c r="H162" s="383"/>
    </row>
    <row r="163" spans="1:8" ht="9.9" customHeight="1" outlineLevel="1" x14ac:dyDescent="0.4">
      <c r="A163" s="825"/>
      <c r="B163" s="818"/>
      <c r="C163" s="819"/>
      <c r="D163" s="819"/>
      <c r="E163" s="819"/>
      <c r="F163" s="819"/>
      <c r="G163" s="820"/>
      <c r="H163" s="383"/>
    </row>
    <row r="164" spans="1:8" ht="15.9" customHeight="1" outlineLevel="1" x14ac:dyDescent="0.4">
      <c r="A164" s="842" t="s">
        <v>193</v>
      </c>
      <c r="B164" s="827" t="s">
        <v>194</v>
      </c>
      <c r="C164" s="1347">
        <f>SUMIFS('Distribución OyA Detalle'!$G:$G,'Distribución OyA Detalle'!$D:$D,$A164,'Distribución OyA Detalle'!$A:$A,1)</f>
        <v>3000480</v>
      </c>
      <c r="D164" s="1347">
        <f>SUMIFS('Distribución OyA Detalle'!$G:$G,'Distribución OyA Detalle'!$D:$D,$A164,'Distribución OyA Detalle'!$A:$A,2)</f>
        <v>0</v>
      </c>
      <c r="E164" s="1347">
        <f>SUMIFS('Distribución OyA Detalle'!$G:$G,'Distribución OyA Detalle'!$D:$D,$A164,'Distribución OyA Detalle'!$A:$A,3)</f>
        <v>120500340.8</v>
      </c>
      <c r="F164" s="1347">
        <f>SUMIFS('Distribución OyA Detalle'!$G:$G,'Distribución OyA Detalle'!$D:$D,$A164,'Distribución OyA Detalle'!$A:$A,4)</f>
        <v>0</v>
      </c>
      <c r="G164" s="1463">
        <f t="shared" ref="G164:G166" si="15">+C164+D164+E164+F164</f>
        <v>123500820.8</v>
      </c>
      <c r="H164" s="383"/>
    </row>
    <row r="165" spans="1:8" ht="15.9" customHeight="1" x14ac:dyDescent="0.4">
      <c r="A165" s="842" t="s">
        <v>195</v>
      </c>
      <c r="B165" s="827" t="s">
        <v>196</v>
      </c>
      <c r="C165" s="1347">
        <f>SUMIFS('Distribución OyA Detalle'!$G:$G,'Distribución OyA Detalle'!$D:$D,$A165,'Distribución OyA Detalle'!$A:$A,1)</f>
        <v>905900</v>
      </c>
      <c r="D165" s="1347">
        <f>SUMIFS('Distribución OyA Detalle'!$G:$G,'Distribución OyA Detalle'!$D:$D,$A165,'Distribución OyA Detalle'!$A:$A,2)</f>
        <v>0</v>
      </c>
      <c r="E165" s="1347">
        <f>SUMIFS('Distribución OyA Detalle'!$G:$G,'Distribución OyA Detalle'!$D:$D,$A165,'Distribución OyA Detalle'!$A:$A,3)</f>
        <v>3652500</v>
      </c>
      <c r="F165" s="1347">
        <f>SUMIFS('Distribución OyA Detalle'!$G:$G,'Distribución OyA Detalle'!$D:$D,$A165,'Distribución OyA Detalle'!$A:$A,4)</f>
        <v>0</v>
      </c>
      <c r="G165" s="1463">
        <f t="shared" si="15"/>
        <v>4558400</v>
      </c>
      <c r="H165" s="383"/>
    </row>
    <row r="166" spans="1:8" ht="15.9" customHeight="1" outlineLevel="1" x14ac:dyDescent="0.4">
      <c r="A166" s="842" t="s">
        <v>197</v>
      </c>
      <c r="B166" s="827" t="s">
        <v>198</v>
      </c>
      <c r="C166" s="1347">
        <f>SUMIFS('Distribución OyA Detalle'!$G:$G,'Distribución OyA Detalle'!$D:$D,$A166,'Distribución OyA Detalle'!$A:$A,1)</f>
        <v>5974000</v>
      </c>
      <c r="D166" s="1347">
        <f>SUMIFS('Distribución OyA Detalle'!$G:$G,'Distribución OyA Detalle'!$D:$D,$A166,'Distribución OyA Detalle'!$A:$A,2)</f>
        <v>0</v>
      </c>
      <c r="E166" s="1347">
        <f>SUMIFS('Distribución OyA Detalle'!$G:$G,'Distribución OyA Detalle'!$D:$D,$A166,'Distribución OyA Detalle'!$A:$A,3)</f>
        <v>640000</v>
      </c>
      <c r="F166" s="1347">
        <f>SUMIFS('Distribución OyA Detalle'!$G:$G,'Distribución OyA Detalle'!$D:$D,$A166,'Distribución OyA Detalle'!$A:$A,4)</f>
        <v>0</v>
      </c>
      <c r="G166" s="1463">
        <f t="shared" si="15"/>
        <v>6614000</v>
      </c>
      <c r="H166" s="383"/>
    </row>
    <row r="167" spans="1:8" ht="15.9" hidden="1" customHeight="1" x14ac:dyDescent="0.4">
      <c r="A167" s="842" t="s">
        <v>199</v>
      </c>
      <c r="B167" s="827" t="s">
        <v>457</v>
      </c>
      <c r="C167" s="828">
        <v>0</v>
      </c>
      <c r="D167" s="828">
        <v>0</v>
      </c>
      <c r="E167" s="828">
        <v>0</v>
      </c>
      <c r="F167" s="828">
        <v>0</v>
      </c>
      <c r="G167" s="829">
        <f>SUM(C167:F167)</f>
        <v>0</v>
      </c>
      <c r="H167" s="383"/>
    </row>
    <row r="168" spans="1:8" ht="15.9" hidden="1" customHeight="1" outlineLevel="1" x14ac:dyDescent="0.4">
      <c r="A168" s="843"/>
      <c r="B168" s="831"/>
      <c r="C168" s="832"/>
      <c r="D168" s="832"/>
      <c r="E168" s="832"/>
      <c r="F168" s="832"/>
      <c r="G168" s="833"/>
      <c r="H168" s="383"/>
    </row>
    <row r="169" spans="1:8" ht="15.9" hidden="1" customHeight="1" collapsed="1" x14ac:dyDescent="0.4">
      <c r="A169" s="821" t="s">
        <v>349</v>
      </c>
      <c r="B169" s="844" t="s">
        <v>350</v>
      </c>
      <c r="C169" s="823">
        <f>SUM(C171)</f>
        <v>0</v>
      </c>
      <c r="D169" s="719">
        <f>SUM(D171)</f>
        <v>0</v>
      </c>
      <c r="E169" s="719">
        <f>SUM(E171)</f>
        <v>0</v>
      </c>
      <c r="F169" s="719">
        <f>SUM(F171)</f>
        <v>0</v>
      </c>
      <c r="G169" s="824">
        <f>SUM(G171)</f>
        <v>0</v>
      </c>
      <c r="H169" s="383"/>
    </row>
    <row r="170" spans="1:8" ht="15.9" hidden="1" customHeight="1" x14ac:dyDescent="0.4">
      <c r="A170" s="825"/>
      <c r="B170" s="818"/>
      <c r="C170" s="819"/>
      <c r="D170" s="819"/>
      <c r="E170" s="819"/>
      <c r="F170" s="819"/>
      <c r="G170" s="820"/>
      <c r="H170" s="383"/>
    </row>
    <row r="171" spans="1:8" ht="15.9" hidden="1" customHeight="1" x14ac:dyDescent="0.4">
      <c r="A171" s="846" t="s">
        <v>351</v>
      </c>
      <c r="B171" s="835" t="s">
        <v>352</v>
      </c>
      <c r="C171" s="828"/>
      <c r="D171" s="828"/>
      <c r="E171" s="828"/>
      <c r="F171" s="828"/>
      <c r="G171" s="829">
        <f>SUM(C171:F171)</f>
        <v>0</v>
      </c>
      <c r="H171" s="383"/>
    </row>
    <row r="172" spans="1:8" ht="9.9" customHeight="1" x14ac:dyDescent="0.4">
      <c r="A172" s="860"/>
      <c r="B172" s="837"/>
      <c r="C172" s="838"/>
      <c r="D172" s="838"/>
      <c r="E172" s="838"/>
      <c r="F172" s="838"/>
      <c r="G172" s="839"/>
      <c r="H172" s="383"/>
    </row>
    <row r="173" spans="1:8" ht="15.9" customHeight="1" x14ac:dyDescent="0.4">
      <c r="A173" s="821" t="s">
        <v>201</v>
      </c>
      <c r="B173" s="844" t="s">
        <v>277</v>
      </c>
      <c r="C173" s="823">
        <f>SUM(C175:C180)</f>
        <v>0</v>
      </c>
      <c r="D173" s="719">
        <f>SUM(D175:D180)</f>
        <v>0</v>
      </c>
      <c r="E173" s="719">
        <f>SUM(E175:E180)</f>
        <v>8510000</v>
      </c>
      <c r="F173" s="719">
        <f>SUM(F175:F180)</f>
        <v>350000</v>
      </c>
      <c r="G173" s="824">
        <f>SUM(G175:G180)</f>
        <v>8860000</v>
      </c>
      <c r="H173" s="383"/>
    </row>
    <row r="174" spans="1:8" ht="9.9" customHeight="1" x14ac:dyDescent="0.4">
      <c r="A174" s="825"/>
      <c r="B174" s="818"/>
      <c r="C174" s="819"/>
      <c r="D174" s="819"/>
      <c r="E174" s="819"/>
      <c r="F174" s="819"/>
      <c r="G174" s="820"/>
      <c r="H174" s="383"/>
    </row>
    <row r="175" spans="1:8" ht="15.9" hidden="1" customHeight="1" x14ac:dyDescent="0.4">
      <c r="A175" s="842" t="s">
        <v>202</v>
      </c>
      <c r="B175" s="827" t="s">
        <v>203</v>
      </c>
      <c r="C175" s="828"/>
      <c r="D175" s="828"/>
      <c r="E175" s="828"/>
      <c r="F175" s="828"/>
      <c r="G175" s="829">
        <f t="shared" ref="G175:G180" si="16">SUM(C175:F175)</f>
        <v>0</v>
      </c>
      <c r="H175" s="383"/>
    </row>
    <row r="176" spans="1:8" ht="15.9" hidden="1" customHeight="1" x14ac:dyDescent="0.4">
      <c r="A176" s="842" t="s">
        <v>204</v>
      </c>
      <c r="B176" s="827" t="s">
        <v>458</v>
      </c>
      <c r="C176" s="828"/>
      <c r="D176" s="828"/>
      <c r="E176" s="828"/>
      <c r="F176" s="828"/>
      <c r="G176" s="829">
        <f t="shared" si="16"/>
        <v>0</v>
      </c>
      <c r="H176" s="383"/>
    </row>
    <row r="177" spans="1:8" ht="15.9" customHeight="1" x14ac:dyDescent="0.4">
      <c r="A177" s="842" t="s">
        <v>206</v>
      </c>
      <c r="B177" s="827" t="s">
        <v>207</v>
      </c>
      <c r="C177" s="1347">
        <f>SUMIFS('Distribución OyA Detalle'!$G:$G,'Distribución OyA Detalle'!$D:$D,$A177,'Distribución OyA Detalle'!$A:$A,1)</f>
        <v>0</v>
      </c>
      <c r="D177" s="1347">
        <f>SUMIFS('Distribución OyA Detalle'!$G:$G,'Distribución OyA Detalle'!$D:$D,$A177,'Distribución OyA Detalle'!$A:$A,2)</f>
        <v>0</v>
      </c>
      <c r="E177" s="1347">
        <f>SUMIFS('Distribución OyA Detalle'!$G:$G,'Distribución OyA Detalle'!$D:$D,$A177,'Distribución OyA Detalle'!$A:$A,3)</f>
        <v>8510000</v>
      </c>
      <c r="F177" s="1347">
        <f>SUMIFS('Distribución OyA Detalle'!$G:$G,'Distribución OyA Detalle'!$D:$D,$A177,'Distribución OyA Detalle'!$A:$A,4)</f>
        <v>350000</v>
      </c>
      <c r="G177" s="1463">
        <f>+C177+D177+E177+F177</f>
        <v>8860000</v>
      </c>
      <c r="H177" s="383"/>
    </row>
    <row r="178" spans="1:8" ht="15.9" hidden="1" customHeight="1" x14ac:dyDescent="0.4">
      <c r="A178" s="842" t="s">
        <v>208</v>
      </c>
      <c r="B178" s="827" t="s">
        <v>209</v>
      </c>
      <c r="C178" s="828"/>
      <c r="D178" s="828"/>
      <c r="E178" s="828"/>
      <c r="F178" s="828"/>
      <c r="G178" s="829">
        <f t="shared" si="16"/>
        <v>0</v>
      </c>
      <c r="H178" s="383"/>
    </row>
    <row r="179" spans="1:8" ht="15.9" hidden="1" customHeight="1" x14ac:dyDescent="0.4">
      <c r="A179" s="842" t="s">
        <v>210</v>
      </c>
      <c r="B179" s="827" t="s">
        <v>211</v>
      </c>
      <c r="C179" s="828"/>
      <c r="D179" s="828"/>
      <c r="E179" s="828"/>
      <c r="F179" s="828"/>
      <c r="G179" s="829">
        <f t="shared" si="16"/>
        <v>0</v>
      </c>
      <c r="H179" s="383"/>
    </row>
    <row r="180" spans="1:8" ht="15.9" hidden="1" customHeight="1" x14ac:dyDescent="0.4">
      <c r="A180" s="842" t="s">
        <v>212</v>
      </c>
      <c r="B180" s="827" t="s">
        <v>459</v>
      </c>
      <c r="C180" s="828"/>
      <c r="D180" s="828"/>
      <c r="E180" s="828"/>
      <c r="F180" s="828"/>
      <c r="G180" s="829">
        <f t="shared" si="16"/>
        <v>0</v>
      </c>
      <c r="H180" s="383"/>
    </row>
    <row r="181" spans="1:8" ht="9.9" customHeight="1" x14ac:dyDescent="0.4">
      <c r="A181" s="843"/>
      <c r="B181" s="831"/>
      <c r="C181" s="832"/>
      <c r="D181" s="832"/>
      <c r="E181" s="832"/>
      <c r="F181" s="832"/>
      <c r="G181" s="833"/>
      <c r="H181" s="383"/>
    </row>
    <row r="182" spans="1:8" ht="15.9" customHeight="1" outlineLevel="1" x14ac:dyDescent="0.4">
      <c r="A182" s="821" t="s">
        <v>214</v>
      </c>
      <c r="B182" s="844" t="s">
        <v>215</v>
      </c>
      <c r="C182" s="823">
        <f>SUM(C184:C185)</f>
        <v>4285500</v>
      </c>
      <c r="D182" s="719">
        <f>SUM(D184:D185)</f>
        <v>0</v>
      </c>
      <c r="E182" s="719">
        <f>SUM(E184:E185)</f>
        <v>14519000</v>
      </c>
      <c r="F182" s="719">
        <f>SUM(F184:F185)</f>
        <v>0</v>
      </c>
      <c r="G182" s="824">
        <f>SUM(G184:G185)</f>
        <v>18804500</v>
      </c>
      <c r="H182" s="383"/>
    </row>
    <row r="183" spans="1:8" ht="9.9" customHeight="1" outlineLevel="1" x14ac:dyDescent="0.4">
      <c r="A183" s="825"/>
      <c r="B183" s="818"/>
      <c r="C183" s="819"/>
      <c r="D183" s="819"/>
      <c r="E183" s="819"/>
      <c r="F183" s="819"/>
      <c r="G183" s="820"/>
      <c r="H183" s="383"/>
    </row>
    <row r="184" spans="1:8" ht="15.9" hidden="1" customHeight="1" x14ac:dyDescent="0.4">
      <c r="A184" s="842" t="s">
        <v>216</v>
      </c>
      <c r="B184" s="827" t="s">
        <v>217</v>
      </c>
      <c r="C184" s="828"/>
      <c r="D184" s="828"/>
      <c r="E184" s="828"/>
      <c r="F184" s="828"/>
      <c r="G184" s="829">
        <f>SUM(C184:F184)</f>
        <v>0</v>
      </c>
      <c r="H184" s="383"/>
    </row>
    <row r="185" spans="1:8" ht="15.9" customHeight="1" x14ac:dyDescent="0.4">
      <c r="A185" s="842" t="s">
        <v>218</v>
      </c>
      <c r="B185" s="827" t="s">
        <v>219</v>
      </c>
      <c r="C185" s="1347">
        <f>SUMIFS('Distribución OyA Detalle'!$G:$G,'Distribución OyA Detalle'!$D:$D,$A185,'Distribución OyA Detalle'!$A:$A,1)</f>
        <v>4285500</v>
      </c>
      <c r="D185" s="1347">
        <f>SUMIFS('Distribución OyA Detalle'!$G:$G,'Distribución OyA Detalle'!$D:$D,$A185,'Distribución OyA Detalle'!$A:$A,2)</f>
        <v>0</v>
      </c>
      <c r="E185" s="1347">
        <f>SUMIFS('Distribución OyA Detalle'!$G:$G,'Distribución OyA Detalle'!$D:$D,$A185,'Distribución OyA Detalle'!$A:$A,3)</f>
        <v>14519000</v>
      </c>
      <c r="F185" s="1347">
        <f>SUMIFS('Distribución OyA Detalle'!$G:$G,'Distribución OyA Detalle'!$D:$D,$A185,'Distribución OyA Detalle'!$A:$A,4)</f>
        <v>0</v>
      </c>
      <c r="G185" s="1463">
        <f>+C185+D185+E185+F185</f>
        <v>18804500</v>
      </c>
      <c r="H185" s="383"/>
    </row>
    <row r="186" spans="1:8" ht="9.9" customHeight="1" x14ac:dyDescent="0.4">
      <c r="A186" s="843"/>
      <c r="B186" s="831"/>
      <c r="C186" s="832"/>
      <c r="D186" s="832"/>
      <c r="E186" s="832"/>
      <c r="F186" s="832"/>
      <c r="G186" s="833"/>
      <c r="H186" s="383"/>
    </row>
    <row r="187" spans="1:8" ht="15.9" customHeight="1" x14ac:dyDescent="0.4">
      <c r="A187" s="821" t="s">
        <v>220</v>
      </c>
      <c r="B187" s="844" t="s">
        <v>278</v>
      </c>
      <c r="C187" s="823">
        <f>SUM(C189:C196)</f>
        <v>14940851</v>
      </c>
      <c r="D187" s="719">
        <f>SUM(D189:D196)</f>
        <v>0</v>
      </c>
      <c r="E187" s="719">
        <f>SUM(E189:E196)</f>
        <v>13309390</v>
      </c>
      <c r="F187" s="719">
        <f>SUM(F189:F196)</f>
        <v>0</v>
      </c>
      <c r="G187" s="824">
        <f>SUM(G189:G196)</f>
        <v>28250241</v>
      </c>
      <c r="H187" s="383"/>
    </row>
    <row r="188" spans="1:8" ht="9.9" customHeight="1" x14ac:dyDescent="0.4">
      <c r="A188" s="825"/>
      <c r="B188" s="818"/>
      <c r="C188" s="819"/>
      <c r="D188" s="819"/>
      <c r="E188" s="819"/>
      <c r="F188" s="819"/>
      <c r="G188" s="820"/>
      <c r="H188" s="383"/>
    </row>
    <row r="189" spans="1:8" ht="15.9" customHeight="1" x14ac:dyDescent="0.4">
      <c r="A189" s="842" t="s">
        <v>221</v>
      </c>
      <c r="B189" s="868" t="s">
        <v>222</v>
      </c>
      <c r="C189" s="1347">
        <f>SUMIFS('Distribución OyA Detalle'!$G:$G,'Distribución OyA Detalle'!$D:$D,$A189,'Distribución OyA Detalle'!$A:$A,1)</f>
        <v>3285252</v>
      </c>
      <c r="D189" s="1347">
        <f>SUMIFS('Distribución OyA Detalle'!$G:$G,'Distribución OyA Detalle'!$D:$D,$A189,'Distribución OyA Detalle'!$A:$A,2)</f>
        <v>0</v>
      </c>
      <c r="E189" s="1347">
        <f>SUMIFS('Distribución OyA Detalle'!$G:$G,'Distribución OyA Detalle'!$D:$D,$A189,'Distribución OyA Detalle'!$A:$A,3)</f>
        <v>681050</v>
      </c>
      <c r="F189" s="1347">
        <f>SUMIFS('Distribución OyA Detalle'!$G:$G,'Distribución OyA Detalle'!$D:$D,$A189,'Distribución OyA Detalle'!$A:$A,4)</f>
        <v>0</v>
      </c>
      <c r="G189" s="1463">
        <f t="shared" ref="G189:G196" si="17">+C189+D189+E189+F189</f>
        <v>3966302</v>
      </c>
      <c r="H189" s="383"/>
    </row>
    <row r="190" spans="1:8" ht="15.9" customHeight="1" outlineLevel="1" x14ac:dyDescent="0.4">
      <c r="A190" s="842" t="s">
        <v>223</v>
      </c>
      <c r="B190" s="868" t="s">
        <v>279</v>
      </c>
      <c r="C190" s="1347">
        <f>SUMIFS('Distribución OyA Detalle'!$G:$G,'Distribución OyA Detalle'!$D:$D,$A190,'Distribución OyA Detalle'!$A:$A,1)</f>
        <v>1038250</v>
      </c>
      <c r="D190" s="1347">
        <f>SUMIFS('Distribución OyA Detalle'!$G:$G,'Distribución OyA Detalle'!$D:$D,$A190,'Distribución OyA Detalle'!$A:$A,2)</f>
        <v>0</v>
      </c>
      <c r="E190" s="1347">
        <f>SUMIFS('Distribución OyA Detalle'!$G:$G,'Distribución OyA Detalle'!$D:$D,$A190,'Distribución OyA Detalle'!$A:$A,3)</f>
        <v>0</v>
      </c>
      <c r="F190" s="1347">
        <f>SUMIFS('Distribución OyA Detalle'!$G:$G,'Distribución OyA Detalle'!$D:$D,$A190,'Distribución OyA Detalle'!$A:$A,4)</f>
        <v>0</v>
      </c>
      <c r="G190" s="1463">
        <f t="shared" si="17"/>
        <v>1038250</v>
      </c>
      <c r="H190" s="383"/>
    </row>
    <row r="191" spans="1:8" ht="15.9" customHeight="1" x14ac:dyDescent="0.4">
      <c r="A191" s="842" t="s">
        <v>224</v>
      </c>
      <c r="B191" s="868" t="s">
        <v>225</v>
      </c>
      <c r="C191" s="1347">
        <f>SUMIFS('Distribución OyA Detalle'!$G:$G,'Distribución OyA Detalle'!$D:$D,$A191,'Distribución OyA Detalle'!$A:$A,1)</f>
        <v>3261240</v>
      </c>
      <c r="D191" s="1347">
        <f>SUMIFS('Distribución OyA Detalle'!$G:$G,'Distribución OyA Detalle'!$D:$D,$A191,'Distribución OyA Detalle'!$A:$A,2)</f>
        <v>0</v>
      </c>
      <c r="E191" s="1347">
        <f>SUMIFS('Distribución OyA Detalle'!$G:$G,'Distribución OyA Detalle'!$D:$D,$A191,'Distribución OyA Detalle'!$A:$A,3)</f>
        <v>395500</v>
      </c>
      <c r="F191" s="1347">
        <f>SUMIFS('Distribución OyA Detalle'!$G:$G,'Distribución OyA Detalle'!$D:$D,$A191,'Distribución OyA Detalle'!$A:$A,4)</f>
        <v>0</v>
      </c>
      <c r="G191" s="1463">
        <f t="shared" si="17"/>
        <v>3656740</v>
      </c>
      <c r="H191" s="383"/>
    </row>
    <row r="192" spans="1:8" ht="15.9" customHeight="1" x14ac:dyDescent="0.4">
      <c r="A192" s="842" t="s">
        <v>226</v>
      </c>
      <c r="B192" s="868" t="s">
        <v>227</v>
      </c>
      <c r="C192" s="1347">
        <f>SUMIFS('Distribución OyA Detalle'!$G:$G,'Distribución OyA Detalle'!$D:$D,$A192,'Distribución OyA Detalle'!$A:$A,1)</f>
        <v>4068032</v>
      </c>
      <c r="D192" s="1347">
        <f>SUMIFS('Distribución OyA Detalle'!$G:$G,'Distribución OyA Detalle'!$D:$D,$A192,'Distribución OyA Detalle'!$A:$A,2)</f>
        <v>0</v>
      </c>
      <c r="E192" s="1347">
        <f>SUMIFS('Distribución OyA Detalle'!$G:$G,'Distribución OyA Detalle'!$D:$D,$A192,'Distribución OyA Detalle'!$A:$A,3)</f>
        <v>11362300</v>
      </c>
      <c r="F192" s="1347">
        <f>SUMIFS('Distribución OyA Detalle'!$G:$G,'Distribución OyA Detalle'!$D:$D,$A192,'Distribución OyA Detalle'!$A:$A,4)</f>
        <v>0</v>
      </c>
      <c r="G192" s="1463">
        <f t="shared" si="17"/>
        <v>15430332</v>
      </c>
      <c r="H192" s="383"/>
    </row>
    <row r="193" spans="1:8" ht="15.9" customHeight="1" x14ac:dyDescent="0.4">
      <c r="A193" s="842" t="s">
        <v>228</v>
      </c>
      <c r="B193" s="868" t="s">
        <v>229</v>
      </c>
      <c r="C193" s="1347">
        <f>SUMIFS('Distribución OyA Detalle'!$G:$G,'Distribución OyA Detalle'!$D:$D,$A193,'Distribución OyA Detalle'!$A:$A,1)</f>
        <v>2462077</v>
      </c>
      <c r="D193" s="1347">
        <f>SUMIFS('Distribución OyA Detalle'!$G:$G,'Distribución OyA Detalle'!$D:$D,$A193,'Distribución OyA Detalle'!$A:$A,2)</f>
        <v>0</v>
      </c>
      <c r="E193" s="1347">
        <f>SUMIFS('Distribución OyA Detalle'!$G:$G,'Distribución OyA Detalle'!$D:$D,$A193,'Distribución OyA Detalle'!$A:$A,3)</f>
        <v>450540</v>
      </c>
      <c r="F193" s="1347">
        <f>SUMIFS('Distribución OyA Detalle'!$G:$G,'Distribución OyA Detalle'!$D:$D,$A193,'Distribución OyA Detalle'!$A:$A,4)</f>
        <v>0</v>
      </c>
      <c r="G193" s="1463">
        <f t="shared" si="17"/>
        <v>2912617</v>
      </c>
      <c r="H193" s="383"/>
    </row>
    <row r="194" spans="1:8" ht="15.9" customHeight="1" outlineLevel="1" x14ac:dyDescent="0.4">
      <c r="A194" s="842" t="s">
        <v>230</v>
      </c>
      <c r="B194" s="868" t="s">
        <v>231</v>
      </c>
      <c r="C194" s="1347">
        <f>SUMIFS('Distribución OyA Detalle'!$G:$G,'Distribución OyA Detalle'!$D:$D,$A194,'Distribución OyA Detalle'!$A:$A,1)</f>
        <v>74500</v>
      </c>
      <c r="D194" s="1347">
        <f>SUMIFS('Distribución OyA Detalle'!$G:$G,'Distribución OyA Detalle'!$D:$D,$A194,'Distribución OyA Detalle'!$A:$A,2)</f>
        <v>0</v>
      </c>
      <c r="E194" s="1347">
        <f>SUMIFS('Distribución OyA Detalle'!$G:$G,'Distribución OyA Detalle'!$D:$D,$A194,'Distribución OyA Detalle'!$A:$A,3)</f>
        <v>0</v>
      </c>
      <c r="F194" s="1347">
        <f>SUMIFS('Distribución OyA Detalle'!$G:$G,'Distribución OyA Detalle'!$D:$D,$A194,'Distribución OyA Detalle'!$A:$A,4)</f>
        <v>0</v>
      </c>
      <c r="G194" s="1463">
        <f t="shared" si="17"/>
        <v>74500</v>
      </c>
      <c r="H194" s="383"/>
    </row>
    <row r="195" spans="1:8" ht="15.9" hidden="1" customHeight="1" outlineLevel="1" x14ac:dyDescent="0.4">
      <c r="A195" s="842" t="s">
        <v>366</v>
      </c>
      <c r="B195" s="868" t="s">
        <v>410</v>
      </c>
      <c r="C195" s="1347">
        <f>SUMIFS('Distribución OyA Detalle'!$G:$G,'Distribución OyA Detalle'!$D:$D,$A195,'Distribución OyA Detalle'!$A:$A,1)</f>
        <v>0</v>
      </c>
      <c r="D195" s="1347">
        <f>SUMIFS('Distribución OyA Detalle'!$G:$G,'Distribución OyA Detalle'!$D:$D,$A195,'Distribución OyA Detalle'!$A:$A,2)</f>
        <v>0</v>
      </c>
      <c r="E195" s="1347">
        <f>SUMIFS('Distribución OyA Detalle'!$G:$G,'Distribución OyA Detalle'!$D:$D,$A195,'Distribución OyA Detalle'!$A:$A,3)</f>
        <v>0</v>
      </c>
      <c r="F195" s="1347">
        <f>SUMIFS('Distribución OyA Detalle'!$G:$G,'Distribución OyA Detalle'!$D:$D,$A195,'Distribución OyA Detalle'!$A:$A,4)</f>
        <v>0</v>
      </c>
      <c r="G195" s="1463">
        <f t="shared" si="17"/>
        <v>0</v>
      </c>
      <c r="H195" s="383"/>
    </row>
    <row r="196" spans="1:8" ht="15.9" customHeight="1" outlineLevel="1" x14ac:dyDescent="0.4">
      <c r="A196" s="842" t="s">
        <v>232</v>
      </c>
      <c r="B196" s="868" t="s">
        <v>460</v>
      </c>
      <c r="C196" s="1347">
        <f>SUMIFS('Distribución OyA Detalle'!$G:$G,'Distribución OyA Detalle'!$D:$D,$A196,'Distribución OyA Detalle'!$A:$A,1)</f>
        <v>751500</v>
      </c>
      <c r="D196" s="1347">
        <f>SUMIFS('Distribución OyA Detalle'!$G:$G,'Distribución OyA Detalle'!$D:$D,$A196,'Distribución OyA Detalle'!$A:$A,2)</f>
        <v>0</v>
      </c>
      <c r="E196" s="1347">
        <f>SUMIFS('Distribución OyA Detalle'!$G:$G,'Distribución OyA Detalle'!$D:$D,$A196,'Distribución OyA Detalle'!$A:$A,3)</f>
        <v>420000</v>
      </c>
      <c r="F196" s="1347">
        <f>SUMIFS('Distribución OyA Detalle'!$G:$G,'Distribución OyA Detalle'!$D:$D,$A196,'Distribución OyA Detalle'!$A:$A,4)</f>
        <v>0</v>
      </c>
      <c r="G196" s="1463">
        <f t="shared" si="17"/>
        <v>1171500</v>
      </c>
      <c r="H196" s="383"/>
    </row>
    <row r="197" spans="1:8" ht="9.9" customHeight="1" outlineLevel="1" thickBot="1" x14ac:dyDescent="0.45">
      <c r="A197" s="869"/>
      <c r="B197" s="865"/>
      <c r="C197" s="733"/>
      <c r="D197" s="733"/>
      <c r="E197" s="733"/>
      <c r="F197" s="733"/>
      <c r="G197" s="870"/>
      <c r="H197" s="383"/>
    </row>
    <row r="198" spans="1:8" ht="15.9" customHeight="1" outlineLevel="1" thickBot="1" x14ac:dyDescent="0.45">
      <c r="A198" s="851">
        <v>4</v>
      </c>
      <c r="B198" s="810" t="s">
        <v>950</v>
      </c>
      <c r="C198" s="852">
        <f>+C200</f>
        <v>2546194511.6500001</v>
      </c>
      <c r="D198" s="853">
        <f>+D200</f>
        <v>0</v>
      </c>
      <c r="E198" s="853">
        <f>+E200</f>
        <v>0</v>
      </c>
      <c r="F198" s="853">
        <f>+F200</f>
        <v>0</v>
      </c>
      <c r="G198" s="854">
        <f>+G200</f>
        <v>2546194511.6500001</v>
      </c>
      <c r="H198" s="383"/>
    </row>
    <row r="199" spans="1:8" ht="9.9" customHeight="1" outlineLevel="1" x14ac:dyDescent="0.4">
      <c r="A199" s="869"/>
      <c r="B199" s="865"/>
      <c r="C199" s="733"/>
      <c r="D199" s="733"/>
      <c r="E199" s="733"/>
      <c r="F199" s="733"/>
      <c r="G199" s="870"/>
      <c r="H199" s="383"/>
    </row>
    <row r="200" spans="1:8" ht="15.9" customHeight="1" outlineLevel="1" x14ac:dyDescent="0.4">
      <c r="A200" s="821" t="s">
        <v>1031</v>
      </c>
      <c r="B200" s="844" t="s">
        <v>1244</v>
      </c>
      <c r="C200" s="823">
        <f>+C202</f>
        <v>2546194511.6500001</v>
      </c>
      <c r="D200" s="823">
        <f>+D202</f>
        <v>0</v>
      </c>
      <c r="E200" s="823">
        <f>+E202</f>
        <v>0</v>
      </c>
      <c r="F200" s="823">
        <f>+F202</f>
        <v>0</v>
      </c>
      <c r="G200" s="824">
        <f>SUM(C200:F200)</f>
        <v>2546194511.6500001</v>
      </c>
      <c r="H200" s="383"/>
    </row>
    <row r="201" spans="1:8" ht="9.9" customHeight="1" outlineLevel="1" x14ac:dyDescent="0.4">
      <c r="A201" s="869"/>
      <c r="B201" s="865"/>
      <c r="C201" s="733"/>
      <c r="D201" s="733"/>
      <c r="E201" s="733"/>
      <c r="F201" s="733"/>
      <c r="G201" s="870"/>
      <c r="H201" s="383"/>
    </row>
    <row r="202" spans="1:8" ht="15.9" customHeight="1" x14ac:dyDescent="0.4">
      <c r="A202" s="842" t="s">
        <v>1034</v>
      </c>
      <c r="B202" s="868" t="s">
        <v>1035</v>
      </c>
      <c r="C202" s="1347">
        <f>SUMIFS('Distribución OyA Detalle'!$G:$G,'Distribución OyA Detalle'!$D:$D,$A202,'Distribución OyA Detalle'!$A:$A,1)</f>
        <v>2546194511.6500001</v>
      </c>
      <c r="D202" s="1347">
        <f>SUMIFS('Distribución OyA Detalle'!$G:$G,'Distribución OyA Detalle'!$D:$D,$A202,'Distribución OyA Detalle'!$A:$A,2)</f>
        <v>0</v>
      </c>
      <c r="E202" s="1347">
        <f>SUMIFS('Distribución OyA Detalle'!$G:$G,'Distribución OyA Detalle'!$D:$D,$A202,'Distribución OyA Detalle'!$A:$A,3)</f>
        <v>0</v>
      </c>
      <c r="F202" s="1347">
        <f>SUMIFS('Distribución OyA Detalle'!$G:$G,'Distribución OyA Detalle'!$D:$D,$A202,'Distribución OyA Detalle'!$A:$A,4)</f>
        <v>0</v>
      </c>
      <c r="G202" s="1463">
        <f>+C202+D202+E202+F202</f>
        <v>2546194511.6500001</v>
      </c>
      <c r="H202" s="384">
        <f>+G202/1000000</f>
        <v>2546.1945116500001</v>
      </c>
    </row>
    <row r="203" spans="1:8" ht="15.9" hidden="1" customHeight="1" outlineLevel="1" x14ac:dyDescent="0.4">
      <c r="A203" s="869"/>
      <c r="B203" s="865"/>
      <c r="C203" s="733"/>
      <c r="D203" s="733"/>
      <c r="E203" s="733"/>
      <c r="F203" s="733"/>
      <c r="G203" s="870"/>
      <c r="H203" s="383"/>
    </row>
    <row r="204" spans="1:8" ht="9.9" customHeight="1" outlineLevel="1" collapsed="1" thickBot="1" x14ac:dyDescent="0.45">
      <c r="A204" s="864"/>
      <c r="B204" s="865"/>
      <c r="C204" s="866"/>
      <c r="D204" s="866"/>
      <c r="E204" s="866"/>
      <c r="F204" s="866"/>
      <c r="G204" s="867"/>
      <c r="H204" s="383"/>
    </row>
    <row r="205" spans="1:8" ht="15.9" customHeight="1" outlineLevel="1" thickBot="1" x14ac:dyDescent="0.45">
      <c r="A205" s="851">
        <v>5</v>
      </c>
      <c r="B205" s="810" t="s">
        <v>57</v>
      </c>
      <c r="C205" s="852">
        <f>+C207+C218+C223</f>
        <v>669687754</v>
      </c>
      <c r="D205" s="853">
        <f>+D207+D218+D223</f>
        <v>0</v>
      </c>
      <c r="E205" s="853">
        <f>+E207+E218+E223</f>
        <v>9905264</v>
      </c>
      <c r="F205" s="853">
        <f>+F207+F218+F223</f>
        <v>0</v>
      </c>
      <c r="G205" s="854">
        <f>+G207+G218+G223</f>
        <v>679593018</v>
      </c>
      <c r="H205" s="383"/>
    </row>
    <row r="206" spans="1:8" ht="9.9" customHeight="1" outlineLevel="1" x14ac:dyDescent="0.4">
      <c r="A206" s="855"/>
      <c r="B206" s="856"/>
      <c r="C206" s="857"/>
      <c r="D206" s="857"/>
      <c r="E206" s="857"/>
      <c r="F206" s="857"/>
      <c r="G206" s="858"/>
      <c r="H206" s="383"/>
    </row>
    <row r="207" spans="1:8" ht="15.9" customHeight="1" outlineLevel="1" x14ac:dyDescent="0.4">
      <c r="A207" s="821" t="s">
        <v>234</v>
      </c>
      <c r="B207" s="844" t="s">
        <v>235</v>
      </c>
      <c r="C207" s="823">
        <f>SUM(C209:C216)</f>
        <v>255900000</v>
      </c>
      <c r="D207" s="823">
        <f>SUM(D209:D216)</f>
        <v>0</v>
      </c>
      <c r="E207" s="823">
        <f>SUM(E209:E216)</f>
        <v>0</v>
      </c>
      <c r="F207" s="823">
        <f>SUM(F209:F216)</f>
        <v>0</v>
      </c>
      <c r="G207" s="824">
        <f>SUM(G209:G216)</f>
        <v>255900000</v>
      </c>
      <c r="H207" s="383"/>
    </row>
    <row r="208" spans="1:8" ht="9.9" customHeight="1" outlineLevel="1" x14ac:dyDescent="0.4">
      <c r="A208" s="825"/>
      <c r="B208" s="818"/>
      <c r="C208" s="819"/>
      <c r="D208" s="819"/>
      <c r="E208" s="819"/>
      <c r="F208" s="819"/>
      <c r="G208" s="820"/>
      <c r="H208" s="383"/>
    </row>
    <row r="209" spans="1:8" ht="15.9" hidden="1" customHeight="1" outlineLevel="1" x14ac:dyDescent="0.4">
      <c r="A209" s="862" t="s">
        <v>430</v>
      </c>
      <c r="B209" s="868" t="s">
        <v>431</v>
      </c>
      <c r="C209" s="828"/>
      <c r="D209" s="828"/>
      <c r="E209" s="828"/>
      <c r="F209" s="828"/>
      <c r="G209" s="829">
        <f t="shared" ref="G209:G216" si="18">SUM(C209:F209)</f>
        <v>0</v>
      </c>
      <c r="H209" s="383"/>
    </row>
    <row r="210" spans="1:8" ht="15.9" customHeight="1" outlineLevel="1" x14ac:dyDescent="0.4">
      <c r="A210" s="842" t="s">
        <v>236</v>
      </c>
      <c r="B210" s="827" t="s">
        <v>237</v>
      </c>
      <c r="C210" s="1347">
        <f>SUMIFS('Distribución OyA Detalle'!$G:$G,'Distribución OyA Detalle'!$D:$D,$A210,'Distribución OyA Detalle'!$A:$A,1)</f>
        <v>150000000</v>
      </c>
      <c r="D210" s="1347">
        <f>SUMIFS('Distribución OyA Detalle'!$G:$G,'Distribución OyA Detalle'!$D:$D,$A210,'Distribución OyA Detalle'!$A:$A,2)</f>
        <v>0</v>
      </c>
      <c r="E210" s="1347">
        <f>SUMIFS('Distribución OyA Detalle'!$G:$G,'Distribución OyA Detalle'!$D:$D,$A210,'Distribución OyA Detalle'!$A:$A,3)</f>
        <v>0</v>
      </c>
      <c r="F210" s="1347">
        <f>SUMIFS('Distribución OyA Detalle'!$G:$G,'Distribución OyA Detalle'!$D:$D,$A210,'Distribución OyA Detalle'!$A:$A,4)</f>
        <v>0</v>
      </c>
      <c r="G210" s="1463">
        <f t="shared" ref="G210:G214" si="19">+C210+D210+E210+F210</f>
        <v>150000000</v>
      </c>
      <c r="H210" s="383"/>
    </row>
    <row r="211" spans="1:8" ht="15.9" customHeight="1" outlineLevel="1" x14ac:dyDescent="0.4">
      <c r="A211" s="842" t="s">
        <v>238</v>
      </c>
      <c r="B211" s="827" t="s">
        <v>239</v>
      </c>
      <c r="C211" s="1347">
        <f>SUMIFS('Distribución OyA Detalle'!$G:$G,'Distribución OyA Detalle'!$D:$D,$A211,'Distribución OyA Detalle'!$A:$A,1)</f>
        <v>3400000</v>
      </c>
      <c r="D211" s="1347">
        <f>SUMIFS('Distribución OyA Detalle'!$G:$G,'Distribución OyA Detalle'!$D:$D,$A211,'Distribución OyA Detalle'!$A:$A,2)</f>
        <v>0</v>
      </c>
      <c r="E211" s="1347">
        <f>SUMIFS('Distribución OyA Detalle'!$G:$G,'Distribución OyA Detalle'!$D:$D,$A211,'Distribución OyA Detalle'!$A:$A,3)</f>
        <v>0</v>
      </c>
      <c r="F211" s="1347">
        <f>SUMIFS('Distribución OyA Detalle'!$G:$G,'Distribución OyA Detalle'!$D:$D,$A211,'Distribución OyA Detalle'!$A:$A,4)</f>
        <v>0</v>
      </c>
      <c r="G211" s="1463">
        <f t="shared" si="19"/>
        <v>3400000</v>
      </c>
      <c r="H211" s="383"/>
    </row>
    <row r="212" spans="1:8" ht="15.9" hidden="1" customHeight="1" outlineLevel="1" x14ac:dyDescent="0.4">
      <c r="A212" s="842" t="s">
        <v>240</v>
      </c>
      <c r="B212" s="827" t="s">
        <v>241</v>
      </c>
      <c r="C212" s="1347">
        <f>SUMIFS('Distribución OyA Detalle'!$G:$G,'Distribución OyA Detalle'!$D:$D,$A212,'Distribución OyA Detalle'!$A:$A,1)</f>
        <v>0</v>
      </c>
      <c r="D212" s="1347">
        <f>SUMIFS('Distribución OyA Detalle'!$G:$G,'Distribución OyA Detalle'!$D:$D,$A212,'Distribución OyA Detalle'!$A:$A,2)</f>
        <v>0</v>
      </c>
      <c r="E212" s="1347">
        <f>SUMIFS('Distribución OyA Detalle'!$G:$G,'Distribución OyA Detalle'!$D:$D,$A212,'Distribución OyA Detalle'!$A:$A,3)</f>
        <v>0</v>
      </c>
      <c r="F212" s="1347">
        <f>SUMIFS('Distribución OyA Detalle'!$G:$G,'Distribución OyA Detalle'!$D:$D,$A212,'Distribución OyA Detalle'!$A:$A,4)</f>
        <v>0</v>
      </c>
      <c r="G212" s="1463">
        <f t="shared" si="19"/>
        <v>0</v>
      </c>
      <c r="H212" s="383"/>
    </row>
    <row r="213" spans="1:8" ht="15.9" customHeight="1" outlineLevel="1" x14ac:dyDescent="0.4">
      <c r="A213" s="842" t="s">
        <v>242</v>
      </c>
      <c r="B213" s="827" t="s">
        <v>243</v>
      </c>
      <c r="C213" s="1347">
        <f>SUMIFS('Distribución OyA Detalle'!$G:$G,'Distribución OyA Detalle'!$D:$D,$A213,'Distribución OyA Detalle'!$A:$A,1)</f>
        <v>100000000</v>
      </c>
      <c r="D213" s="1347">
        <f>SUMIFS('Distribución OyA Detalle'!$G:$G,'Distribución OyA Detalle'!$D:$D,$A213,'Distribución OyA Detalle'!$A:$A,2)</f>
        <v>0</v>
      </c>
      <c r="E213" s="1347">
        <f>SUMIFS('Distribución OyA Detalle'!$G:$G,'Distribución OyA Detalle'!$D:$D,$A213,'Distribución OyA Detalle'!$A:$A,3)</f>
        <v>0</v>
      </c>
      <c r="F213" s="1347">
        <f>SUMIFS('Distribución OyA Detalle'!$G:$G,'Distribución OyA Detalle'!$D:$D,$A213,'Distribución OyA Detalle'!$A:$A,4)</f>
        <v>0</v>
      </c>
      <c r="G213" s="1463">
        <f t="shared" si="19"/>
        <v>100000000</v>
      </c>
      <c r="H213" s="383"/>
    </row>
    <row r="214" spans="1:8" ht="15.9" customHeight="1" outlineLevel="1" x14ac:dyDescent="0.4">
      <c r="A214" s="842" t="s">
        <v>244</v>
      </c>
      <c r="B214" s="827" t="s">
        <v>245</v>
      </c>
      <c r="C214" s="1347">
        <f>SUMIFS('Distribución OyA Detalle'!$G:$G,'Distribución OyA Detalle'!$D:$D,$A214,'Distribución OyA Detalle'!$A:$A,1)</f>
        <v>2500000</v>
      </c>
      <c r="D214" s="1347">
        <f>SUMIFS('Distribución OyA Detalle'!$G:$G,'Distribución OyA Detalle'!$D:$D,$A214,'Distribución OyA Detalle'!$A:$A,2)</f>
        <v>0</v>
      </c>
      <c r="E214" s="1347">
        <f>SUMIFS('Distribución OyA Detalle'!$G:$G,'Distribución OyA Detalle'!$D:$D,$A214,'Distribución OyA Detalle'!$A:$A,3)</f>
        <v>0</v>
      </c>
      <c r="F214" s="1347">
        <f>SUMIFS('Distribución OyA Detalle'!$G:$G,'Distribución OyA Detalle'!$D:$D,$A214,'Distribución OyA Detalle'!$A:$A,4)</f>
        <v>0</v>
      </c>
      <c r="G214" s="1463">
        <f t="shared" si="19"/>
        <v>2500000</v>
      </c>
      <c r="H214" s="383"/>
    </row>
    <row r="215" spans="1:8" ht="15.9" hidden="1" customHeight="1" outlineLevel="1" x14ac:dyDescent="0.4">
      <c r="A215" s="842" t="s">
        <v>246</v>
      </c>
      <c r="B215" s="827" t="s">
        <v>247</v>
      </c>
      <c r="C215" s="828"/>
      <c r="D215" s="828"/>
      <c r="E215" s="828"/>
      <c r="F215" s="828"/>
      <c r="G215" s="829">
        <f t="shared" si="18"/>
        <v>0</v>
      </c>
      <c r="H215" s="383"/>
    </row>
    <row r="216" spans="1:8" ht="15.9" hidden="1" customHeight="1" x14ac:dyDescent="0.4">
      <c r="A216" s="842" t="s">
        <v>248</v>
      </c>
      <c r="B216" s="868" t="s">
        <v>461</v>
      </c>
      <c r="C216" s="828"/>
      <c r="D216" s="828"/>
      <c r="E216" s="828"/>
      <c r="F216" s="828"/>
      <c r="G216" s="829">
        <f t="shared" si="18"/>
        <v>0</v>
      </c>
      <c r="H216" s="383"/>
    </row>
    <row r="217" spans="1:8" ht="15.9" hidden="1" customHeight="1" x14ac:dyDescent="0.4">
      <c r="A217" s="843"/>
      <c r="B217" s="831"/>
      <c r="C217" s="832"/>
      <c r="D217" s="832"/>
      <c r="E217" s="832"/>
      <c r="F217" s="832"/>
      <c r="G217" s="833"/>
      <c r="H217" s="383"/>
    </row>
    <row r="218" spans="1:8" ht="15.9" hidden="1" customHeight="1" x14ac:dyDescent="0.4">
      <c r="A218" s="821" t="s">
        <v>250</v>
      </c>
      <c r="B218" s="844" t="s">
        <v>251</v>
      </c>
      <c r="C218" s="823">
        <f>SUM(C220:C221)</f>
        <v>0</v>
      </c>
      <c r="D218" s="719">
        <f>SUM(D220:D221)</f>
        <v>0</v>
      </c>
      <c r="E218" s="719">
        <f>SUM(E220:E221)</f>
        <v>0</v>
      </c>
      <c r="F218" s="719">
        <f>SUM(F220:F221)</f>
        <v>0</v>
      </c>
      <c r="G218" s="824">
        <f>SUM(G220:G221)</f>
        <v>0</v>
      </c>
      <c r="H218" s="383"/>
    </row>
    <row r="219" spans="1:8" ht="15.9" hidden="1" customHeight="1" x14ac:dyDescent="0.4">
      <c r="A219" s="825"/>
      <c r="B219" s="818"/>
      <c r="C219" s="819"/>
      <c r="D219" s="819"/>
      <c r="E219" s="819"/>
      <c r="F219" s="819"/>
      <c r="G219" s="820"/>
      <c r="H219" s="383"/>
    </row>
    <row r="220" spans="1:8" ht="15.9" hidden="1" customHeight="1" x14ac:dyDescent="0.4">
      <c r="A220" s="842" t="s">
        <v>252</v>
      </c>
      <c r="B220" s="827" t="s">
        <v>253</v>
      </c>
      <c r="C220" s="828"/>
      <c r="D220" s="828"/>
      <c r="E220" s="828"/>
      <c r="F220" s="828"/>
      <c r="G220" s="829">
        <f>SUM(C220:F220)</f>
        <v>0</v>
      </c>
      <c r="H220" s="383"/>
    </row>
    <row r="221" spans="1:8" ht="15.9" hidden="1" customHeight="1" outlineLevel="1" x14ac:dyDescent="0.4">
      <c r="A221" s="842" t="s">
        <v>254</v>
      </c>
      <c r="B221" s="827" t="s">
        <v>255</v>
      </c>
      <c r="C221" s="828"/>
      <c r="D221" s="828"/>
      <c r="E221" s="828"/>
      <c r="F221" s="828"/>
      <c r="G221" s="829">
        <f>SUM(C221:F221)</f>
        <v>0</v>
      </c>
      <c r="H221" s="383"/>
    </row>
    <row r="222" spans="1:8" ht="9.9" customHeight="1" collapsed="1" x14ac:dyDescent="0.4">
      <c r="A222" s="871"/>
      <c r="B222" s="872"/>
      <c r="C222" s="873"/>
      <c r="D222" s="873"/>
      <c r="E222" s="873"/>
      <c r="F222" s="873"/>
      <c r="G222" s="841"/>
      <c r="H222" s="383"/>
    </row>
    <row r="223" spans="1:8" ht="15.9" customHeight="1" x14ac:dyDescent="0.4">
      <c r="A223" s="821" t="s">
        <v>258</v>
      </c>
      <c r="B223" s="844" t="s">
        <v>251</v>
      </c>
      <c r="C223" s="823">
        <f>SUM(C225:C226)</f>
        <v>413787754</v>
      </c>
      <c r="D223" s="719">
        <f>SUM(D225:D226)</f>
        <v>0</v>
      </c>
      <c r="E223" s="719">
        <f>SUM(E225:E226)</f>
        <v>9905264</v>
      </c>
      <c r="F223" s="719">
        <f>SUM(F225:F226)</f>
        <v>0</v>
      </c>
      <c r="G223" s="824">
        <f>SUM(G225:G226)</f>
        <v>423693018</v>
      </c>
      <c r="H223" s="383"/>
    </row>
    <row r="224" spans="1:8" ht="9.9" customHeight="1" x14ac:dyDescent="0.4">
      <c r="A224" s="825"/>
      <c r="B224" s="818"/>
      <c r="C224" s="819"/>
      <c r="D224" s="819"/>
      <c r="E224" s="819"/>
      <c r="F224" s="819"/>
      <c r="G224" s="820"/>
      <c r="H224" s="383"/>
    </row>
    <row r="225" spans="1:8" ht="15.9" customHeight="1" x14ac:dyDescent="0.4">
      <c r="A225" s="842" t="s">
        <v>411</v>
      </c>
      <c r="B225" s="827" t="s">
        <v>412</v>
      </c>
      <c r="C225" s="1347">
        <f>SUMIFS('Distribución OyA Detalle'!$G:$G,'Distribución OyA Detalle'!$D:$D,$A225,'Distribución OyA Detalle'!$A:$A,1)</f>
        <v>413787754</v>
      </c>
      <c r="D225" s="1347">
        <f>SUMIFS('Distribución OyA Detalle'!$G:$G,'Distribución OyA Detalle'!$D:$D,$A225,'Distribución OyA Detalle'!$A:$A,2)</f>
        <v>0</v>
      </c>
      <c r="E225" s="1347">
        <f>SUMIFS('Distribución OyA Detalle'!$G:$G,'Distribución OyA Detalle'!$D:$D,$A225,'Distribución OyA Detalle'!$A:$A,3)</f>
        <v>9905264</v>
      </c>
      <c r="F225" s="1347">
        <f>SUMIFS('Distribución OyA Detalle'!$G:$G,'Distribución OyA Detalle'!$D:$D,$A225,'Distribución OyA Detalle'!$A:$A,4)</f>
        <v>0</v>
      </c>
      <c r="G225" s="1463">
        <f>+C225+D225+E225+F225</f>
        <v>423693018</v>
      </c>
      <c r="H225" s="383"/>
    </row>
    <row r="226" spans="1:8" ht="15.9" hidden="1" customHeight="1" x14ac:dyDescent="0.4">
      <c r="A226" s="842" t="s">
        <v>259</v>
      </c>
      <c r="B226" s="827" t="s">
        <v>260</v>
      </c>
      <c r="C226" s="828"/>
      <c r="D226" s="828"/>
      <c r="E226" s="828"/>
      <c r="F226" s="828"/>
      <c r="G226" s="829">
        <f>SUM(C226:F226)</f>
        <v>0</v>
      </c>
      <c r="H226" s="383"/>
    </row>
    <row r="227" spans="1:8" ht="9.9" customHeight="1" thickBot="1" x14ac:dyDescent="0.45">
      <c r="A227" s="864"/>
      <c r="B227" s="865"/>
      <c r="C227" s="866"/>
      <c r="D227" s="866"/>
      <c r="E227" s="866"/>
      <c r="F227" s="866"/>
      <c r="G227" s="867"/>
      <c r="H227" s="383"/>
    </row>
    <row r="228" spans="1:8" ht="15.9" customHeight="1" thickBot="1" x14ac:dyDescent="0.45">
      <c r="A228" s="851">
        <v>6</v>
      </c>
      <c r="B228" s="810" t="s">
        <v>261</v>
      </c>
      <c r="C228" s="852">
        <f>+C230+C239+C243+C247+C235</f>
        <v>87780000</v>
      </c>
      <c r="D228" s="852">
        <f>+D230+D239+D243+D247+D235</f>
        <v>0</v>
      </c>
      <c r="E228" s="852">
        <f>+E230+E239+E243+E247+E235</f>
        <v>413997272</v>
      </c>
      <c r="F228" s="852">
        <f>+F230+F239+F243+F247+F235</f>
        <v>1200000</v>
      </c>
      <c r="G228" s="874">
        <f>+G230+G239+G243+G247+G235</f>
        <v>502977272</v>
      </c>
      <c r="H228" s="383"/>
    </row>
    <row r="229" spans="1:8" ht="9.9" customHeight="1" x14ac:dyDescent="0.4">
      <c r="A229" s="855"/>
      <c r="B229" s="856"/>
      <c r="C229" s="857"/>
      <c r="D229" s="857"/>
      <c r="E229" s="857"/>
      <c r="F229" s="857"/>
      <c r="G229" s="858"/>
      <c r="H229" s="383"/>
    </row>
    <row r="230" spans="1:8" ht="15.9" customHeight="1" x14ac:dyDescent="0.4">
      <c r="A230" s="821" t="s">
        <v>262</v>
      </c>
      <c r="B230" s="844" t="s">
        <v>280</v>
      </c>
      <c r="C230" s="823">
        <f>SUM(C232:C233)</f>
        <v>30000000</v>
      </c>
      <c r="D230" s="823">
        <f>SUM(D232:D233)</f>
        <v>0</v>
      </c>
      <c r="E230" s="823">
        <f>SUM(E232:E233)</f>
        <v>411894272</v>
      </c>
      <c r="F230" s="823">
        <f>SUM(F232:F233)</f>
        <v>0</v>
      </c>
      <c r="G230" s="875">
        <f>SUM(G232:G233)</f>
        <v>441894272</v>
      </c>
      <c r="H230" s="383"/>
    </row>
    <row r="231" spans="1:8" ht="9.9" customHeight="1" x14ac:dyDescent="0.4">
      <c r="A231" s="825"/>
      <c r="B231" s="818"/>
      <c r="C231" s="819"/>
      <c r="D231" s="819"/>
      <c r="E231" s="819"/>
      <c r="F231" s="819"/>
      <c r="G231" s="820"/>
      <c r="H231" s="383"/>
    </row>
    <row r="232" spans="1:8" ht="15.9" customHeight="1" x14ac:dyDescent="0.4">
      <c r="A232" s="876" t="s">
        <v>353</v>
      </c>
      <c r="B232" s="861" t="s">
        <v>354</v>
      </c>
      <c r="C232" s="1347">
        <f>SUMIFS('Distribución OyA Detalle'!$G:$G,'Distribución OyA Detalle'!$D:$D,$A232,'Distribución OyA Detalle'!$A:$A,1)</f>
        <v>30000000</v>
      </c>
      <c r="D232" s="1347">
        <f>SUMIFS('Distribución OyA Detalle'!$G:$G,'Distribución OyA Detalle'!$D:$D,$A232,'Distribución OyA Detalle'!$A:$A,2)</f>
        <v>0</v>
      </c>
      <c r="E232" s="1347">
        <f>SUMIFS('Distribución OyA Detalle'!$G:$G,'Distribución OyA Detalle'!$D:$D,$A232,'Distribución OyA Detalle'!$A:$A,3)</f>
        <v>411894272</v>
      </c>
      <c r="F232" s="1347">
        <f>SUMIFS('Distribución OyA Detalle'!$G:$G,'Distribución OyA Detalle'!$D:$D,$A232,'Distribución OyA Detalle'!$A:$A,4)</f>
        <v>0</v>
      </c>
      <c r="G232" s="1463">
        <f>+C232+D232+E232+F232</f>
        <v>441894272</v>
      </c>
      <c r="H232" s="383"/>
    </row>
    <row r="233" spans="1:8" ht="15.9" hidden="1" customHeight="1" x14ac:dyDescent="0.4">
      <c r="A233" s="876" t="s">
        <v>263</v>
      </c>
      <c r="B233" s="861" t="s">
        <v>462</v>
      </c>
      <c r="C233" s="828"/>
      <c r="D233" s="828"/>
      <c r="E233" s="828"/>
      <c r="F233" s="828"/>
      <c r="G233" s="829">
        <f>SUM(C233:F233)</f>
        <v>0</v>
      </c>
      <c r="H233" s="383"/>
    </row>
    <row r="234" spans="1:8" ht="9.9" customHeight="1" x14ac:dyDescent="0.4">
      <c r="A234" s="877"/>
      <c r="B234" s="878"/>
      <c r="C234" s="838"/>
      <c r="D234" s="838"/>
      <c r="E234" s="838"/>
      <c r="F234" s="838"/>
      <c r="G234" s="839"/>
      <c r="H234" s="383"/>
    </row>
    <row r="235" spans="1:8" ht="15.9" customHeight="1" x14ac:dyDescent="0.4">
      <c r="A235" s="821" t="s">
        <v>805</v>
      </c>
      <c r="B235" s="844" t="s">
        <v>806</v>
      </c>
      <c r="C235" s="823">
        <f>+C237</f>
        <v>7780000</v>
      </c>
      <c r="D235" s="823">
        <f>+D237</f>
        <v>0</v>
      </c>
      <c r="E235" s="823">
        <f>+E237</f>
        <v>0</v>
      </c>
      <c r="F235" s="823">
        <f>+F237</f>
        <v>0</v>
      </c>
      <c r="G235" s="824">
        <f>+G237</f>
        <v>7780000</v>
      </c>
      <c r="H235" s="383"/>
    </row>
    <row r="236" spans="1:8" ht="9.9" customHeight="1" x14ac:dyDescent="0.4">
      <c r="A236" s="877"/>
      <c r="B236" s="878"/>
      <c r="C236" s="838"/>
      <c r="D236" s="838"/>
      <c r="E236" s="838"/>
      <c r="F236" s="838"/>
      <c r="G236" s="839"/>
      <c r="H236" s="383"/>
    </row>
    <row r="237" spans="1:8" ht="15.9" customHeight="1" x14ac:dyDescent="0.4">
      <c r="A237" s="876" t="s">
        <v>809</v>
      </c>
      <c r="B237" s="861" t="s">
        <v>810</v>
      </c>
      <c r="C237" s="1347">
        <f>SUMIFS('Distribución OyA Detalle'!$G:$G,'Distribución OyA Detalle'!$D:$D,$A237,'Distribución OyA Detalle'!$A:$A,1)</f>
        <v>7780000</v>
      </c>
      <c r="D237" s="1347">
        <f>SUMIFS('Distribución OyA Detalle'!$G:$G,'Distribución OyA Detalle'!$D:$D,$A237,'Distribución OyA Detalle'!$A:$A,2)</f>
        <v>0</v>
      </c>
      <c r="E237" s="1347">
        <f>SUMIFS('Distribución OyA Detalle'!$G:$G,'Distribución OyA Detalle'!$D:$D,$A237,'Distribución OyA Detalle'!$A:$A,3)</f>
        <v>0</v>
      </c>
      <c r="F237" s="1347">
        <f>SUMIFS('Distribución OyA Detalle'!$G:$G,'Distribución OyA Detalle'!$D:$D,$A237,'Distribución OyA Detalle'!$A:$A,4)</f>
        <v>0</v>
      </c>
      <c r="G237" s="1463">
        <f>+C237+D237+E237+F237</f>
        <v>7780000</v>
      </c>
      <c r="H237" s="383"/>
    </row>
    <row r="238" spans="1:8" ht="9.9" customHeight="1" x14ac:dyDescent="0.4">
      <c r="A238" s="877"/>
      <c r="B238" s="878"/>
      <c r="C238" s="838"/>
      <c r="D238" s="838"/>
      <c r="E238" s="838"/>
      <c r="F238" s="838"/>
      <c r="G238" s="839"/>
      <c r="H238" s="383"/>
    </row>
    <row r="239" spans="1:8" ht="15.9" customHeight="1" x14ac:dyDescent="0.4">
      <c r="A239" s="821" t="s">
        <v>264</v>
      </c>
      <c r="B239" s="844" t="s">
        <v>265</v>
      </c>
      <c r="C239" s="823">
        <f>SUM(C241)</f>
        <v>50000000</v>
      </c>
      <c r="D239" s="719">
        <f>SUM(D241)</f>
        <v>0</v>
      </c>
      <c r="E239" s="719">
        <f>SUM(E241)</f>
        <v>2103000</v>
      </c>
      <c r="F239" s="719">
        <f>SUM(F241)</f>
        <v>0</v>
      </c>
      <c r="G239" s="824">
        <f>SUM(G241)</f>
        <v>52103000</v>
      </c>
      <c r="H239" s="383"/>
    </row>
    <row r="240" spans="1:8" ht="9.9" customHeight="1" x14ac:dyDescent="0.4">
      <c r="A240" s="825"/>
      <c r="B240" s="818"/>
      <c r="C240" s="819"/>
      <c r="D240" s="819"/>
      <c r="E240" s="819"/>
      <c r="F240" s="819"/>
      <c r="G240" s="820"/>
      <c r="H240" s="383"/>
    </row>
    <row r="241" spans="1:8" ht="15.9" customHeight="1" x14ac:dyDescent="0.4">
      <c r="A241" s="876" t="s">
        <v>345</v>
      </c>
      <c r="B241" s="861" t="s">
        <v>36</v>
      </c>
      <c r="C241" s="1347">
        <f>SUMIFS('Distribución OyA Detalle'!$G:$G,'Distribución OyA Detalle'!$D:$D,$A241,'Distribución OyA Detalle'!$A:$A,1)</f>
        <v>50000000</v>
      </c>
      <c r="D241" s="1347">
        <f>SUMIFS('Distribución OyA Detalle'!$G:$G,'Distribución OyA Detalle'!$D:$D,$A241,'Distribución OyA Detalle'!$A:$A,2)</f>
        <v>0</v>
      </c>
      <c r="E241" s="1347">
        <f>SUMIFS('Distribución OyA Detalle'!$G:$G,'Distribución OyA Detalle'!$D:$D,$A241,'Distribución OyA Detalle'!$A:$A,3)</f>
        <v>2103000</v>
      </c>
      <c r="F241" s="1347">
        <f>SUMIFS('Distribución OyA Detalle'!$G:$G,'Distribución OyA Detalle'!$D:$D,$A241,'Distribución OyA Detalle'!$A:$A,4)</f>
        <v>0</v>
      </c>
      <c r="G241" s="1463">
        <f>+C241+D241+E241+F241</f>
        <v>52103000</v>
      </c>
      <c r="H241" s="383"/>
    </row>
    <row r="242" spans="1:8" ht="15.9" hidden="1" customHeight="1" x14ac:dyDescent="0.4">
      <c r="A242" s="877"/>
      <c r="B242" s="878"/>
      <c r="C242" s="838"/>
      <c r="D242" s="838"/>
      <c r="E242" s="838"/>
      <c r="F242" s="838"/>
      <c r="G242" s="839"/>
      <c r="H242" s="383"/>
    </row>
    <row r="243" spans="1:8" ht="15.9" hidden="1" customHeight="1" x14ac:dyDescent="0.4">
      <c r="A243" s="821" t="s">
        <v>378</v>
      </c>
      <c r="B243" s="844" t="s">
        <v>414</v>
      </c>
      <c r="C243" s="823">
        <f>SUM(C245)</f>
        <v>0</v>
      </c>
      <c r="D243" s="719">
        <f>SUM(D245)</f>
        <v>0</v>
      </c>
      <c r="E243" s="719">
        <f>SUM(E245)</f>
        <v>0</v>
      </c>
      <c r="F243" s="719">
        <f>SUM(F245)</f>
        <v>0</v>
      </c>
      <c r="G243" s="824">
        <f>SUM(G245)</f>
        <v>0</v>
      </c>
      <c r="H243" s="383"/>
    </row>
    <row r="244" spans="1:8" ht="15.9" hidden="1" customHeight="1" x14ac:dyDescent="0.4">
      <c r="A244" s="825"/>
      <c r="B244" s="818"/>
      <c r="C244" s="819"/>
      <c r="D244" s="819"/>
      <c r="E244" s="819"/>
      <c r="F244" s="819"/>
      <c r="G244" s="820"/>
      <c r="H244" s="383"/>
    </row>
    <row r="245" spans="1:8" ht="15.9" hidden="1" customHeight="1" outlineLevel="1" x14ac:dyDescent="0.4">
      <c r="A245" s="876" t="s">
        <v>380</v>
      </c>
      <c r="B245" s="861" t="s">
        <v>381</v>
      </c>
      <c r="C245" s="828"/>
      <c r="D245" s="828"/>
      <c r="E245" s="828"/>
      <c r="F245" s="828"/>
      <c r="G245" s="829">
        <f>SUM(C245:F245)</f>
        <v>0</v>
      </c>
      <c r="H245" s="383"/>
    </row>
    <row r="246" spans="1:8" ht="9.9" customHeight="1" collapsed="1" x14ac:dyDescent="0.4">
      <c r="A246" s="877"/>
      <c r="B246" s="878"/>
      <c r="C246" s="838"/>
      <c r="D246" s="838"/>
      <c r="E246" s="838"/>
      <c r="F246" s="838"/>
      <c r="G246" s="839"/>
      <c r="H246" s="383"/>
    </row>
    <row r="247" spans="1:8" ht="15.9" customHeight="1" x14ac:dyDescent="0.4">
      <c r="A247" s="821" t="s">
        <v>266</v>
      </c>
      <c r="B247" s="844" t="s">
        <v>281</v>
      </c>
      <c r="C247" s="823">
        <f>SUM(C249:C250)</f>
        <v>0</v>
      </c>
      <c r="D247" s="719">
        <f>SUM(D249)</f>
        <v>0</v>
      </c>
      <c r="E247" s="719">
        <f>SUM(E249)</f>
        <v>0</v>
      </c>
      <c r="F247" s="719">
        <f>+F249+F250</f>
        <v>1200000</v>
      </c>
      <c r="G247" s="824">
        <f>SUM(G249:G250)</f>
        <v>1200000</v>
      </c>
      <c r="H247" s="383"/>
    </row>
    <row r="248" spans="1:8" ht="9.9" customHeight="1" x14ac:dyDescent="0.4">
      <c r="A248" s="825"/>
      <c r="B248" s="818"/>
      <c r="C248" s="819"/>
      <c r="D248" s="819"/>
      <c r="E248" s="819"/>
      <c r="F248" s="819"/>
      <c r="G248" s="820"/>
      <c r="H248" s="383"/>
    </row>
    <row r="249" spans="1:8" ht="15.9" customHeight="1" thickBot="1" x14ac:dyDescent="0.45">
      <c r="A249" s="879" t="s">
        <v>359</v>
      </c>
      <c r="B249" s="880" t="s">
        <v>368</v>
      </c>
      <c r="C249" s="1464">
        <f>SUMIFS('Distribución OyA Detalle'!$G:$G,'Distribución OyA Detalle'!$D:$D,$A249,'Distribución OyA Detalle'!$A:$A,1)</f>
        <v>0</v>
      </c>
      <c r="D249" s="1464">
        <f>SUMIFS('Distribución OyA Detalle'!$G:$G,'Distribución OyA Detalle'!$D:$D,$A249,'Distribución OyA Detalle'!$A:$A,2)</f>
        <v>0</v>
      </c>
      <c r="E249" s="1464">
        <f>SUMIFS('Distribución OyA Detalle'!$G:$G,'Distribución OyA Detalle'!$D:$D,$A249,'Distribución OyA Detalle'!$A:$A,3)</f>
        <v>0</v>
      </c>
      <c r="F249" s="1464">
        <f>SUMIFS('Distribución OyA Detalle'!$G:$G,'Distribución OyA Detalle'!$D:$D,$A249,'Distribución OyA Detalle'!$A:$A,4)</f>
        <v>1200000</v>
      </c>
      <c r="G249" s="1465">
        <f>+C249+D249+E249+F249</f>
        <v>1200000</v>
      </c>
      <c r="H249" s="383"/>
    </row>
    <row r="250" spans="1:8" ht="16.8" hidden="1" thickBot="1" x14ac:dyDescent="0.45">
      <c r="A250" s="1458" t="s">
        <v>359</v>
      </c>
      <c r="B250" s="1459" t="s">
        <v>368</v>
      </c>
      <c r="C250" s="1460"/>
      <c r="D250" s="1460"/>
      <c r="E250" s="1460"/>
      <c r="F250" s="1460"/>
      <c r="G250" s="1461">
        <f>SUM(C250:F250)</f>
        <v>0</v>
      </c>
      <c r="H250" s="383"/>
    </row>
    <row r="251" spans="1:8" hidden="1" x14ac:dyDescent="0.4">
      <c r="A251" s="882"/>
      <c r="B251" s="883"/>
      <c r="C251" s="884"/>
      <c r="D251" s="884"/>
      <c r="E251" s="884"/>
      <c r="F251" s="884"/>
      <c r="G251" s="885"/>
      <c r="H251" s="383"/>
    </row>
    <row r="252" spans="1:8" ht="16.8" hidden="1" thickBot="1" x14ac:dyDescent="0.45">
      <c r="A252" s="851">
        <v>9</v>
      </c>
      <c r="B252" s="810" t="s">
        <v>58</v>
      </c>
      <c r="C252" s="852">
        <f>C254</f>
        <v>0</v>
      </c>
      <c r="D252" s="853">
        <f>D254</f>
        <v>0</v>
      </c>
      <c r="E252" s="853">
        <f>E254</f>
        <v>0</v>
      </c>
      <c r="F252" s="853">
        <f>F254</f>
        <v>0</v>
      </c>
      <c r="G252" s="854">
        <f>G254</f>
        <v>0</v>
      </c>
      <c r="H252" s="383"/>
    </row>
    <row r="253" spans="1:8" hidden="1" x14ac:dyDescent="0.4">
      <c r="A253" s="855"/>
      <c r="B253" s="856"/>
      <c r="C253" s="857"/>
      <c r="D253" s="857"/>
      <c r="E253" s="857"/>
      <c r="F253" s="857"/>
      <c r="G253" s="858"/>
      <c r="H253" s="383"/>
    </row>
    <row r="254" spans="1:8" hidden="1" x14ac:dyDescent="0.4">
      <c r="A254" s="821" t="s">
        <v>268</v>
      </c>
      <c r="B254" s="844" t="s">
        <v>269</v>
      </c>
      <c r="C254" s="823">
        <f>SUM(C256:C257)</f>
        <v>0</v>
      </c>
      <c r="D254" s="719">
        <f>SUM(D256:D257)</f>
        <v>0</v>
      </c>
      <c r="E254" s="719">
        <f>SUM(E256:E257)</f>
        <v>0</v>
      </c>
      <c r="F254" s="719">
        <f>SUM(F256:F257)</f>
        <v>0</v>
      </c>
      <c r="G254" s="824">
        <f>SUM(G256:G257)</f>
        <v>0</v>
      </c>
      <c r="H254" s="383"/>
    </row>
    <row r="255" spans="1:8" hidden="1" x14ac:dyDescent="0.4">
      <c r="A255" s="825"/>
      <c r="B255" s="818"/>
      <c r="C255" s="819"/>
      <c r="D255" s="819"/>
      <c r="E255" s="819"/>
      <c r="F255" s="819"/>
      <c r="G255" s="820"/>
      <c r="H255" s="383"/>
    </row>
    <row r="256" spans="1:8" hidden="1" x14ac:dyDescent="0.4">
      <c r="A256" s="842" t="s">
        <v>270</v>
      </c>
      <c r="B256" s="886" t="s">
        <v>60</v>
      </c>
      <c r="C256" s="828"/>
      <c r="D256" s="828"/>
      <c r="E256" s="828"/>
      <c r="F256" s="828"/>
      <c r="G256" s="829">
        <f>SUM(C256:F256)</f>
        <v>0</v>
      </c>
      <c r="H256" s="383"/>
    </row>
    <row r="257" spans="1:8" ht="16.8" hidden="1" thickBot="1" x14ac:dyDescent="0.45">
      <c r="A257" s="879" t="s">
        <v>271</v>
      </c>
      <c r="B257" s="880" t="s">
        <v>283</v>
      </c>
      <c r="C257" s="828"/>
      <c r="D257" s="828"/>
      <c r="E257" s="828"/>
      <c r="F257" s="828"/>
      <c r="G257" s="881">
        <f>SUM(C257:F257)</f>
        <v>0</v>
      </c>
      <c r="H257" s="383"/>
    </row>
    <row r="258" spans="1:8" ht="7.2" customHeight="1" thickBot="1" x14ac:dyDescent="0.45">
      <c r="A258" s="1474"/>
      <c r="B258" s="1474"/>
      <c r="C258" s="1474"/>
      <c r="D258" s="1474"/>
      <c r="E258" s="1474"/>
      <c r="F258" s="1474"/>
      <c r="G258" s="1474"/>
      <c r="H258" s="383"/>
    </row>
    <row r="259" spans="1:8" ht="16.8" thickTop="1" x14ac:dyDescent="0.4">
      <c r="H259" s="383"/>
    </row>
    <row r="260" spans="1:8" x14ac:dyDescent="0.4">
      <c r="D260" s="887"/>
      <c r="E260" s="887"/>
      <c r="F260" s="887"/>
      <c r="G260" s="887"/>
      <c r="H260" s="383"/>
    </row>
    <row r="261" spans="1:8" x14ac:dyDescent="0.4">
      <c r="H261" s="383"/>
    </row>
    <row r="262" spans="1:8" x14ac:dyDescent="0.4">
      <c r="H262" s="383"/>
    </row>
    <row r="263" spans="1:8" x14ac:dyDescent="0.4">
      <c r="H263" s="383"/>
    </row>
    <row r="264" spans="1:8" x14ac:dyDescent="0.4">
      <c r="H264" s="383"/>
    </row>
    <row r="265" spans="1:8" x14ac:dyDescent="0.4">
      <c r="H265" s="383"/>
    </row>
    <row r="266" spans="1:8" x14ac:dyDescent="0.4">
      <c r="H266" s="383"/>
    </row>
    <row r="267" spans="1:8" x14ac:dyDescent="0.4">
      <c r="H267" s="383"/>
    </row>
    <row r="268" spans="1:8" x14ac:dyDescent="0.4">
      <c r="H268" s="383"/>
    </row>
    <row r="269" spans="1:8" x14ac:dyDescent="0.4">
      <c r="H269" s="383"/>
    </row>
    <row r="270" spans="1:8" x14ac:dyDescent="0.4">
      <c r="H270" s="383"/>
    </row>
    <row r="271" spans="1:8" x14ac:dyDescent="0.4">
      <c r="H271" s="383"/>
    </row>
    <row r="272" spans="1:8" x14ac:dyDescent="0.4">
      <c r="H272" s="383"/>
    </row>
    <row r="273" spans="8:8" x14ac:dyDescent="0.4">
      <c r="H273" s="383"/>
    </row>
    <row r="274" spans="8:8" x14ac:dyDescent="0.4">
      <c r="H274" s="383"/>
    </row>
    <row r="275" spans="8:8" x14ac:dyDescent="0.4">
      <c r="H275" s="383"/>
    </row>
    <row r="276" spans="8:8" x14ac:dyDescent="0.4">
      <c r="H276" s="383"/>
    </row>
    <row r="277" spans="8:8" x14ac:dyDescent="0.4">
      <c r="H277" s="383"/>
    </row>
    <row r="278" spans="8:8" x14ac:dyDescent="0.4">
      <c r="H278" s="383"/>
    </row>
    <row r="279" spans="8:8" x14ac:dyDescent="0.4">
      <c r="H279" s="383"/>
    </row>
  </sheetData>
  <mergeCells count="10">
    <mergeCell ref="A258:G258"/>
    <mergeCell ref="C41:E41"/>
    <mergeCell ref="A2:G2"/>
    <mergeCell ref="A3:G3"/>
    <mergeCell ref="A4:G4"/>
    <mergeCell ref="A5:G5"/>
    <mergeCell ref="A13:B13"/>
    <mergeCell ref="A35:B35"/>
    <mergeCell ref="A36:B36"/>
    <mergeCell ref="A9:B9"/>
  </mergeCells>
  <phoneticPr fontId="0" type="noConversion"/>
  <printOptions horizontalCentered="1"/>
  <pageMargins left="0.55118110236220474" right="0.47244094488188981" top="0.98425196850393704" bottom="0.78740157480314965" header="0.59055118110236227" footer="0.59055118110236227"/>
  <pageSetup scale="67" firstPageNumber="17" orientation="portrait" useFirstPageNumber="1" r:id="rId1"/>
  <headerFooter alignWithMargins="0">
    <oddFooter>&amp;C&amp;"Tw Cen MT,Normal"&amp;P</oddFooter>
  </headerFooter>
  <ignoredErrors>
    <ignoredError sqref="E28" formula="1"/>
    <ignoredError sqref="A43:A60 A85:A249"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3">
    <tabColor theme="9" tint="-0.499984740745262"/>
  </sheetPr>
  <dimension ref="A1:L231"/>
  <sheetViews>
    <sheetView showGridLines="0" zoomScale="90" zoomScaleNormal="90" workbookViewId="0">
      <selection activeCell="E62" sqref="E62"/>
    </sheetView>
  </sheetViews>
  <sheetFormatPr baseColWidth="10" defaultColWidth="11.44140625" defaultRowHeight="16.2" outlineLevelRow="1" x14ac:dyDescent="0.4"/>
  <cols>
    <col min="1" max="1" width="7.6640625" style="362" customWidth="1"/>
    <col min="2" max="2" width="65.44140625" style="362" bestFit="1" customWidth="1"/>
    <col min="3" max="3" width="14.88671875" style="384" bestFit="1" customWidth="1"/>
    <col min="4" max="4" width="13.44140625" style="384" bestFit="1" customWidth="1"/>
    <col min="5" max="5" width="14.88671875" style="384" bestFit="1" customWidth="1"/>
    <col min="6" max="6" width="13.44140625" style="384" bestFit="1" customWidth="1"/>
    <col min="7" max="7" width="15.88671875" style="384" bestFit="1" customWidth="1"/>
    <col min="8" max="8" width="14.6640625" style="362" bestFit="1" customWidth="1"/>
    <col min="9" max="9" width="13.33203125" style="362" bestFit="1" customWidth="1"/>
    <col min="10" max="10" width="11.88671875" style="362" bestFit="1" customWidth="1"/>
    <col min="11" max="11" width="13.33203125" style="362" bestFit="1" customWidth="1"/>
    <col min="12" max="12" width="11.88671875" style="362" bestFit="1" customWidth="1"/>
    <col min="13" max="16384" width="11.44140625" style="362"/>
  </cols>
  <sheetData>
    <row r="1" spans="1:12" ht="7.5" customHeight="1" x14ac:dyDescent="0.4">
      <c r="B1" s="372"/>
      <c r="C1" s="712"/>
      <c r="D1" s="712"/>
      <c r="E1" s="712"/>
      <c r="F1" s="712"/>
      <c r="G1" s="712"/>
    </row>
    <row r="2" spans="1:12" x14ac:dyDescent="0.4">
      <c r="B2" s="372"/>
      <c r="C2" s="712"/>
      <c r="D2" s="712"/>
      <c r="E2" s="712"/>
      <c r="F2" s="712"/>
      <c r="G2" s="712"/>
    </row>
    <row r="3" spans="1:12" x14ac:dyDescent="0.4">
      <c r="A3" s="1472" t="s">
        <v>284</v>
      </c>
      <c r="B3" s="1472"/>
      <c r="C3" s="1505"/>
      <c r="D3" s="1505"/>
      <c r="E3" s="1505"/>
      <c r="F3" s="1505"/>
      <c r="G3" s="1505"/>
    </row>
    <row r="4" spans="1:12" x14ac:dyDescent="0.4">
      <c r="A4" s="1472" t="s">
        <v>1276</v>
      </c>
      <c r="B4" s="1472"/>
      <c r="C4" s="1505"/>
      <c r="D4" s="1505"/>
      <c r="E4" s="1505"/>
      <c r="F4" s="1505"/>
      <c r="G4" s="1505"/>
    </row>
    <row r="5" spans="1:12" x14ac:dyDescent="0.4">
      <c r="A5" s="1472" t="s">
        <v>0</v>
      </c>
      <c r="B5" s="1472"/>
      <c r="C5" s="1505"/>
      <c r="D5" s="1505"/>
      <c r="E5" s="1505"/>
      <c r="F5" s="1505"/>
      <c r="G5" s="1505"/>
    </row>
    <row r="6" spans="1:12" ht="17.399999999999999" x14ac:dyDescent="0.45">
      <c r="A6" s="1490" t="s">
        <v>40</v>
      </c>
      <c r="B6" s="1490"/>
      <c r="C6" s="1521"/>
      <c r="D6" s="1521"/>
      <c r="E6" s="1521"/>
      <c r="F6" s="1521"/>
      <c r="G6" s="1521"/>
      <c r="H6" s="888"/>
    </row>
    <row r="7" spans="1:12" ht="16.8" thickBot="1" x14ac:dyDescent="0.45">
      <c r="A7" s="889"/>
      <c r="I7" s="384"/>
      <c r="J7" s="384"/>
      <c r="K7" s="384"/>
      <c r="L7" s="384"/>
    </row>
    <row r="8" spans="1:12" ht="16.8" thickBot="1" x14ac:dyDescent="0.45">
      <c r="A8" s="890"/>
      <c r="B8" s="891" t="s">
        <v>21</v>
      </c>
      <c r="C8" s="758">
        <f>SUM(C13+C55+C130+C176+C199+C223+C168)</f>
        <v>6408011684.6499996</v>
      </c>
      <c r="D8" s="758">
        <f>SUM(D13+D55+D130+D176+D199+D223)</f>
        <v>552019300</v>
      </c>
      <c r="E8" s="758">
        <f>SUM(E13+E55+E130+E176+E199+E223+E168)</f>
        <v>7480498366.8000002</v>
      </c>
      <c r="F8" s="758">
        <f>SUM(F13+F55+F130+F176+F199+F223)</f>
        <v>561509600</v>
      </c>
      <c r="G8" s="759">
        <f>SUM(G13+G55+G130+G176+G199+G223+G168)</f>
        <v>15002038951.449999</v>
      </c>
      <c r="H8" s="383"/>
      <c r="I8" s="384"/>
      <c r="J8" s="384"/>
      <c r="K8" s="384"/>
      <c r="L8" s="384"/>
    </row>
    <row r="9" spans="1:12" ht="7.5" customHeight="1" thickBot="1" x14ac:dyDescent="0.45">
      <c r="A9" s="892"/>
      <c r="B9" s="363"/>
      <c r="C9" s="1515"/>
      <c r="D9" s="1515"/>
      <c r="E9" s="1515"/>
      <c r="F9" s="893"/>
      <c r="G9" s="691"/>
    </row>
    <row r="10" spans="1:12" ht="28.5" customHeight="1" thickBot="1" x14ac:dyDescent="0.45">
      <c r="A10" s="894"/>
      <c r="B10" s="895"/>
      <c r="C10" s="896" t="s">
        <v>66</v>
      </c>
      <c r="D10" s="896" t="s">
        <v>67</v>
      </c>
      <c r="E10" s="896" t="s">
        <v>68</v>
      </c>
      <c r="F10" s="896" t="s">
        <v>355</v>
      </c>
      <c r="G10" s="897" t="s">
        <v>31</v>
      </c>
    </row>
    <row r="11" spans="1:12" ht="16.8" thickBot="1" x14ac:dyDescent="0.45">
      <c r="A11" s="1109"/>
      <c r="B11" s="892" t="s">
        <v>47</v>
      </c>
      <c r="C11" s="1110"/>
      <c r="D11" s="1110"/>
      <c r="E11" s="1110"/>
      <c r="F11" s="1110"/>
      <c r="G11" s="763"/>
    </row>
    <row r="12" spans="1:12" ht="15.9" hidden="1" customHeight="1" thickBot="1" x14ac:dyDescent="0.45">
      <c r="A12" s="898"/>
      <c r="B12" s="899"/>
      <c r="C12" s="893"/>
      <c r="D12" s="893"/>
      <c r="E12" s="893"/>
      <c r="F12" s="893"/>
      <c r="G12" s="900"/>
    </row>
    <row r="13" spans="1:12" ht="15.9" customHeight="1" thickBot="1" x14ac:dyDescent="0.45">
      <c r="A13" s="809" t="s">
        <v>70</v>
      </c>
      <c r="B13" s="810" t="s">
        <v>53</v>
      </c>
      <c r="C13" s="901">
        <f>SUM(C14+C37+C51)</f>
        <v>2272238780</v>
      </c>
      <c r="D13" s="901">
        <f>SUM(D14+D37+D51)</f>
        <v>472770000</v>
      </c>
      <c r="E13" s="901">
        <f>SUM(E14+E37+E51)</f>
        <v>5194428000</v>
      </c>
      <c r="F13" s="901">
        <f>SUM(F14+F37+F51)</f>
        <v>388576000</v>
      </c>
      <c r="G13" s="812">
        <f>SUM(G14+G36+G45+G51)</f>
        <v>8328012780</v>
      </c>
      <c r="H13" s="383" t="s">
        <v>382</v>
      </c>
    </row>
    <row r="14" spans="1:12" ht="15.9" hidden="1" customHeight="1" outlineLevel="1" thickBot="1" x14ac:dyDescent="0.45">
      <c r="A14" s="902"/>
      <c r="B14" s="814" t="s">
        <v>390</v>
      </c>
      <c r="C14" s="903">
        <f>+C16+C22+C28</f>
        <v>1827242780</v>
      </c>
      <c r="D14" s="903">
        <f>+D16+D22+D28</f>
        <v>379373500</v>
      </c>
      <c r="E14" s="903">
        <f>+E16+E22+E28</f>
        <v>4168261500</v>
      </c>
      <c r="F14" s="903">
        <f>+F16+F22+F28</f>
        <v>311813000</v>
      </c>
      <c r="G14" s="904">
        <f>+G16+G22+G28</f>
        <v>6686690780</v>
      </c>
    </row>
    <row r="15" spans="1:12" ht="9.9" customHeight="1" collapsed="1" x14ac:dyDescent="0.4">
      <c r="A15" s="905"/>
      <c r="B15" s="818"/>
      <c r="C15" s="906"/>
      <c r="D15" s="906"/>
      <c r="E15" s="906"/>
      <c r="F15" s="906"/>
      <c r="G15" s="907"/>
    </row>
    <row r="16" spans="1:12" ht="15.9" customHeight="1" x14ac:dyDescent="0.4">
      <c r="A16" s="908" t="s">
        <v>325</v>
      </c>
      <c r="B16" s="909" t="s">
        <v>71</v>
      </c>
      <c r="C16" s="910">
        <f>SUM(C18:C20)</f>
        <v>1060719500</v>
      </c>
      <c r="D16" s="910">
        <f>SUM(D18:D20)</f>
        <v>226221500</v>
      </c>
      <c r="E16" s="910">
        <f>SUM(E18:E20)</f>
        <v>2832979500</v>
      </c>
      <c r="F16" s="910">
        <f>SUM(F18:F20)</f>
        <v>175799500</v>
      </c>
      <c r="G16" s="911">
        <f>SUM(G18:G20)</f>
        <v>4295720000</v>
      </c>
    </row>
    <row r="17" spans="1:8" ht="9.9" customHeight="1" x14ac:dyDescent="0.4">
      <c r="A17" s="905"/>
      <c r="B17" s="818"/>
      <c r="C17" s="906"/>
      <c r="D17" s="906"/>
      <c r="E17" s="906"/>
      <c r="F17" s="906"/>
      <c r="G17" s="907"/>
    </row>
    <row r="18" spans="1:8" ht="15.9" customHeight="1" x14ac:dyDescent="0.4">
      <c r="A18" s="912" t="s">
        <v>72</v>
      </c>
      <c r="B18" s="827" t="s">
        <v>441</v>
      </c>
      <c r="C18" s="828">
        <f>+'EST.ORIGEN Y APLICACION'!C48</f>
        <v>1055719500</v>
      </c>
      <c r="D18" s="828">
        <f>+'EST.ORIGEN Y APLICACION'!D48</f>
        <v>222821000</v>
      </c>
      <c r="E18" s="828">
        <f>+'EST.ORIGEN Y APLICACION'!E48</f>
        <v>1814225000</v>
      </c>
      <c r="F18" s="828">
        <f>+'EST.ORIGEN Y APLICACION'!F48</f>
        <v>174805500</v>
      </c>
      <c r="G18" s="913">
        <f>SUM(C18:F18)</f>
        <v>3267571000</v>
      </c>
      <c r="H18" s="384" t="s">
        <v>382</v>
      </c>
    </row>
    <row r="19" spans="1:8" ht="15.9" customHeight="1" x14ac:dyDescent="0.4">
      <c r="A19" s="912" t="s">
        <v>73</v>
      </c>
      <c r="B19" s="827" t="s">
        <v>442</v>
      </c>
      <c r="C19" s="828">
        <f>+'EST.ORIGEN Y APLICACION'!C49</f>
        <v>0</v>
      </c>
      <c r="D19" s="828">
        <f>+'EST.ORIGEN Y APLICACION'!D49</f>
        <v>3400500</v>
      </c>
      <c r="E19" s="828">
        <f>+'EST.ORIGEN Y APLICACION'!E49</f>
        <v>1018754500</v>
      </c>
      <c r="F19" s="828">
        <f>+'EST.ORIGEN Y APLICACION'!F49</f>
        <v>994000</v>
      </c>
      <c r="G19" s="913">
        <f>SUM(C19:F19)</f>
        <v>1023149000</v>
      </c>
      <c r="H19" s="384" t="s">
        <v>382</v>
      </c>
    </row>
    <row r="20" spans="1:8" ht="15.9" customHeight="1" x14ac:dyDescent="0.4">
      <c r="A20" s="912" t="s">
        <v>391</v>
      </c>
      <c r="B20" s="827" t="s">
        <v>374</v>
      </c>
      <c r="C20" s="828">
        <f>+'EST.ORIGEN Y APLICACION'!C50</f>
        <v>5000000</v>
      </c>
      <c r="D20" s="828">
        <f>+'EST.ORIGEN Y APLICACION'!D50</f>
        <v>0</v>
      </c>
      <c r="E20" s="828">
        <f>+'EST.ORIGEN Y APLICACION'!E50</f>
        <v>0</v>
      </c>
      <c r="F20" s="828">
        <f>+'EST.ORIGEN Y APLICACION'!F50</f>
        <v>0</v>
      </c>
      <c r="G20" s="913">
        <f>SUM(C20:F20)</f>
        <v>5000000</v>
      </c>
      <c r="H20" s="384" t="s">
        <v>382</v>
      </c>
    </row>
    <row r="21" spans="1:8" ht="9.9" customHeight="1" x14ac:dyDescent="0.4">
      <c r="A21" s="912"/>
      <c r="B21" s="831"/>
      <c r="C21" s="873"/>
      <c r="D21" s="873"/>
      <c r="E21" s="873"/>
      <c r="F21" s="873"/>
      <c r="G21" s="914"/>
      <c r="H21" s="384" t="s">
        <v>382</v>
      </c>
    </row>
    <row r="22" spans="1:8" ht="15.9" customHeight="1" x14ac:dyDescent="0.4">
      <c r="A22" s="908" t="s">
        <v>74</v>
      </c>
      <c r="B22" s="909" t="s">
        <v>75</v>
      </c>
      <c r="C22" s="910">
        <f>SUM(C24:C26)</f>
        <v>20436780</v>
      </c>
      <c r="D22" s="910">
        <f>SUM(D24:D26)</f>
        <v>0</v>
      </c>
      <c r="E22" s="910">
        <f>SUM(E24:E26)</f>
        <v>162680000</v>
      </c>
      <c r="F22" s="910">
        <f>SUM(F24:F26)</f>
        <v>2000000</v>
      </c>
      <c r="G22" s="911">
        <f>SUM(G24:G26)</f>
        <v>185116780</v>
      </c>
    </row>
    <row r="23" spans="1:8" ht="9.9" customHeight="1" x14ac:dyDescent="0.4">
      <c r="A23" s="912"/>
      <c r="B23" s="818"/>
      <c r="C23" s="873"/>
      <c r="D23" s="873"/>
      <c r="E23" s="873"/>
      <c r="F23" s="873"/>
      <c r="G23" s="914"/>
    </row>
    <row r="24" spans="1:8" ht="15.9" customHeight="1" x14ac:dyDescent="0.4">
      <c r="A24" s="912" t="s">
        <v>76</v>
      </c>
      <c r="B24" s="827" t="s">
        <v>35</v>
      </c>
      <c r="C24" s="828">
        <f>+'EST.ORIGEN Y APLICACION'!C54</f>
        <v>5751500</v>
      </c>
      <c r="D24" s="828">
        <f>+'EST.ORIGEN Y APLICACION'!D54</f>
        <v>0</v>
      </c>
      <c r="E24" s="828">
        <f>+'EST.ORIGEN Y APLICACION'!E54</f>
        <v>162680000</v>
      </c>
      <c r="F24" s="828">
        <f>+'EST.ORIGEN Y APLICACION'!F54</f>
        <v>2000000</v>
      </c>
      <c r="G24" s="913">
        <f>SUM(C24:F24)</f>
        <v>170431500</v>
      </c>
    </row>
    <row r="25" spans="1:8" ht="15.9" customHeight="1" x14ac:dyDescent="0.4">
      <c r="A25" s="912" t="s">
        <v>567</v>
      </c>
      <c r="B25" s="827" t="s">
        <v>568</v>
      </c>
      <c r="C25" s="828">
        <f>+'EST.ORIGEN Y APLICACION'!C55</f>
        <v>1000000</v>
      </c>
      <c r="D25" s="828">
        <f>+'EST.ORIGEN Y APLICACION'!D55</f>
        <v>0</v>
      </c>
      <c r="E25" s="828">
        <f>+'EST.ORIGEN Y APLICACION'!E55</f>
        <v>0</v>
      </c>
      <c r="F25" s="828">
        <f>+'EST.ORIGEN Y APLICACION'!F55</f>
        <v>0</v>
      </c>
      <c r="G25" s="913">
        <f>SUM(C25:F25)</f>
        <v>1000000</v>
      </c>
    </row>
    <row r="26" spans="1:8" ht="15.9" customHeight="1" x14ac:dyDescent="0.4">
      <c r="A26" s="912" t="s">
        <v>77</v>
      </c>
      <c r="B26" s="835" t="s">
        <v>17</v>
      </c>
      <c r="C26" s="828">
        <f>+'EST.ORIGEN Y APLICACION'!C56</f>
        <v>13685280</v>
      </c>
      <c r="D26" s="828">
        <f>+'EST.ORIGEN Y APLICACION'!D56</f>
        <v>0</v>
      </c>
      <c r="E26" s="828">
        <f>+'EST.ORIGEN Y APLICACION'!E56</f>
        <v>0</v>
      </c>
      <c r="F26" s="828">
        <f>+'EST.ORIGEN Y APLICACION'!F56</f>
        <v>0</v>
      </c>
      <c r="G26" s="913">
        <f>SUM(C26:F26)</f>
        <v>13685280</v>
      </c>
    </row>
    <row r="27" spans="1:8" ht="9.9" customHeight="1" x14ac:dyDescent="0.4">
      <c r="A27" s="912"/>
      <c r="B27" s="818"/>
      <c r="C27" s="873"/>
      <c r="D27" s="873"/>
      <c r="E27" s="873"/>
      <c r="F27" s="873"/>
      <c r="G27" s="914"/>
    </row>
    <row r="28" spans="1:8" ht="15.9" customHeight="1" x14ac:dyDescent="0.4">
      <c r="A28" s="908" t="s">
        <v>78</v>
      </c>
      <c r="B28" s="909" t="s">
        <v>79</v>
      </c>
      <c r="C28" s="910">
        <f>SUM(C30:C34)</f>
        <v>746086500</v>
      </c>
      <c r="D28" s="910">
        <f>SUM(D30:D34)</f>
        <v>153152000</v>
      </c>
      <c r="E28" s="910">
        <f>SUM(E30:E34)</f>
        <v>1172602000</v>
      </c>
      <c r="F28" s="910">
        <f>SUM(F30:F34)</f>
        <v>134013500</v>
      </c>
      <c r="G28" s="911">
        <f>SUM(G30:G34)</f>
        <v>2205854000</v>
      </c>
    </row>
    <row r="29" spans="1:8" ht="9.9" customHeight="1" x14ac:dyDescent="0.4">
      <c r="A29" s="912"/>
      <c r="B29" s="818"/>
      <c r="C29" s="873"/>
      <c r="D29" s="873"/>
      <c r="E29" s="873"/>
      <c r="F29" s="873"/>
      <c r="G29" s="914"/>
    </row>
    <row r="30" spans="1:8" ht="15.9" customHeight="1" x14ac:dyDescent="0.4">
      <c r="A30" s="912" t="s">
        <v>80</v>
      </c>
      <c r="B30" s="827" t="s">
        <v>443</v>
      </c>
      <c r="C30" s="828">
        <f>+'EST.ORIGEN Y APLICACION'!C60</f>
        <v>191084500</v>
      </c>
      <c r="D30" s="828">
        <f>+'EST.ORIGEN Y APLICACION'!D60</f>
        <v>32431000</v>
      </c>
      <c r="E30" s="828">
        <f>+'EST.ORIGEN Y APLICACION'!E60</f>
        <v>269777500</v>
      </c>
      <c r="F30" s="828">
        <f>+'EST.ORIGEN Y APLICACION'!F60</f>
        <v>43045500</v>
      </c>
      <c r="G30" s="913">
        <f>SUM(C30:F30)</f>
        <v>536338500</v>
      </c>
    </row>
    <row r="31" spans="1:8" ht="15.9" customHeight="1" x14ac:dyDescent="0.4">
      <c r="A31" s="912" t="s">
        <v>82</v>
      </c>
      <c r="B31" s="827" t="s">
        <v>444</v>
      </c>
      <c r="C31" s="828">
        <f>+'EST.ORIGEN Y APLICACION'!C61</f>
        <v>238623500</v>
      </c>
      <c r="D31" s="828">
        <f>+'EST.ORIGEN Y APLICACION'!D61</f>
        <v>51115000</v>
      </c>
      <c r="E31" s="828">
        <f>+'EST.ORIGEN Y APLICACION'!E61</f>
        <v>247231000</v>
      </c>
      <c r="F31" s="828">
        <f>+'EST.ORIGEN Y APLICACION'!F61</f>
        <v>37203000</v>
      </c>
      <c r="G31" s="913">
        <f>SUM(C31:F31)</f>
        <v>574172500</v>
      </c>
    </row>
    <row r="32" spans="1:8" ht="15.9" customHeight="1" x14ac:dyDescent="0.4">
      <c r="A32" s="912" t="s">
        <v>84</v>
      </c>
      <c r="B32" s="827" t="s">
        <v>14</v>
      </c>
      <c r="C32" s="828">
        <f>+'EST.ORIGEN Y APLICACION'!C62</f>
        <v>139042500</v>
      </c>
      <c r="D32" s="828">
        <f>+'EST.ORIGEN Y APLICACION'!D62</f>
        <v>29182500</v>
      </c>
      <c r="E32" s="828">
        <f>+'EST.ORIGEN Y APLICACION'!E62</f>
        <v>320630500</v>
      </c>
      <c r="F32" s="828">
        <f>+'EST.ORIGEN Y APLICACION'!F62</f>
        <v>23985000</v>
      </c>
      <c r="G32" s="913">
        <f>SUM(C32:F32)</f>
        <v>512840500</v>
      </c>
    </row>
    <row r="33" spans="1:7" ht="15.9" customHeight="1" x14ac:dyDescent="0.4">
      <c r="A33" s="912" t="s">
        <v>86</v>
      </c>
      <c r="B33" s="827" t="s">
        <v>445</v>
      </c>
      <c r="C33" s="828">
        <f>+'EST.ORIGEN Y APLICACION'!C63</f>
        <v>121774500</v>
      </c>
      <c r="D33" s="828">
        <f>+'EST.ORIGEN Y APLICACION'!D63</f>
        <v>26112500</v>
      </c>
      <c r="E33" s="828">
        <f>+'EST.ORIGEN Y APLICACION'!E63</f>
        <v>280721000</v>
      </c>
      <c r="F33" s="828">
        <f>+'EST.ORIGEN Y APLICACION'!F63</f>
        <v>21596500</v>
      </c>
      <c r="G33" s="913">
        <f>SUM(C33:F33)</f>
        <v>450204500</v>
      </c>
    </row>
    <row r="34" spans="1:7" ht="15.9" customHeight="1" x14ac:dyDescent="0.4">
      <c r="A34" s="912" t="s">
        <v>87</v>
      </c>
      <c r="B34" s="827" t="s">
        <v>88</v>
      </c>
      <c r="C34" s="828">
        <f>+'EST.ORIGEN Y APLICACION'!C64</f>
        <v>55561500</v>
      </c>
      <c r="D34" s="828">
        <f>+'EST.ORIGEN Y APLICACION'!D64</f>
        <v>14311000</v>
      </c>
      <c r="E34" s="828">
        <f>+'EST.ORIGEN Y APLICACION'!E64</f>
        <v>54242000</v>
      </c>
      <c r="F34" s="828">
        <f>+'EST.ORIGEN Y APLICACION'!F64</f>
        <v>8183500</v>
      </c>
      <c r="G34" s="913">
        <f>SUM(C34:F34)</f>
        <v>132298000</v>
      </c>
    </row>
    <row r="35" spans="1:7" ht="9.9" customHeight="1" x14ac:dyDescent="0.4">
      <c r="A35" s="912"/>
      <c r="B35" s="831"/>
      <c r="C35" s="873"/>
      <c r="D35" s="873"/>
      <c r="E35" s="873"/>
      <c r="F35" s="873"/>
      <c r="G35" s="914"/>
    </row>
    <row r="36" spans="1:7" ht="15.9" customHeight="1" x14ac:dyDescent="0.4">
      <c r="A36" s="908" t="s">
        <v>89</v>
      </c>
      <c r="B36" s="909" t="s">
        <v>392</v>
      </c>
      <c r="C36" s="910">
        <f>SUM(C39:C43)</f>
        <v>279478000</v>
      </c>
      <c r="D36" s="910">
        <f>SUM(D39:D43)</f>
        <v>58657000</v>
      </c>
      <c r="E36" s="910">
        <f>SUM(E39:E43)</f>
        <v>644481000</v>
      </c>
      <c r="F36" s="910">
        <f>SUM(F39:F43)</f>
        <v>48210000</v>
      </c>
      <c r="G36" s="911">
        <f>SUM(G39:G43)</f>
        <v>1030826000</v>
      </c>
    </row>
    <row r="37" spans="1:7" ht="15.9" hidden="1" customHeight="1" outlineLevel="1" thickBot="1" x14ac:dyDescent="0.45">
      <c r="A37" s="902"/>
      <c r="B37" s="814" t="s">
        <v>273</v>
      </c>
      <c r="C37" s="903">
        <f>+C36+C45</f>
        <v>444996000</v>
      </c>
      <c r="D37" s="903">
        <f>+D36+D45</f>
        <v>93396500</v>
      </c>
      <c r="E37" s="903">
        <f>+E36+E45</f>
        <v>1026166500</v>
      </c>
      <c r="F37" s="903">
        <f>+F36+F45</f>
        <v>76763000</v>
      </c>
      <c r="G37" s="904">
        <f>+G36+G45</f>
        <v>1641322000</v>
      </c>
    </row>
    <row r="38" spans="1:7" ht="9.9" customHeight="1" collapsed="1" x14ac:dyDescent="0.4">
      <c r="A38" s="912"/>
      <c r="B38" s="818"/>
      <c r="C38" s="873"/>
      <c r="D38" s="873"/>
      <c r="E38" s="873"/>
      <c r="F38" s="873"/>
      <c r="G38" s="841"/>
    </row>
    <row r="39" spans="1:7" ht="15.9" customHeight="1" x14ac:dyDescent="0.4">
      <c r="A39" s="871" t="s">
        <v>90</v>
      </c>
      <c r="B39" s="827" t="s">
        <v>446</v>
      </c>
      <c r="C39" s="828">
        <f>+'EST.ORIGEN Y APLICACION'!C69</f>
        <v>154338500</v>
      </c>
      <c r="D39" s="828">
        <f>+'EST.ORIGEN Y APLICACION'!D69</f>
        <v>32392500</v>
      </c>
      <c r="E39" s="828">
        <f>+'EST.ORIGEN Y APLICACION'!E69</f>
        <v>355907000</v>
      </c>
      <c r="F39" s="828">
        <f>+'EST.ORIGEN Y APLICACION'!F69</f>
        <v>26623500</v>
      </c>
      <c r="G39" s="913">
        <f>SUM(C39:F39)</f>
        <v>569261500</v>
      </c>
    </row>
    <row r="40" spans="1:7" ht="15.9" customHeight="1" x14ac:dyDescent="0.4">
      <c r="A40" s="871" t="s">
        <v>92</v>
      </c>
      <c r="B40" s="827" t="s">
        <v>447</v>
      </c>
      <c r="C40" s="828">
        <f>+'EST.ORIGEN Y APLICACION'!C70</f>
        <v>8343000</v>
      </c>
      <c r="D40" s="828">
        <f>+'EST.ORIGEN Y APLICACION'!D70</f>
        <v>1751000</v>
      </c>
      <c r="E40" s="828">
        <f>+'EST.ORIGEN Y APLICACION'!E70</f>
        <v>19238500</v>
      </c>
      <c r="F40" s="828">
        <f>+'EST.ORIGEN Y APLICACION'!F70</f>
        <v>1439000</v>
      </c>
      <c r="G40" s="913">
        <f>SUM(C40:F40)</f>
        <v>30771500</v>
      </c>
    </row>
    <row r="41" spans="1:7" ht="15.9" customHeight="1" x14ac:dyDescent="0.4">
      <c r="A41" s="871" t="s">
        <v>93</v>
      </c>
      <c r="B41" s="827" t="s">
        <v>448</v>
      </c>
      <c r="C41" s="828">
        <f>+'EST.ORIGEN Y APLICACION'!C71</f>
        <v>25028000</v>
      </c>
      <c r="D41" s="828">
        <f>+'EST.ORIGEN Y APLICACION'!D71</f>
        <v>5253000</v>
      </c>
      <c r="E41" s="828">
        <f>+'EST.ORIGEN Y APLICACION'!E71</f>
        <v>57714500</v>
      </c>
      <c r="F41" s="828">
        <f>+'EST.ORIGEN Y APLICACION'!F71</f>
        <v>4317500</v>
      </c>
      <c r="G41" s="913">
        <f>SUM(C41:F41)</f>
        <v>92313000</v>
      </c>
    </row>
    <row r="42" spans="1:7" ht="15.9" customHeight="1" x14ac:dyDescent="0.4">
      <c r="A42" s="871" t="s">
        <v>94</v>
      </c>
      <c r="B42" s="827" t="s">
        <v>609</v>
      </c>
      <c r="C42" s="828">
        <f>+'EST.ORIGEN Y APLICACION'!C72</f>
        <v>83425500</v>
      </c>
      <c r="D42" s="828">
        <f>+'EST.ORIGEN Y APLICACION'!D72</f>
        <v>17509500</v>
      </c>
      <c r="E42" s="828">
        <f>+'EST.ORIGEN Y APLICACION'!E72</f>
        <v>192382500</v>
      </c>
      <c r="F42" s="828">
        <f>+'EST.ORIGEN Y APLICACION'!F72</f>
        <v>14391000</v>
      </c>
      <c r="G42" s="913">
        <f>SUM(C42:F42)</f>
        <v>307708500</v>
      </c>
    </row>
    <row r="43" spans="1:7" ht="15.9" customHeight="1" x14ac:dyDescent="0.4">
      <c r="A43" s="871" t="s">
        <v>96</v>
      </c>
      <c r="B43" s="827" t="s">
        <v>1192</v>
      </c>
      <c r="C43" s="828">
        <f>+'EST.ORIGEN Y APLICACION'!C73</f>
        <v>8343000</v>
      </c>
      <c r="D43" s="828">
        <f>+'EST.ORIGEN Y APLICACION'!D73</f>
        <v>1751000</v>
      </c>
      <c r="E43" s="828">
        <f>+'EST.ORIGEN Y APLICACION'!E73</f>
        <v>19238500</v>
      </c>
      <c r="F43" s="828">
        <f>+'EST.ORIGEN Y APLICACION'!F73</f>
        <v>1439000</v>
      </c>
      <c r="G43" s="913">
        <f>SUM(C43:F43)</f>
        <v>30771500</v>
      </c>
    </row>
    <row r="44" spans="1:7" ht="9.9" customHeight="1" x14ac:dyDescent="0.4">
      <c r="A44" s="871"/>
      <c r="B44" s="831" t="s">
        <v>382</v>
      </c>
      <c r="C44" s="873"/>
      <c r="D44" s="873"/>
      <c r="E44" s="873"/>
      <c r="F44" s="873"/>
      <c r="G44" s="914"/>
    </row>
    <row r="45" spans="1:7" ht="15.9" customHeight="1" x14ac:dyDescent="0.4">
      <c r="A45" s="908" t="s">
        <v>98</v>
      </c>
      <c r="B45" s="909" t="s">
        <v>99</v>
      </c>
      <c r="C45" s="910">
        <f>SUM(C47:C49)</f>
        <v>165518000</v>
      </c>
      <c r="D45" s="910">
        <f>SUM(D47:D49)</f>
        <v>34739500</v>
      </c>
      <c r="E45" s="910">
        <f>SUM(E47:E49)</f>
        <v>381685500</v>
      </c>
      <c r="F45" s="910">
        <f>SUM(F47:F49)</f>
        <v>28553000</v>
      </c>
      <c r="G45" s="911">
        <f>SUM(G47:G49)</f>
        <v>610496000</v>
      </c>
    </row>
    <row r="46" spans="1:7" ht="9.9" customHeight="1" x14ac:dyDescent="0.4">
      <c r="A46" s="871"/>
      <c r="B46" s="818"/>
      <c r="C46" s="873"/>
      <c r="D46" s="873"/>
      <c r="E46" s="873"/>
      <c r="F46" s="873"/>
      <c r="G46" s="914"/>
    </row>
    <row r="47" spans="1:7" ht="15.9" customHeight="1" x14ac:dyDescent="0.4">
      <c r="A47" s="871" t="s">
        <v>510</v>
      </c>
      <c r="B47" s="831" t="s">
        <v>1194</v>
      </c>
      <c r="C47" s="828">
        <f>+'EST.ORIGEN Y APLICACION'!C77</f>
        <v>90434500</v>
      </c>
      <c r="D47" s="828">
        <f>+'EST.ORIGEN Y APLICACION'!D77</f>
        <v>18980500</v>
      </c>
      <c r="E47" s="828">
        <f>+'EST.ORIGEN Y APLICACION'!E77</f>
        <v>208541500</v>
      </c>
      <c r="F47" s="828">
        <f>+'EST.ORIGEN Y APLICACION'!F77</f>
        <v>15600500</v>
      </c>
      <c r="G47" s="913">
        <f>SUM(C47:F47)</f>
        <v>333557000</v>
      </c>
    </row>
    <row r="48" spans="1:7" ht="15.9" customHeight="1" x14ac:dyDescent="0.4">
      <c r="A48" s="871" t="s">
        <v>100</v>
      </c>
      <c r="B48" s="845" t="s">
        <v>1195</v>
      </c>
      <c r="C48" s="828">
        <f>+'EST.ORIGEN Y APLICACION'!C78</f>
        <v>50055500</v>
      </c>
      <c r="D48" s="828">
        <f>+'EST.ORIGEN Y APLICACION'!D78</f>
        <v>10506000</v>
      </c>
      <c r="E48" s="828">
        <f>+'EST.ORIGEN Y APLICACION'!E78</f>
        <v>115429500</v>
      </c>
      <c r="F48" s="828">
        <f>+'EST.ORIGEN Y APLICACION'!F78</f>
        <v>8635000</v>
      </c>
      <c r="G48" s="913">
        <f>SUM(C48:F48)</f>
        <v>184626000</v>
      </c>
    </row>
    <row r="49" spans="1:7" ht="15.9" customHeight="1" x14ac:dyDescent="0.4">
      <c r="A49" s="871" t="s">
        <v>101</v>
      </c>
      <c r="B49" s="845" t="s">
        <v>543</v>
      </c>
      <c r="C49" s="828">
        <f>+'EST.ORIGEN Y APLICACION'!C79</f>
        <v>25028000</v>
      </c>
      <c r="D49" s="828">
        <f>+'EST.ORIGEN Y APLICACION'!D79</f>
        <v>5253000</v>
      </c>
      <c r="E49" s="828">
        <f>+'EST.ORIGEN Y APLICACION'!E79</f>
        <v>57714500</v>
      </c>
      <c r="F49" s="828">
        <f>+'EST.ORIGEN Y APLICACION'!F79</f>
        <v>4317500</v>
      </c>
      <c r="G49" s="913">
        <f>SUM(C49:F49)</f>
        <v>92313000</v>
      </c>
    </row>
    <row r="50" spans="1:7" ht="15.9" hidden="1" customHeight="1" thickBot="1" x14ac:dyDescent="0.45">
      <c r="A50" s="869"/>
      <c r="B50" s="831"/>
      <c r="C50" s="828">
        <v>0</v>
      </c>
      <c r="D50" s="828">
        <v>0</v>
      </c>
      <c r="E50" s="828">
        <v>0</v>
      </c>
      <c r="F50" s="828">
        <v>0</v>
      </c>
      <c r="G50" s="915"/>
    </row>
    <row r="51" spans="1:7" ht="15.9" hidden="1" customHeight="1" thickBot="1" x14ac:dyDescent="0.45">
      <c r="A51" s="908" t="s">
        <v>393</v>
      </c>
      <c r="B51" s="909" t="s">
        <v>394</v>
      </c>
      <c r="C51" s="828">
        <v>0</v>
      </c>
      <c r="D51" s="828">
        <v>0</v>
      </c>
      <c r="E51" s="828">
        <v>0</v>
      </c>
      <c r="F51" s="828">
        <v>0</v>
      </c>
      <c r="G51" s="911">
        <f>SUM(G53)</f>
        <v>0</v>
      </c>
    </row>
    <row r="52" spans="1:7" ht="15.9" hidden="1" customHeight="1" thickBot="1" x14ac:dyDescent="0.45">
      <c r="A52" s="869"/>
      <c r="B52" s="818"/>
      <c r="C52" s="828">
        <v>0</v>
      </c>
      <c r="D52" s="828">
        <v>0</v>
      </c>
      <c r="E52" s="828">
        <v>0</v>
      </c>
      <c r="F52" s="828">
        <v>0</v>
      </c>
      <c r="G52" s="915"/>
    </row>
    <row r="53" spans="1:7" ht="15.9" hidden="1" customHeight="1" thickBot="1" x14ac:dyDescent="0.45">
      <c r="A53" s="846" t="s">
        <v>395</v>
      </c>
      <c r="B53" s="835" t="s">
        <v>396</v>
      </c>
      <c r="C53" s="828">
        <v>0</v>
      </c>
      <c r="D53" s="828">
        <v>0</v>
      </c>
      <c r="E53" s="828">
        <v>0</v>
      </c>
      <c r="F53" s="828">
        <v>0</v>
      </c>
      <c r="G53" s="916">
        <f>SUM(C53:F53)</f>
        <v>0</v>
      </c>
    </row>
    <row r="54" spans="1:7" ht="9.9" customHeight="1" thickBot="1" x14ac:dyDescent="0.45">
      <c r="A54" s="917"/>
      <c r="B54" s="848"/>
      <c r="C54" s="918"/>
      <c r="D54" s="918"/>
      <c r="E54" s="918"/>
      <c r="F54" s="918"/>
      <c r="G54" s="919"/>
    </row>
    <row r="55" spans="1:7" ht="15.9" customHeight="1" thickBot="1" x14ac:dyDescent="0.45">
      <c r="A55" s="851" t="s">
        <v>103</v>
      </c>
      <c r="B55" s="810" t="s">
        <v>54</v>
      </c>
      <c r="C55" s="853">
        <f>+C57+C64+C72+C81+C92+C99+C103+C109+C124+C120</f>
        <v>803003908</v>
      </c>
      <c r="D55" s="853">
        <f>+D57+D64+D72+D81+D92+D99+D103+D109+D124+D120</f>
        <v>79249300</v>
      </c>
      <c r="E55" s="853">
        <f>+E57+E64+E72+E81+E92+E99+E103+E109+E124+E120</f>
        <v>1701036600</v>
      </c>
      <c r="F55" s="853">
        <f>+F57+F64+F72+F81+F92+F99+F103+F109+F124+F120</f>
        <v>171383600</v>
      </c>
      <c r="G55" s="854">
        <f>+G57+G64+G72+G81+G92+G99+G103+G109+G124+G120</f>
        <v>2754673408</v>
      </c>
    </row>
    <row r="56" spans="1:7" ht="9.9" customHeight="1" outlineLevel="1" x14ac:dyDescent="0.4">
      <c r="A56" s="792"/>
      <c r="B56" s="856"/>
      <c r="C56" s="717"/>
      <c r="D56" s="717"/>
      <c r="E56" s="717"/>
      <c r="F56" s="717"/>
      <c r="G56" s="920"/>
    </row>
    <row r="57" spans="1:7" ht="15.9" customHeight="1" outlineLevel="1" x14ac:dyDescent="0.4">
      <c r="A57" s="908" t="s">
        <v>104</v>
      </c>
      <c r="B57" s="909" t="s">
        <v>105</v>
      </c>
      <c r="C57" s="910">
        <f>SUM(C59:C62)</f>
        <v>70277100</v>
      </c>
      <c r="D57" s="910">
        <f>SUM(D59:D62)</f>
        <v>7465900</v>
      </c>
      <c r="E57" s="910">
        <f>SUM(E59:E62)</f>
        <v>338344900</v>
      </c>
      <c r="F57" s="910">
        <f>SUM(F59:F62)</f>
        <v>35376600</v>
      </c>
      <c r="G57" s="911">
        <f>SUM(G59:G62)</f>
        <v>451464500</v>
      </c>
    </row>
    <row r="58" spans="1:7" ht="9.9" customHeight="1" outlineLevel="1" x14ac:dyDescent="0.4">
      <c r="A58" s="792"/>
      <c r="B58" s="818"/>
      <c r="C58" s="717"/>
      <c r="D58" s="717"/>
      <c r="E58" s="717"/>
      <c r="F58" s="717"/>
      <c r="G58" s="920"/>
    </row>
    <row r="59" spans="1:7" ht="15.9" customHeight="1" outlineLevel="1" x14ac:dyDescent="0.4">
      <c r="A59" s="871" t="s">
        <v>106</v>
      </c>
      <c r="B59" s="835" t="s">
        <v>621</v>
      </c>
      <c r="C59" s="828">
        <f>+'EST.ORIGEN Y APLICACION'!C89</f>
        <v>70277100</v>
      </c>
      <c r="D59" s="828">
        <f>+'EST.ORIGEN Y APLICACION'!D89</f>
        <v>7465900</v>
      </c>
      <c r="E59" s="828">
        <f>+'EST.ORIGEN Y APLICACION'!E89</f>
        <v>124464900</v>
      </c>
      <c r="F59" s="828">
        <f>+'EST.ORIGEN Y APLICACION'!F89</f>
        <v>35376600</v>
      </c>
      <c r="G59" s="913">
        <f>SUM(C59:F59)</f>
        <v>237584500</v>
      </c>
    </row>
    <row r="60" spans="1:7" ht="15.9" customHeight="1" outlineLevel="1" x14ac:dyDescent="0.4">
      <c r="A60" s="871" t="s">
        <v>108</v>
      </c>
      <c r="B60" s="827" t="s">
        <v>109</v>
      </c>
      <c r="C60" s="828">
        <f>+'EST.ORIGEN Y APLICACION'!C90</f>
        <v>0</v>
      </c>
      <c r="D60" s="828">
        <f>+'EST.ORIGEN Y APLICACION'!D90</f>
        <v>0</v>
      </c>
      <c r="E60" s="828">
        <f>+'EST.ORIGEN Y APLICACION'!E90</f>
        <v>213880000</v>
      </c>
      <c r="F60" s="828">
        <f>+'EST.ORIGEN Y APLICACION'!F90</f>
        <v>0</v>
      </c>
      <c r="G60" s="913">
        <f>SUM(C60:F60)</f>
        <v>213880000</v>
      </c>
    </row>
    <row r="61" spans="1:7" ht="15.9" hidden="1" customHeight="1" outlineLevel="1" thickBot="1" x14ac:dyDescent="0.45">
      <c r="A61" s="871" t="s">
        <v>110</v>
      </c>
      <c r="B61" s="827" t="s">
        <v>111</v>
      </c>
      <c r="C61" s="828">
        <v>0</v>
      </c>
      <c r="D61" s="828">
        <v>0</v>
      </c>
      <c r="E61" s="828">
        <v>0</v>
      </c>
      <c r="F61" s="828">
        <v>0</v>
      </c>
      <c r="G61" s="916">
        <f>SUM(C61:F61)</f>
        <v>0</v>
      </c>
    </row>
    <row r="62" spans="1:7" ht="15.9" hidden="1" customHeight="1" outlineLevel="1" x14ac:dyDescent="0.4">
      <c r="A62" s="871" t="s">
        <v>112</v>
      </c>
      <c r="B62" s="827" t="s">
        <v>113</v>
      </c>
      <c r="C62" s="828">
        <v>0</v>
      </c>
      <c r="D62" s="828">
        <v>0</v>
      </c>
      <c r="E62" s="828">
        <v>0</v>
      </c>
      <c r="F62" s="828">
        <v>0</v>
      </c>
      <c r="G62" s="913">
        <f>SUM(C62:F62)</f>
        <v>0</v>
      </c>
    </row>
    <row r="63" spans="1:7" ht="9.9" customHeight="1" outlineLevel="1" x14ac:dyDescent="0.4">
      <c r="A63" s="871"/>
      <c r="B63" s="837"/>
      <c r="C63" s="873"/>
      <c r="D63" s="873"/>
      <c r="E63" s="873"/>
      <c r="F63" s="873"/>
      <c r="G63" s="914"/>
    </row>
    <row r="64" spans="1:7" ht="15.9" customHeight="1" outlineLevel="1" x14ac:dyDescent="0.4">
      <c r="A64" s="908" t="s">
        <v>114</v>
      </c>
      <c r="B64" s="909" t="s">
        <v>115</v>
      </c>
      <c r="C64" s="910">
        <f>SUM(C66:C70)</f>
        <v>49575700</v>
      </c>
      <c r="D64" s="910">
        <f>SUM(D66:D70)</f>
        <v>1836600</v>
      </c>
      <c r="E64" s="910">
        <f>SUM(E66:E70)</f>
        <v>71964800</v>
      </c>
      <c r="F64" s="910">
        <f>SUM(F66:F70)</f>
        <v>8701700</v>
      </c>
      <c r="G64" s="911">
        <f>SUM(G66:G70)</f>
        <v>132078800</v>
      </c>
    </row>
    <row r="65" spans="1:7" ht="9.9" customHeight="1" outlineLevel="1" x14ac:dyDescent="0.4">
      <c r="A65" s="871"/>
      <c r="B65" s="818"/>
      <c r="C65" s="873"/>
      <c r="D65" s="873"/>
      <c r="E65" s="873"/>
      <c r="F65" s="873"/>
      <c r="G65" s="914"/>
    </row>
    <row r="66" spans="1:7" ht="15.9" customHeight="1" outlineLevel="1" x14ac:dyDescent="0.4">
      <c r="A66" s="871" t="s">
        <v>116</v>
      </c>
      <c r="B66" s="835" t="s">
        <v>117</v>
      </c>
      <c r="C66" s="828">
        <f>+'EST.ORIGEN Y APLICACION'!C96</f>
        <v>2849100</v>
      </c>
      <c r="D66" s="828">
        <f>+'EST.ORIGEN Y APLICACION'!D96</f>
        <v>302700</v>
      </c>
      <c r="E66" s="828">
        <f>+'EST.ORIGEN Y APLICACION'!E96</f>
        <v>5045900</v>
      </c>
      <c r="F66" s="828">
        <f>+'EST.ORIGEN Y APLICACION'!F96</f>
        <v>1434200</v>
      </c>
      <c r="G66" s="913">
        <f>SUM(C66:F66)</f>
        <v>9631900</v>
      </c>
    </row>
    <row r="67" spans="1:7" ht="15.9" customHeight="1" outlineLevel="1" x14ac:dyDescent="0.4">
      <c r="A67" s="871" t="s">
        <v>118</v>
      </c>
      <c r="B67" s="861" t="s">
        <v>119</v>
      </c>
      <c r="C67" s="828">
        <f>+'EST.ORIGEN Y APLICACION'!C97</f>
        <v>11384820</v>
      </c>
      <c r="D67" s="828">
        <f>+'EST.ORIGEN Y APLICACION'!D97</f>
        <v>1070600</v>
      </c>
      <c r="E67" s="828">
        <f>+'EST.ORIGEN Y APLICACION'!E97</f>
        <v>17846500</v>
      </c>
      <c r="F67" s="828">
        <f>+'EST.ORIGEN Y APLICACION'!F97</f>
        <v>5072400</v>
      </c>
      <c r="G67" s="913">
        <f>SUM(C67:F67)</f>
        <v>35374320</v>
      </c>
    </row>
    <row r="68" spans="1:7" ht="15.9" customHeight="1" outlineLevel="1" x14ac:dyDescent="0.4">
      <c r="A68" s="871" t="s">
        <v>120</v>
      </c>
      <c r="B68" s="827" t="s">
        <v>121</v>
      </c>
      <c r="C68" s="828">
        <f>+'EST.ORIGEN Y APLICACION'!C98</f>
        <v>5000000</v>
      </c>
      <c r="D68" s="828">
        <f>+'EST.ORIGEN Y APLICACION'!D98</f>
        <v>0</v>
      </c>
      <c r="E68" s="828">
        <f>+'EST.ORIGEN Y APLICACION'!E98</f>
        <v>0</v>
      </c>
      <c r="F68" s="828">
        <f>+'EST.ORIGEN Y APLICACION'!F98</f>
        <v>0</v>
      </c>
      <c r="G68" s="913">
        <f>SUM(C68:F68)</f>
        <v>5000000</v>
      </c>
    </row>
    <row r="69" spans="1:7" ht="15.9" customHeight="1" outlineLevel="1" x14ac:dyDescent="0.4">
      <c r="A69" s="871" t="s">
        <v>326</v>
      </c>
      <c r="B69" s="827" t="s">
        <v>464</v>
      </c>
      <c r="C69" s="828">
        <f>+'EST.ORIGEN Y APLICACION'!C99</f>
        <v>29560400</v>
      </c>
      <c r="D69" s="828">
        <f>+'EST.ORIGEN Y APLICACION'!D99</f>
        <v>463300</v>
      </c>
      <c r="E69" s="828">
        <f>+'EST.ORIGEN Y APLICACION'!E99</f>
        <v>49072400</v>
      </c>
      <c r="F69" s="828">
        <f>+'EST.ORIGEN Y APLICACION'!F99</f>
        <v>2195100</v>
      </c>
      <c r="G69" s="913">
        <f>SUM(C69:F69)</f>
        <v>81291200</v>
      </c>
    </row>
    <row r="70" spans="1:7" ht="15.9" customHeight="1" outlineLevel="1" x14ac:dyDescent="0.4">
      <c r="A70" s="871" t="s">
        <v>123</v>
      </c>
      <c r="B70" s="835" t="s">
        <v>124</v>
      </c>
      <c r="C70" s="828">
        <f>+'EST.ORIGEN Y APLICACION'!C100</f>
        <v>781380</v>
      </c>
      <c r="D70" s="828">
        <f>+'EST.ORIGEN Y APLICACION'!D100</f>
        <v>0</v>
      </c>
      <c r="E70" s="828">
        <f>+'EST.ORIGEN Y APLICACION'!E100</f>
        <v>0</v>
      </c>
      <c r="F70" s="828">
        <f>+'EST.ORIGEN Y APLICACION'!F100</f>
        <v>0</v>
      </c>
      <c r="G70" s="913">
        <f>SUM(C70:F70)</f>
        <v>781380</v>
      </c>
    </row>
    <row r="71" spans="1:7" ht="9.9" customHeight="1" outlineLevel="1" x14ac:dyDescent="0.4">
      <c r="A71" s="871"/>
      <c r="B71" s="837"/>
      <c r="C71" s="873"/>
      <c r="D71" s="873"/>
      <c r="E71" s="873"/>
      <c r="F71" s="873"/>
      <c r="G71" s="914"/>
    </row>
    <row r="72" spans="1:7" ht="15.9" customHeight="1" outlineLevel="1" x14ac:dyDescent="0.4">
      <c r="A72" s="908" t="s">
        <v>125</v>
      </c>
      <c r="B72" s="909" t="s">
        <v>126</v>
      </c>
      <c r="C72" s="910">
        <f>SUM(C74:C79)</f>
        <v>135140908</v>
      </c>
      <c r="D72" s="910">
        <f>SUM(D74:D79)</f>
        <v>0</v>
      </c>
      <c r="E72" s="910">
        <f>SUM(E74:E79)</f>
        <v>18635000</v>
      </c>
      <c r="F72" s="910">
        <f>SUM(F74:F79)</f>
        <v>42650000</v>
      </c>
      <c r="G72" s="911">
        <f>SUM(G74:G79)</f>
        <v>196425908</v>
      </c>
    </row>
    <row r="73" spans="1:7" ht="9.9" customHeight="1" outlineLevel="1" x14ac:dyDescent="0.4">
      <c r="A73" s="871"/>
      <c r="B73" s="818"/>
      <c r="C73" s="873"/>
      <c r="D73" s="873"/>
      <c r="E73" s="873"/>
      <c r="F73" s="873"/>
      <c r="G73" s="914"/>
    </row>
    <row r="74" spans="1:7" ht="15.9" customHeight="1" outlineLevel="1" x14ac:dyDescent="0.4">
      <c r="A74" s="842" t="s">
        <v>127</v>
      </c>
      <c r="B74" s="827" t="s">
        <v>436</v>
      </c>
      <c r="C74" s="828">
        <f>+'EST.ORIGEN Y APLICACION'!C104</f>
        <v>2400000</v>
      </c>
      <c r="D74" s="828">
        <f>+'EST.ORIGEN Y APLICACION'!D104</f>
        <v>0</v>
      </c>
      <c r="E74" s="828">
        <f>+'EST.ORIGEN Y APLICACION'!E104</f>
        <v>0</v>
      </c>
      <c r="F74" s="828">
        <f>+'EST.ORIGEN Y APLICACION'!F104</f>
        <v>0</v>
      </c>
      <c r="G74" s="913">
        <f t="shared" ref="G74:G79" si="0">SUM(C74:F74)</f>
        <v>2400000</v>
      </c>
    </row>
    <row r="75" spans="1:7" ht="15.9" customHeight="1" outlineLevel="1" x14ac:dyDescent="0.4">
      <c r="A75" s="842" t="s">
        <v>129</v>
      </c>
      <c r="B75" s="827" t="s">
        <v>437</v>
      </c>
      <c r="C75" s="828">
        <f>+'EST.ORIGEN Y APLICACION'!C105</f>
        <v>0</v>
      </c>
      <c r="D75" s="828">
        <f>+'EST.ORIGEN Y APLICACION'!D105</f>
        <v>0</v>
      </c>
      <c r="E75" s="828">
        <f>+'EST.ORIGEN Y APLICACION'!E105</f>
        <v>0</v>
      </c>
      <c r="F75" s="828">
        <f>+'EST.ORIGEN Y APLICACION'!F105</f>
        <v>42350000</v>
      </c>
      <c r="G75" s="913">
        <f t="shared" si="0"/>
        <v>42350000</v>
      </c>
    </row>
    <row r="76" spans="1:7" ht="15.9" customHeight="1" outlineLevel="1" x14ac:dyDescent="0.4">
      <c r="A76" s="842" t="s">
        <v>131</v>
      </c>
      <c r="B76" s="827" t="s">
        <v>438</v>
      </c>
      <c r="C76" s="828">
        <f>+'EST.ORIGEN Y APLICACION'!C106</f>
        <v>810000</v>
      </c>
      <c r="D76" s="828">
        <f>+'EST.ORIGEN Y APLICACION'!D106</f>
        <v>0</v>
      </c>
      <c r="E76" s="828">
        <f>+'EST.ORIGEN Y APLICACION'!E106</f>
        <v>9825000</v>
      </c>
      <c r="F76" s="828">
        <f>+'EST.ORIGEN Y APLICACION'!F106</f>
        <v>0</v>
      </c>
      <c r="G76" s="913">
        <f t="shared" si="0"/>
        <v>10635000</v>
      </c>
    </row>
    <row r="77" spans="1:7" ht="15.9" customHeight="1" outlineLevel="1" x14ac:dyDescent="0.4">
      <c r="A77" s="842" t="s">
        <v>133</v>
      </c>
      <c r="B77" s="827" t="s">
        <v>439</v>
      </c>
      <c r="C77" s="828">
        <f>+'EST.ORIGEN Y APLICACION'!C107</f>
        <v>250000</v>
      </c>
      <c r="D77" s="828">
        <f>+'EST.ORIGEN Y APLICACION'!D107</f>
        <v>0</v>
      </c>
      <c r="E77" s="828">
        <f>+'EST.ORIGEN Y APLICACION'!E107</f>
        <v>8810000</v>
      </c>
      <c r="F77" s="828">
        <f>+'EST.ORIGEN Y APLICACION'!F107</f>
        <v>0</v>
      </c>
      <c r="G77" s="913">
        <f t="shared" si="0"/>
        <v>9060000</v>
      </c>
    </row>
    <row r="78" spans="1:7" ht="15.9" customHeight="1" outlineLevel="1" x14ac:dyDescent="0.4">
      <c r="A78" s="846" t="s">
        <v>137</v>
      </c>
      <c r="B78" s="835" t="s">
        <v>452</v>
      </c>
      <c r="C78" s="828">
        <f>+'EST.ORIGEN Y APLICACION'!C108</f>
        <v>36000000</v>
      </c>
      <c r="D78" s="828">
        <f>+'EST.ORIGEN Y APLICACION'!D108</f>
        <v>0</v>
      </c>
      <c r="E78" s="828">
        <f>+'EST.ORIGEN Y APLICACION'!E108</f>
        <v>0</v>
      </c>
      <c r="F78" s="828">
        <f>+'EST.ORIGEN Y APLICACION'!F108</f>
        <v>0</v>
      </c>
      <c r="G78" s="913">
        <f t="shared" si="0"/>
        <v>36000000</v>
      </c>
    </row>
    <row r="79" spans="1:7" ht="15.9" customHeight="1" outlineLevel="1" x14ac:dyDescent="0.4">
      <c r="A79" s="842" t="s">
        <v>397</v>
      </c>
      <c r="B79" s="827" t="s">
        <v>398</v>
      </c>
      <c r="C79" s="828">
        <f>+'EST.ORIGEN Y APLICACION'!C109</f>
        <v>95680908</v>
      </c>
      <c r="D79" s="828">
        <f>+'EST.ORIGEN Y APLICACION'!D109</f>
        <v>0</v>
      </c>
      <c r="E79" s="828">
        <f>+'EST.ORIGEN Y APLICACION'!E109</f>
        <v>0</v>
      </c>
      <c r="F79" s="828">
        <f>+'EST.ORIGEN Y APLICACION'!F109</f>
        <v>300000</v>
      </c>
      <c r="G79" s="913">
        <f t="shared" si="0"/>
        <v>95980908</v>
      </c>
    </row>
    <row r="80" spans="1:7" ht="9.9" customHeight="1" outlineLevel="1" x14ac:dyDescent="0.4">
      <c r="A80" s="843"/>
      <c r="B80" s="831"/>
      <c r="C80" s="873"/>
      <c r="D80" s="873"/>
      <c r="E80" s="873"/>
      <c r="F80" s="873"/>
      <c r="G80" s="914"/>
    </row>
    <row r="81" spans="1:7" ht="15.9" customHeight="1" outlineLevel="1" collapsed="1" x14ac:dyDescent="0.4">
      <c r="A81" s="908" t="s">
        <v>139</v>
      </c>
      <c r="B81" s="909" t="s">
        <v>140</v>
      </c>
      <c r="C81" s="910">
        <f>SUM(C83:C90)</f>
        <v>321774700</v>
      </c>
      <c r="D81" s="910">
        <f>SUM(D83:D90)</f>
        <v>62996400</v>
      </c>
      <c r="E81" s="910">
        <f>SUM(E83:E90)</f>
        <v>362240600</v>
      </c>
      <c r="F81" s="910">
        <f>SUM(F83:F90)</f>
        <v>82507300</v>
      </c>
      <c r="G81" s="911">
        <f>SUM(G83:G90)</f>
        <v>829519000</v>
      </c>
    </row>
    <row r="82" spans="1:7" ht="9.9" customHeight="1" outlineLevel="1" x14ac:dyDescent="0.4">
      <c r="A82" s="843"/>
      <c r="B82" s="818"/>
      <c r="C82" s="873"/>
      <c r="D82" s="873"/>
      <c r="E82" s="873"/>
      <c r="F82" s="873"/>
      <c r="G82" s="914"/>
    </row>
    <row r="83" spans="1:7" ht="15.9" customHeight="1" outlineLevel="1" x14ac:dyDescent="0.4">
      <c r="A83" s="921" t="s">
        <v>569</v>
      </c>
      <c r="B83" s="827" t="s">
        <v>570</v>
      </c>
      <c r="C83" s="828">
        <f>+'EST.ORIGEN Y APLICACION'!C113</f>
        <v>0</v>
      </c>
      <c r="D83" s="828">
        <f>+'EST.ORIGEN Y APLICACION'!D113</f>
        <v>0</v>
      </c>
      <c r="E83" s="828">
        <f>+'EST.ORIGEN Y APLICACION'!E113</f>
        <v>100000</v>
      </c>
      <c r="F83" s="828">
        <f>+'EST.ORIGEN Y APLICACION'!F113</f>
        <v>0</v>
      </c>
      <c r="G83" s="913">
        <f t="shared" ref="G83:G90" si="1">SUM(C83:F83)</f>
        <v>100000</v>
      </c>
    </row>
    <row r="84" spans="1:7" ht="15.9" customHeight="1" outlineLevel="1" x14ac:dyDescent="0.4">
      <c r="A84" s="921" t="s">
        <v>399</v>
      </c>
      <c r="B84" s="827" t="s">
        <v>400</v>
      </c>
      <c r="C84" s="828">
        <f>+'EST.ORIGEN Y APLICACION'!C114</f>
        <v>12500000</v>
      </c>
      <c r="D84" s="828">
        <f>+'EST.ORIGEN Y APLICACION'!D114</f>
        <v>0</v>
      </c>
      <c r="E84" s="828">
        <f>+'EST.ORIGEN Y APLICACION'!E114</f>
        <v>0</v>
      </c>
      <c r="F84" s="828">
        <f>+'EST.ORIGEN Y APLICACION'!F114</f>
        <v>0</v>
      </c>
      <c r="G84" s="913">
        <f t="shared" si="1"/>
        <v>12500000</v>
      </c>
    </row>
    <row r="85" spans="1:7" ht="15.9" hidden="1" customHeight="1" outlineLevel="1" thickBot="1" x14ac:dyDescent="0.45">
      <c r="A85" s="921"/>
      <c r="B85" s="827"/>
      <c r="C85" s="828">
        <f>+'EST.ORIGEN Y APLICACION'!C115</f>
        <v>0</v>
      </c>
      <c r="D85" s="828">
        <f>+'EST.ORIGEN Y APLICACION'!D115</f>
        <v>0</v>
      </c>
      <c r="E85" s="828">
        <f>+'EST.ORIGEN Y APLICACION'!E115</f>
        <v>0</v>
      </c>
      <c r="F85" s="828">
        <f>+'EST.ORIGEN Y APLICACION'!F115</f>
        <v>0</v>
      </c>
      <c r="G85" s="913"/>
    </row>
    <row r="86" spans="1:7" ht="15.9" hidden="1" customHeight="1" outlineLevel="1" x14ac:dyDescent="0.4">
      <c r="A86" s="921" t="s">
        <v>343</v>
      </c>
      <c r="B86" s="827" t="s">
        <v>401</v>
      </c>
      <c r="C86" s="828">
        <f>+'EST.ORIGEN Y APLICACION'!C116</f>
        <v>0</v>
      </c>
      <c r="D86" s="828">
        <f>+'EST.ORIGEN Y APLICACION'!D116</f>
        <v>0</v>
      </c>
      <c r="E86" s="828">
        <f>+'EST.ORIGEN Y APLICACION'!E116</f>
        <v>0</v>
      </c>
      <c r="F86" s="828">
        <f>+'EST.ORIGEN Y APLICACION'!F116</f>
        <v>0</v>
      </c>
      <c r="G86" s="913">
        <f t="shared" si="1"/>
        <v>0</v>
      </c>
    </row>
    <row r="87" spans="1:7" ht="15.9" customHeight="1" outlineLevel="1" x14ac:dyDescent="0.4">
      <c r="A87" s="843" t="s">
        <v>141</v>
      </c>
      <c r="B87" s="827" t="s">
        <v>142</v>
      </c>
      <c r="C87" s="828">
        <f>+'EST.ORIGEN Y APLICACION'!C117</f>
        <v>43000000</v>
      </c>
      <c r="D87" s="828">
        <f>+'EST.ORIGEN Y APLICACION'!D117</f>
        <v>0</v>
      </c>
      <c r="E87" s="828">
        <f>+'EST.ORIGEN Y APLICACION'!E117</f>
        <v>61000000</v>
      </c>
      <c r="F87" s="828">
        <f>+'EST.ORIGEN Y APLICACION'!F117</f>
        <v>0</v>
      </c>
      <c r="G87" s="913">
        <f t="shared" si="1"/>
        <v>104000000</v>
      </c>
    </row>
    <row r="88" spans="1:7" ht="15.9" hidden="1" customHeight="1" outlineLevel="1" x14ac:dyDescent="0.4">
      <c r="A88" s="843" t="s">
        <v>143</v>
      </c>
      <c r="B88" s="827" t="s">
        <v>144</v>
      </c>
      <c r="C88" s="828">
        <f>+'EST.ORIGEN Y APLICACION'!C118</f>
        <v>0</v>
      </c>
      <c r="D88" s="828">
        <f>+'EST.ORIGEN Y APLICACION'!D118</f>
        <v>0</v>
      </c>
      <c r="E88" s="828">
        <f>+'EST.ORIGEN Y APLICACION'!E118</f>
        <v>0</v>
      </c>
      <c r="F88" s="828">
        <f>+'EST.ORIGEN Y APLICACION'!F118</f>
        <v>0</v>
      </c>
      <c r="G88" s="913">
        <f t="shared" si="1"/>
        <v>0</v>
      </c>
    </row>
    <row r="89" spans="1:7" ht="15.9" customHeight="1" outlineLevel="1" x14ac:dyDescent="0.4">
      <c r="A89" s="843" t="s">
        <v>145</v>
      </c>
      <c r="B89" s="835" t="s">
        <v>146</v>
      </c>
      <c r="C89" s="828">
        <f>+'EST.ORIGEN Y APLICACION'!C119</f>
        <v>34074700</v>
      </c>
      <c r="D89" s="828">
        <f>+'EST.ORIGEN Y APLICACION'!D119</f>
        <v>2196400</v>
      </c>
      <c r="E89" s="828">
        <f>+'EST.ORIGEN Y APLICACION'!E119</f>
        <v>41140600</v>
      </c>
      <c r="F89" s="828">
        <f>+'EST.ORIGEN Y APLICACION'!F119</f>
        <v>10407300</v>
      </c>
      <c r="G89" s="913">
        <f t="shared" si="1"/>
        <v>87819000</v>
      </c>
    </row>
    <row r="90" spans="1:7" ht="15.9" customHeight="1" outlineLevel="1" x14ac:dyDescent="0.4">
      <c r="A90" s="862" t="s">
        <v>147</v>
      </c>
      <c r="B90" s="835" t="s">
        <v>148</v>
      </c>
      <c r="C90" s="828">
        <f>+'EST.ORIGEN Y APLICACION'!C120</f>
        <v>232200000</v>
      </c>
      <c r="D90" s="828">
        <f>+'EST.ORIGEN Y APLICACION'!D120</f>
        <v>60800000</v>
      </c>
      <c r="E90" s="828">
        <f>+'EST.ORIGEN Y APLICACION'!E120</f>
        <v>260000000</v>
      </c>
      <c r="F90" s="828">
        <f>+'EST.ORIGEN Y APLICACION'!F120</f>
        <v>72100000</v>
      </c>
      <c r="G90" s="913">
        <f t="shared" si="1"/>
        <v>625100000</v>
      </c>
    </row>
    <row r="91" spans="1:7" ht="9.9" customHeight="1" outlineLevel="1" x14ac:dyDescent="0.4">
      <c r="A91" s="843"/>
      <c r="B91" s="831"/>
      <c r="C91" s="873"/>
      <c r="D91" s="873"/>
      <c r="E91" s="873"/>
      <c r="F91" s="873"/>
      <c r="G91" s="914"/>
    </row>
    <row r="92" spans="1:7" ht="15.9" customHeight="1" outlineLevel="1" x14ac:dyDescent="0.4">
      <c r="A92" s="908" t="s">
        <v>149</v>
      </c>
      <c r="B92" s="909" t="s">
        <v>150</v>
      </c>
      <c r="C92" s="910">
        <f>SUM(C94:C97)</f>
        <v>25883600</v>
      </c>
      <c r="D92" s="910">
        <f>SUM(D94:D97)</f>
        <v>3450000</v>
      </c>
      <c r="E92" s="910">
        <f>SUM(E94:E97)</f>
        <v>735164700</v>
      </c>
      <c r="F92" s="910">
        <f>SUM(F94:F97)</f>
        <v>150000</v>
      </c>
      <c r="G92" s="911">
        <f>SUM(G94:G97)</f>
        <v>764648300</v>
      </c>
    </row>
    <row r="93" spans="1:7" ht="9.9" customHeight="1" outlineLevel="1" x14ac:dyDescent="0.4">
      <c r="A93" s="843"/>
      <c r="B93" s="818"/>
      <c r="C93" s="873"/>
      <c r="D93" s="873"/>
      <c r="E93" s="873"/>
      <c r="F93" s="873"/>
      <c r="G93" s="914"/>
    </row>
    <row r="94" spans="1:7" ht="15.9" customHeight="1" outlineLevel="1" x14ac:dyDescent="0.4">
      <c r="A94" s="871" t="s">
        <v>151</v>
      </c>
      <c r="B94" s="827" t="s">
        <v>152</v>
      </c>
      <c r="C94" s="828">
        <f>+'EST.ORIGEN Y APLICACION'!C124</f>
        <v>830000</v>
      </c>
      <c r="D94" s="828">
        <f>+'EST.ORIGEN Y APLICACION'!D124</f>
        <v>0</v>
      </c>
      <c r="E94" s="828">
        <f>+'EST.ORIGEN Y APLICACION'!E124</f>
        <v>13547500</v>
      </c>
      <c r="F94" s="828">
        <f>+'EST.ORIGEN Y APLICACION'!F124</f>
        <v>0</v>
      </c>
      <c r="G94" s="913">
        <f>SUM(C94:F94)</f>
        <v>14377500</v>
      </c>
    </row>
    <row r="95" spans="1:7" ht="15.9" customHeight="1" outlineLevel="1" x14ac:dyDescent="0.4">
      <c r="A95" s="871" t="s">
        <v>153</v>
      </c>
      <c r="B95" s="827" t="s">
        <v>453</v>
      </c>
      <c r="C95" s="828">
        <f>+'EST.ORIGEN Y APLICACION'!C125</f>
        <v>3353600</v>
      </c>
      <c r="D95" s="828">
        <f>+'EST.ORIGEN Y APLICACION'!D125</f>
        <v>0</v>
      </c>
      <c r="E95" s="828">
        <f>+'EST.ORIGEN Y APLICACION'!E125</f>
        <v>704437200</v>
      </c>
      <c r="F95" s="828">
        <f>+'EST.ORIGEN Y APLICACION'!F125</f>
        <v>150000</v>
      </c>
      <c r="G95" s="913">
        <f>SUM(C95:F95)</f>
        <v>707940800</v>
      </c>
    </row>
    <row r="96" spans="1:7" ht="15.9" customHeight="1" outlineLevel="1" x14ac:dyDescent="0.4">
      <c r="A96" s="871" t="s">
        <v>155</v>
      </c>
      <c r="B96" s="827" t="s">
        <v>156</v>
      </c>
      <c r="C96" s="828">
        <f>+'EST.ORIGEN Y APLICACION'!C126</f>
        <v>10200000</v>
      </c>
      <c r="D96" s="828">
        <f>+'EST.ORIGEN Y APLICACION'!D126</f>
        <v>1750000</v>
      </c>
      <c r="E96" s="828">
        <f>+'EST.ORIGEN Y APLICACION'!E126</f>
        <v>4800000</v>
      </c>
      <c r="F96" s="828">
        <f>+'EST.ORIGEN Y APLICACION'!F126</f>
        <v>0</v>
      </c>
      <c r="G96" s="913">
        <f>SUM(C96:F96)</f>
        <v>16750000</v>
      </c>
    </row>
    <row r="97" spans="1:7" ht="15.9" customHeight="1" outlineLevel="1" x14ac:dyDescent="0.4">
      <c r="A97" s="871" t="s">
        <v>157</v>
      </c>
      <c r="B97" s="827" t="s">
        <v>454</v>
      </c>
      <c r="C97" s="828">
        <f>+'EST.ORIGEN Y APLICACION'!C127</f>
        <v>11500000</v>
      </c>
      <c r="D97" s="828">
        <f>+'EST.ORIGEN Y APLICACION'!D127</f>
        <v>1700000</v>
      </c>
      <c r="E97" s="828">
        <f>+'EST.ORIGEN Y APLICACION'!E127</f>
        <v>12380000</v>
      </c>
      <c r="F97" s="828">
        <f>+'EST.ORIGEN Y APLICACION'!F127</f>
        <v>0</v>
      </c>
      <c r="G97" s="913">
        <f>SUM(C97:F97)</f>
        <v>25580000</v>
      </c>
    </row>
    <row r="98" spans="1:7" ht="9.9" customHeight="1" outlineLevel="1" x14ac:dyDescent="0.4">
      <c r="A98" s="871"/>
      <c r="B98" s="831"/>
      <c r="C98" s="873"/>
      <c r="D98" s="873"/>
      <c r="E98" s="873"/>
      <c r="F98" s="873"/>
      <c r="G98" s="914"/>
    </row>
    <row r="99" spans="1:7" ht="15.9" customHeight="1" outlineLevel="1" x14ac:dyDescent="0.4">
      <c r="A99" s="908" t="s">
        <v>159</v>
      </c>
      <c r="B99" s="909" t="s">
        <v>275</v>
      </c>
      <c r="C99" s="910">
        <f>SUM(C101)</f>
        <v>20951900</v>
      </c>
      <c r="D99" s="910">
        <f>SUM(D101)</f>
        <v>2500400</v>
      </c>
      <c r="E99" s="910">
        <f>SUM(E101)</f>
        <v>78656600</v>
      </c>
      <c r="F99" s="910">
        <f>SUM(F101)</f>
        <v>1998000</v>
      </c>
      <c r="G99" s="911">
        <f>SUM(G101)</f>
        <v>104106900</v>
      </c>
    </row>
    <row r="100" spans="1:7" ht="9.9" customHeight="1" outlineLevel="1" x14ac:dyDescent="0.4">
      <c r="A100" s="871"/>
      <c r="B100" s="818"/>
      <c r="C100" s="873"/>
      <c r="D100" s="873"/>
      <c r="E100" s="873"/>
      <c r="F100" s="873"/>
      <c r="G100" s="914"/>
    </row>
    <row r="101" spans="1:7" ht="15.9" customHeight="1" outlineLevel="1" x14ac:dyDescent="0.4">
      <c r="A101" s="871" t="s">
        <v>160</v>
      </c>
      <c r="B101" s="835" t="s">
        <v>161</v>
      </c>
      <c r="C101" s="828">
        <f>+'EST.ORIGEN Y APLICACION'!C131</f>
        <v>20951900</v>
      </c>
      <c r="D101" s="828">
        <f>+'EST.ORIGEN Y APLICACION'!D131</f>
        <v>2500400</v>
      </c>
      <c r="E101" s="828">
        <f>+'EST.ORIGEN Y APLICACION'!E131</f>
        <v>78656600</v>
      </c>
      <c r="F101" s="828">
        <f>+'EST.ORIGEN Y APLICACION'!F131</f>
        <v>1998000</v>
      </c>
      <c r="G101" s="913">
        <f>SUM(C101:F101)</f>
        <v>104106900</v>
      </c>
    </row>
    <row r="102" spans="1:7" ht="9.9" customHeight="1" outlineLevel="1" x14ac:dyDescent="0.4">
      <c r="A102" s="871"/>
      <c r="B102" s="837"/>
      <c r="C102" s="873"/>
      <c r="D102" s="873"/>
      <c r="E102" s="873"/>
      <c r="F102" s="873"/>
      <c r="G102" s="914"/>
    </row>
    <row r="103" spans="1:7" ht="15.9" customHeight="1" outlineLevel="1" x14ac:dyDescent="0.4">
      <c r="A103" s="908" t="s">
        <v>162</v>
      </c>
      <c r="B103" s="909" t="s">
        <v>163</v>
      </c>
      <c r="C103" s="910">
        <f>SUM(C105:C107)</f>
        <v>81950000</v>
      </c>
      <c r="D103" s="910">
        <f>SUM(D105:D107)</f>
        <v>1000000</v>
      </c>
      <c r="E103" s="910">
        <f>SUM(E105:E107)</f>
        <v>23170000</v>
      </c>
      <c r="F103" s="910">
        <f>SUM(F105:F107)</f>
        <v>0</v>
      </c>
      <c r="G103" s="911">
        <f>SUM(G105:G107)</f>
        <v>106120000</v>
      </c>
    </row>
    <row r="104" spans="1:7" ht="9.9" customHeight="1" outlineLevel="1" x14ac:dyDescent="0.4">
      <c r="A104" s="871"/>
      <c r="B104" s="818"/>
      <c r="C104" s="873"/>
      <c r="D104" s="873"/>
      <c r="E104" s="873"/>
      <c r="F104" s="873"/>
      <c r="G104" s="914"/>
    </row>
    <row r="105" spans="1:7" ht="15.9" customHeight="1" outlineLevel="1" x14ac:dyDescent="0.4">
      <c r="A105" s="871" t="s">
        <v>164</v>
      </c>
      <c r="B105" s="827" t="s">
        <v>165</v>
      </c>
      <c r="C105" s="828">
        <f>+'EST.ORIGEN Y APLICACION'!C135</f>
        <v>81800000</v>
      </c>
      <c r="D105" s="828">
        <f>+'EST.ORIGEN Y APLICACION'!D135</f>
        <v>1000000</v>
      </c>
      <c r="E105" s="828">
        <f>+'EST.ORIGEN Y APLICACION'!E135</f>
        <v>23170000</v>
      </c>
      <c r="F105" s="828">
        <f>+'EST.ORIGEN Y APLICACION'!F135</f>
        <v>0</v>
      </c>
      <c r="G105" s="913">
        <f>SUM(C105:F105)</f>
        <v>105970000</v>
      </c>
    </row>
    <row r="106" spans="1:7" ht="15.9" hidden="1" customHeight="1" outlineLevel="1" thickBot="1" x14ac:dyDescent="0.45">
      <c r="A106" s="871" t="s">
        <v>166</v>
      </c>
      <c r="B106" s="827" t="s">
        <v>167</v>
      </c>
      <c r="C106" s="828">
        <f>SUMIF('PRESUPUESTO 2024'!$BH:$BH,$A106,'PRESUPUESTO 2024'!$R:$R)</f>
        <v>0</v>
      </c>
      <c r="D106" s="828">
        <f>SUMIF('PRESUPUESTO 2024'!$BH:$BH,$A106,'PRESUPUESTO 2024'!$R:$R)</f>
        <v>0</v>
      </c>
      <c r="E106" s="828">
        <f>SUMIF('PRESUPUESTO 2024'!$BH:$BH,$A106,'PRESUPUESTO 2024'!$R:$R)</f>
        <v>0</v>
      </c>
      <c r="F106" s="828">
        <f>SUMIF('PRESUPUESTO 2024'!$BH:$BH,$A106,'PRESUPUESTO 2024'!$R:$R)</f>
        <v>0</v>
      </c>
      <c r="G106" s="913">
        <f>SUM(C106:F106)</f>
        <v>0</v>
      </c>
    </row>
    <row r="107" spans="1:7" ht="15.9" customHeight="1" outlineLevel="1" x14ac:dyDescent="0.4">
      <c r="A107" s="871" t="s">
        <v>168</v>
      </c>
      <c r="B107" s="835" t="s">
        <v>169</v>
      </c>
      <c r="C107" s="828">
        <f>+'EST.ORIGEN Y APLICACION'!C137</f>
        <v>150000</v>
      </c>
      <c r="D107" s="828">
        <f>+'EST.ORIGEN Y APLICACION'!D137</f>
        <v>0</v>
      </c>
      <c r="E107" s="828">
        <f>+'EST.ORIGEN Y APLICACION'!E137</f>
        <v>0</v>
      </c>
      <c r="F107" s="828">
        <f>+'EST.ORIGEN Y APLICACION'!F137</f>
        <v>0</v>
      </c>
      <c r="G107" s="913">
        <f>SUM(C107:F107)</f>
        <v>150000</v>
      </c>
    </row>
    <row r="108" spans="1:7" ht="9.9" customHeight="1" outlineLevel="1" x14ac:dyDescent="0.4">
      <c r="A108" s="871"/>
      <c r="B108" s="837"/>
      <c r="C108" s="873"/>
      <c r="D108" s="873"/>
      <c r="E108" s="873"/>
      <c r="F108" s="873"/>
      <c r="G108" s="914"/>
    </row>
    <row r="109" spans="1:7" ht="15.9" customHeight="1" outlineLevel="1" x14ac:dyDescent="0.4">
      <c r="A109" s="908" t="s">
        <v>170</v>
      </c>
      <c r="B109" s="909" t="s">
        <v>171</v>
      </c>
      <c r="C109" s="910">
        <f>SUM(C111:C118)</f>
        <v>91040000</v>
      </c>
      <c r="D109" s="910">
        <f>SUM(D111:D118)</f>
        <v>0</v>
      </c>
      <c r="E109" s="910">
        <f>SUM(E111:E118)</f>
        <v>72860000</v>
      </c>
      <c r="F109" s="910">
        <f>SUM(F111:F118)</f>
        <v>0</v>
      </c>
      <c r="G109" s="911">
        <f>SUM(G111:G118)</f>
        <v>163900000</v>
      </c>
    </row>
    <row r="110" spans="1:7" ht="9.9" customHeight="1" outlineLevel="1" x14ac:dyDescent="0.4">
      <c r="A110" s="871"/>
      <c r="B110" s="818"/>
      <c r="C110" s="873"/>
      <c r="D110" s="873"/>
      <c r="E110" s="873"/>
      <c r="F110" s="873"/>
      <c r="G110" s="914"/>
    </row>
    <row r="111" spans="1:7" ht="15.9" customHeight="1" outlineLevel="1" x14ac:dyDescent="0.4">
      <c r="A111" s="842" t="s">
        <v>172</v>
      </c>
      <c r="B111" s="827" t="s">
        <v>661</v>
      </c>
      <c r="C111" s="828">
        <f>+'EST.ORIGEN Y APLICACION'!C141</f>
        <v>500000</v>
      </c>
      <c r="D111" s="828">
        <f>+'EST.ORIGEN Y APLICACION'!D141</f>
        <v>0</v>
      </c>
      <c r="E111" s="828">
        <f>+'EST.ORIGEN Y APLICACION'!E141</f>
        <v>0</v>
      </c>
      <c r="F111" s="828">
        <f>+'EST.ORIGEN Y APLICACION'!F141</f>
        <v>0</v>
      </c>
      <c r="G111" s="913">
        <f t="shared" ref="G111:G118" si="2">SUM(C111:F111)</f>
        <v>500000</v>
      </c>
    </row>
    <row r="112" spans="1:7" ht="15.9" hidden="1" customHeight="1" outlineLevel="1" thickBot="1" x14ac:dyDescent="0.45">
      <c r="A112" s="842" t="s">
        <v>174</v>
      </c>
      <c r="B112" s="827" t="s">
        <v>175</v>
      </c>
      <c r="C112" s="828">
        <f>SUMIF('PRESUPUESTO 2024'!$BH:$BH,$A112,'PRESUPUESTO 2024'!$R:$R)</f>
        <v>0</v>
      </c>
      <c r="D112" s="828">
        <f>SUMIF('PRESUPUESTO 2024'!$BH:$BH,$A112,'PRESUPUESTO 2024'!$R:$R)</f>
        <v>0</v>
      </c>
      <c r="E112" s="828">
        <f>SUMIF('PRESUPUESTO 2024'!$BH:$BH,$A112,'PRESUPUESTO 2024'!$R:$R)</f>
        <v>0</v>
      </c>
      <c r="F112" s="828">
        <f>SUMIF('PRESUPUESTO 2024'!$BH:$BH,$A112,'PRESUPUESTO 2024'!$R:$R)</f>
        <v>0</v>
      </c>
      <c r="G112" s="913">
        <f t="shared" si="2"/>
        <v>0</v>
      </c>
    </row>
    <row r="113" spans="1:7" ht="15.9" hidden="1" customHeight="1" outlineLevel="1" x14ac:dyDescent="0.4">
      <c r="A113" s="842" t="s">
        <v>402</v>
      </c>
      <c r="B113" s="827" t="s">
        <v>455</v>
      </c>
      <c r="C113" s="828">
        <f>SUMIF('PRESUPUESTO 2024'!$BH:$BH,$A113,'PRESUPUESTO 2024'!$R:$R)</f>
        <v>0</v>
      </c>
      <c r="D113" s="828">
        <f>SUMIF('PRESUPUESTO 2024'!$BH:$BH,$A113,'PRESUPUESTO 2024'!$R:$R)</f>
        <v>0</v>
      </c>
      <c r="E113" s="828">
        <f>SUMIF('PRESUPUESTO 2024'!$BH:$BH,$A113,'PRESUPUESTO 2024'!$R:$R)</f>
        <v>0</v>
      </c>
      <c r="F113" s="828">
        <f>SUMIF('PRESUPUESTO 2024'!$BH:$BH,$A113,'PRESUPUESTO 2024'!$R:$R)</f>
        <v>0</v>
      </c>
      <c r="G113" s="913">
        <f t="shared" si="2"/>
        <v>0</v>
      </c>
    </row>
    <row r="114" spans="1:7" ht="15.9" customHeight="1" outlineLevel="1" x14ac:dyDescent="0.4">
      <c r="A114" s="842" t="s">
        <v>176</v>
      </c>
      <c r="B114" s="827" t="s">
        <v>1210</v>
      </c>
      <c r="C114" s="828">
        <f>+'EST.ORIGEN Y APLICACION'!C144</f>
        <v>1340000</v>
      </c>
      <c r="D114" s="828">
        <f>+'EST.ORIGEN Y APLICACION'!D144</f>
        <v>0</v>
      </c>
      <c r="E114" s="828">
        <f>+'EST.ORIGEN Y APLICACION'!E144</f>
        <v>72860000</v>
      </c>
      <c r="F114" s="828">
        <f>+'EST.ORIGEN Y APLICACION'!F144</f>
        <v>0</v>
      </c>
      <c r="G114" s="913">
        <f t="shared" si="2"/>
        <v>74200000</v>
      </c>
    </row>
    <row r="115" spans="1:7" ht="15.9" customHeight="1" outlineLevel="1" x14ac:dyDescent="0.4">
      <c r="A115" s="842" t="s">
        <v>178</v>
      </c>
      <c r="B115" s="827" t="s">
        <v>1211</v>
      </c>
      <c r="C115" s="828">
        <f>+'EST.ORIGEN Y APLICACION'!C145</f>
        <v>44100000</v>
      </c>
      <c r="D115" s="828">
        <f>+'EST.ORIGEN Y APLICACION'!D145</f>
        <v>0</v>
      </c>
      <c r="E115" s="828">
        <f>+'EST.ORIGEN Y APLICACION'!E145</f>
        <v>0</v>
      </c>
      <c r="F115" s="828">
        <f>+'EST.ORIGEN Y APLICACION'!F145</f>
        <v>0</v>
      </c>
      <c r="G115" s="913">
        <f t="shared" si="2"/>
        <v>44100000</v>
      </c>
    </row>
    <row r="116" spans="1:7" ht="15.9" customHeight="1" outlineLevel="1" x14ac:dyDescent="0.4">
      <c r="A116" s="842" t="s">
        <v>180</v>
      </c>
      <c r="B116" s="827" t="s">
        <v>1212</v>
      </c>
      <c r="C116" s="828">
        <f>+'EST.ORIGEN Y APLICACION'!C146</f>
        <v>5800000</v>
      </c>
      <c r="D116" s="828">
        <f>+'EST.ORIGEN Y APLICACION'!D146</f>
        <v>0</v>
      </c>
      <c r="E116" s="828">
        <f>+'EST.ORIGEN Y APLICACION'!E146</f>
        <v>0</v>
      </c>
      <c r="F116" s="828">
        <f>+'EST.ORIGEN Y APLICACION'!F146</f>
        <v>0</v>
      </c>
      <c r="G116" s="913">
        <f t="shared" si="2"/>
        <v>5800000</v>
      </c>
    </row>
    <row r="117" spans="1:7" ht="15.9" customHeight="1" outlineLevel="1" x14ac:dyDescent="0.4">
      <c r="A117" s="842" t="s">
        <v>182</v>
      </c>
      <c r="B117" s="827" t="s">
        <v>1213</v>
      </c>
      <c r="C117" s="828">
        <f>+'EST.ORIGEN Y APLICACION'!C147</f>
        <v>39000000</v>
      </c>
      <c r="D117" s="828">
        <f>+'EST.ORIGEN Y APLICACION'!D147</f>
        <v>0</v>
      </c>
      <c r="E117" s="828">
        <f>+'EST.ORIGEN Y APLICACION'!E147</f>
        <v>0</v>
      </c>
      <c r="F117" s="828">
        <f>+'EST.ORIGEN Y APLICACION'!F147</f>
        <v>0</v>
      </c>
      <c r="G117" s="913">
        <f t="shared" si="2"/>
        <v>39000000</v>
      </c>
    </row>
    <row r="118" spans="1:7" ht="15.9" customHeight="1" outlineLevel="1" x14ac:dyDescent="0.4">
      <c r="A118" s="842" t="s">
        <v>183</v>
      </c>
      <c r="B118" s="827" t="s">
        <v>1267</v>
      </c>
      <c r="C118" s="828">
        <f>+'EST.ORIGEN Y APLICACION'!C148</f>
        <v>300000</v>
      </c>
      <c r="D118" s="828">
        <f>+'EST.ORIGEN Y APLICACION'!D148</f>
        <v>0</v>
      </c>
      <c r="E118" s="828">
        <f>+'EST.ORIGEN Y APLICACION'!E148</f>
        <v>0</v>
      </c>
      <c r="F118" s="828">
        <f>+'EST.ORIGEN Y APLICACION'!F148</f>
        <v>0</v>
      </c>
      <c r="G118" s="913">
        <f t="shared" si="2"/>
        <v>300000</v>
      </c>
    </row>
    <row r="119" spans="1:7" ht="9.9" customHeight="1" outlineLevel="1" x14ac:dyDescent="0.4">
      <c r="A119" s="871"/>
      <c r="B119" s="831"/>
      <c r="C119" s="873"/>
      <c r="D119" s="873"/>
      <c r="E119" s="873"/>
      <c r="F119" s="873"/>
      <c r="G119" s="914"/>
    </row>
    <row r="120" spans="1:7" ht="15.9" customHeight="1" outlineLevel="1" x14ac:dyDescent="0.4">
      <c r="A120" s="908" t="s">
        <v>404</v>
      </c>
      <c r="B120" s="909" t="s">
        <v>405</v>
      </c>
      <c r="C120" s="910">
        <f>+C122</f>
        <v>2160000</v>
      </c>
      <c r="D120" s="910">
        <f>+D122</f>
        <v>0</v>
      </c>
      <c r="E120" s="910">
        <f>+E122</f>
        <v>0</v>
      </c>
      <c r="F120" s="910">
        <f>+F122</f>
        <v>0</v>
      </c>
      <c r="G120" s="911">
        <f>+G122</f>
        <v>2160000</v>
      </c>
    </row>
    <row r="121" spans="1:7" ht="9.9" customHeight="1" outlineLevel="1" x14ac:dyDescent="0.4">
      <c r="A121" s="825"/>
      <c r="B121" s="818"/>
      <c r="C121" s="873"/>
      <c r="D121" s="873"/>
      <c r="E121" s="873"/>
      <c r="F121" s="873"/>
      <c r="G121" s="914"/>
    </row>
    <row r="122" spans="1:7" ht="15.9" customHeight="1" outlineLevel="1" x14ac:dyDescent="0.4">
      <c r="A122" s="846" t="s">
        <v>406</v>
      </c>
      <c r="B122" s="835" t="s">
        <v>407</v>
      </c>
      <c r="C122" s="828">
        <f>+'EST.ORIGEN Y APLICACION'!C152</f>
        <v>2160000</v>
      </c>
      <c r="D122" s="828">
        <f>+'EST.ORIGEN Y APLICACION'!D152</f>
        <v>0</v>
      </c>
      <c r="E122" s="828">
        <f>+'EST.ORIGEN Y APLICACION'!E152</f>
        <v>0</v>
      </c>
      <c r="F122" s="828">
        <f>+'EST.ORIGEN Y APLICACION'!F152</f>
        <v>0</v>
      </c>
      <c r="G122" s="913">
        <f>SUM(C122:F122)</f>
        <v>2160000</v>
      </c>
    </row>
    <row r="123" spans="1:7" ht="9.9" customHeight="1" outlineLevel="1" x14ac:dyDescent="0.4">
      <c r="A123" s="871"/>
      <c r="B123" s="837"/>
      <c r="C123" s="922"/>
      <c r="D123" s="922"/>
      <c r="E123" s="922"/>
      <c r="F123" s="922"/>
      <c r="G123" s="923"/>
    </row>
    <row r="124" spans="1:7" ht="15.9" customHeight="1" outlineLevel="1" x14ac:dyDescent="0.4">
      <c r="A124" s="908" t="s">
        <v>185</v>
      </c>
      <c r="B124" s="909" t="s">
        <v>186</v>
      </c>
      <c r="C124" s="910">
        <f>SUM(C126:C128)</f>
        <v>4250000</v>
      </c>
      <c r="D124" s="910">
        <f>SUM(D126:D128)</f>
        <v>0</v>
      </c>
      <c r="E124" s="910">
        <f>SUM(E126:E128)</f>
        <v>0</v>
      </c>
      <c r="F124" s="910">
        <f>SUM(F126:F128)</f>
        <v>0</v>
      </c>
      <c r="G124" s="911">
        <f>SUM(G126:G128)</f>
        <v>4250000</v>
      </c>
    </row>
    <row r="125" spans="1:7" s="425" customFormat="1" ht="9.9" customHeight="1" outlineLevel="1" x14ac:dyDescent="0.4">
      <c r="A125" s="817"/>
      <c r="B125" s="818"/>
      <c r="C125" s="819"/>
      <c r="D125" s="819"/>
      <c r="E125" s="819"/>
      <c r="F125" s="819"/>
      <c r="G125" s="820"/>
    </row>
    <row r="126" spans="1:7" ht="15.9" customHeight="1" outlineLevel="1" x14ac:dyDescent="0.4">
      <c r="A126" s="846" t="s">
        <v>408</v>
      </c>
      <c r="B126" s="835" t="s">
        <v>409</v>
      </c>
      <c r="C126" s="828">
        <f>+'EST.ORIGEN Y APLICACION'!C156</f>
        <v>500000</v>
      </c>
      <c r="D126" s="828">
        <f>+'EST.ORIGEN Y APLICACION'!D156</f>
        <v>0</v>
      </c>
      <c r="E126" s="828">
        <f>+'EST.ORIGEN Y APLICACION'!E156</f>
        <v>0</v>
      </c>
      <c r="F126" s="828">
        <f>+'EST.ORIGEN Y APLICACION'!F156</f>
        <v>0</v>
      </c>
      <c r="G126" s="913">
        <f>SUM(C126:F126)</f>
        <v>500000</v>
      </c>
    </row>
    <row r="127" spans="1:7" ht="15.9" customHeight="1" outlineLevel="1" x14ac:dyDescent="0.4">
      <c r="A127" s="842" t="s">
        <v>187</v>
      </c>
      <c r="B127" s="827" t="s">
        <v>188</v>
      </c>
      <c r="C127" s="828">
        <f>+'EST.ORIGEN Y APLICACION'!C157</f>
        <v>3600000</v>
      </c>
      <c r="D127" s="828">
        <f>+'EST.ORIGEN Y APLICACION'!D157</f>
        <v>0</v>
      </c>
      <c r="E127" s="828">
        <f>+'EST.ORIGEN Y APLICACION'!E157</f>
        <v>0</v>
      </c>
      <c r="F127" s="828">
        <f>+'EST.ORIGEN Y APLICACION'!F157</f>
        <v>0</v>
      </c>
      <c r="G127" s="913">
        <f>SUM(C127:F127)</f>
        <v>3600000</v>
      </c>
    </row>
    <row r="128" spans="1:7" ht="15.9" customHeight="1" outlineLevel="1" x14ac:dyDescent="0.4">
      <c r="A128" s="842" t="s">
        <v>189</v>
      </c>
      <c r="B128" s="827" t="s">
        <v>190</v>
      </c>
      <c r="C128" s="828">
        <f>+'EST.ORIGEN Y APLICACION'!C158</f>
        <v>150000</v>
      </c>
      <c r="D128" s="828">
        <f>+'EST.ORIGEN Y APLICACION'!D158</f>
        <v>0</v>
      </c>
      <c r="E128" s="828">
        <f>+'EST.ORIGEN Y APLICACION'!E158</f>
        <v>0</v>
      </c>
      <c r="F128" s="828">
        <f>+'EST.ORIGEN Y APLICACION'!F158</f>
        <v>0</v>
      </c>
      <c r="G128" s="913">
        <f>SUM(C128:F128)</f>
        <v>150000</v>
      </c>
    </row>
    <row r="129" spans="1:7" ht="9.9" customHeight="1" thickBot="1" x14ac:dyDescent="0.45">
      <c r="A129" s="917"/>
      <c r="B129" s="865"/>
      <c r="C129" s="918"/>
      <c r="D129" s="918"/>
      <c r="E129" s="918"/>
      <c r="F129" s="918"/>
      <c r="G129" s="924"/>
    </row>
    <row r="130" spans="1:7" ht="15.9" customHeight="1" thickBot="1" x14ac:dyDescent="0.45">
      <c r="A130" s="851">
        <v>2</v>
      </c>
      <c r="B130" s="810" t="s">
        <v>22</v>
      </c>
      <c r="C130" s="853">
        <f>+C132+C139+C143+C152+C157</f>
        <v>29106731</v>
      </c>
      <c r="D130" s="853">
        <f>+D132+D139+D143+D152+D157</f>
        <v>0</v>
      </c>
      <c r="E130" s="853">
        <f>+E132+E139+E143+E152+E157</f>
        <v>161131230.80000001</v>
      </c>
      <c r="F130" s="853">
        <f>+F132+F139+F143+F152+F157</f>
        <v>350000</v>
      </c>
      <c r="G130" s="854">
        <f>+G132+G139+G143+G152+G157</f>
        <v>190587961.80000001</v>
      </c>
    </row>
    <row r="131" spans="1:7" ht="9.9" customHeight="1" outlineLevel="1" x14ac:dyDescent="0.4">
      <c r="A131" s="905"/>
      <c r="B131" s="856"/>
      <c r="C131" s="717"/>
      <c r="D131" s="717"/>
      <c r="E131" s="717"/>
      <c r="F131" s="717"/>
      <c r="G131" s="920"/>
    </row>
    <row r="132" spans="1:7" ht="15.9" customHeight="1" outlineLevel="1" x14ac:dyDescent="0.4">
      <c r="A132" s="908" t="s">
        <v>191</v>
      </c>
      <c r="B132" s="909" t="s">
        <v>192</v>
      </c>
      <c r="C132" s="910">
        <f>SUM(C134:C137)</f>
        <v>9880380</v>
      </c>
      <c r="D132" s="910">
        <f>SUM(D134:D137)</f>
        <v>0</v>
      </c>
      <c r="E132" s="910">
        <f>SUM(E134:E137)</f>
        <v>124792840.8</v>
      </c>
      <c r="F132" s="910">
        <f>SUM(F134:F137)</f>
        <v>0</v>
      </c>
      <c r="G132" s="911">
        <f>SUM(G134:G137)</f>
        <v>134673220.80000001</v>
      </c>
    </row>
    <row r="133" spans="1:7" ht="9.9" customHeight="1" outlineLevel="1" x14ac:dyDescent="0.4">
      <c r="A133" s="905"/>
      <c r="B133" s="818"/>
      <c r="C133" s="717"/>
      <c r="D133" s="717"/>
      <c r="E133" s="717"/>
      <c r="F133" s="717"/>
      <c r="G133" s="920"/>
    </row>
    <row r="134" spans="1:7" ht="15.9" customHeight="1" outlineLevel="1" x14ac:dyDescent="0.4">
      <c r="A134" s="871" t="s">
        <v>193</v>
      </c>
      <c r="B134" s="827" t="s">
        <v>194</v>
      </c>
      <c r="C134" s="828">
        <f>+'EST.ORIGEN Y APLICACION'!C164</f>
        <v>3000480</v>
      </c>
      <c r="D134" s="828">
        <f>+'EST.ORIGEN Y APLICACION'!D164</f>
        <v>0</v>
      </c>
      <c r="E134" s="828">
        <f>+'EST.ORIGEN Y APLICACION'!E164</f>
        <v>120500340.8</v>
      </c>
      <c r="F134" s="828">
        <f>+'EST.ORIGEN Y APLICACION'!F164</f>
        <v>0</v>
      </c>
      <c r="G134" s="913">
        <f>SUM(C134:F134)</f>
        <v>123500820.8</v>
      </c>
    </row>
    <row r="135" spans="1:7" ht="15.9" customHeight="1" outlineLevel="1" x14ac:dyDescent="0.4">
      <c r="A135" s="871" t="s">
        <v>195</v>
      </c>
      <c r="B135" s="827" t="s">
        <v>196</v>
      </c>
      <c r="C135" s="828">
        <f>+'EST.ORIGEN Y APLICACION'!C165</f>
        <v>905900</v>
      </c>
      <c r="D135" s="828">
        <f>+'EST.ORIGEN Y APLICACION'!D165</f>
        <v>0</v>
      </c>
      <c r="E135" s="828">
        <f>+'EST.ORIGEN Y APLICACION'!E165</f>
        <v>3652500</v>
      </c>
      <c r="F135" s="828">
        <f>+'EST.ORIGEN Y APLICACION'!F165</f>
        <v>0</v>
      </c>
      <c r="G135" s="913">
        <f>SUM(C135:F135)</f>
        <v>4558400</v>
      </c>
    </row>
    <row r="136" spans="1:7" ht="15.9" customHeight="1" outlineLevel="1" x14ac:dyDescent="0.4">
      <c r="A136" s="871" t="s">
        <v>197</v>
      </c>
      <c r="B136" s="827" t="s">
        <v>198</v>
      </c>
      <c r="C136" s="828">
        <f>+'EST.ORIGEN Y APLICACION'!C166</f>
        <v>5974000</v>
      </c>
      <c r="D136" s="828">
        <f>+'EST.ORIGEN Y APLICACION'!D166</f>
        <v>0</v>
      </c>
      <c r="E136" s="828">
        <f>+'EST.ORIGEN Y APLICACION'!E166</f>
        <v>640000</v>
      </c>
      <c r="F136" s="828">
        <f>+'EST.ORIGEN Y APLICACION'!F166</f>
        <v>0</v>
      </c>
      <c r="G136" s="913">
        <f>SUM(C136:F136)</f>
        <v>6614000</v>
      </c>
    </row>
    <row r="137" spans="1:7" ht="15.9" hidden="1" customHeight="1" outlineLevel="1" thickBot="1" x14ac:dyDescent="0.45">
      <c r="A137" s="871" t="s">
        <v>199</v>
      </c>
      <c r="B137" s="827" t="s">
        <v>457</v>
      </c>
      <c r="C137" s="828">
        <v>0</v>
      </c>
      <c r="D137" s="828">
        <v>0</v>
      </c>
      <c r="E137" s="828">
        <v>0</v>
      </c>
      <c r="F137" s="828">
        <v>0</v>
      </c>
      <c r="G137" s="916">
        <f>SUM(C137:F137)</f>
        <v>0</v>
      </c>
    </row>
    <row r="138" spans="1:7" ht="15.9" hidden="1" customHeight="1" outlineLevel="1" thickBot="1" x14ac:dyDescent="0.45">
      <c r="A138" s="871"/>
      <c r="B138" s="831"/>
      <c r="C138" s="873"/>
      <c r="D138" s="873"/>
      <c r="E138" s="873"/>
      <c r="F138" s="873"/>
      <c r="G138" s="914"/>
    </row>
    <row r="139" spans="1:7" ht="15.9" hidden="1" customHeight="1" outlineLevel="1" x14ac:dyDescent="0.4">
      <c r="A139" s="908" t="s">
        <v>349</v>
      </c>
      <c r="B139" s="909" t="s">
        <v>350</v>
      </c>
      <c r="C139" s="910">
        <f>SUM(C141)</f>
        <v>0</v>
      </c>
      <c r="D139" s="910">
        <f>SUM(D141)</f>
        <v>0</v>
      </c>
      <c r="E139" s="910">
        <f>SUM(E141)</f>
        <v>0</v>
      </c>
      <c r="F139" s="910">
        <f>SUM(F141)</f>
        <v>0</v>
      </c>
      <c r="G139" s="911">
        <f>SUM(G141)</f>
        <v>0</v>
      </c>
    </row>
    <row r="140" spans="1:7" ht="15.9" hidden="1" customHeight="1" outlineLevel="1" x14ac:dyDescent="0.4">
      <c r="A140" s="905"/>
      <c r="B140" s="818"/>
      <c r="C140" s="717"/>
      <c r="D140" s="717"/>
      <c r="E140" s="717"/>
      <c r="F140" s="717"/>
      <c r="G140" s="920"/>
    </row>
    <row r="141" spans="1:7" ht="15.9" hidden="1" customHeight="1" outlineLevel="1" x14ac:dyDescent="0.4">
      <c r="A141" s="871" t="s">
        <v>351</v>
      </c>
      <c r="B141" s="835" t="s">
        <v>352</v>
      </c>
      <c r="C141" s="828">
        <v>0</v>
      </c>
      <c r="D141" s="828">
        <v>0</v>
      </c>
      <c r="E141" s="828">
        <v>0</v>
      </c>
      <c r="F141" s="828">
        <v>0</v>
      </c>
      <c r="G141" s="916">
        <f>SUM(C141:F141)</f>
        <v>0</v>
      </c>
    </row>
    <row r="142" spans="1:7" ht="9.9" customHeight="1" outlineLevel="1" x14ac:dyDescent="0.4">
      <c r="A142" s="871"/>
      <c r="B142" s="837"/>
      <c r="C142" s="873"/>
      <c r="D142" s="873"/>
      <c r="E142" s="873"/>
      <c r="F142" s="873"/>
      <c r="G142" s="914"/>
    </row>
    <row r="143" spans="1:7" ht="15.9" customHeight="1" outlineLevel="1" x14ac:dyDescent="0.4">
      <c r="A143" s="908" t="s">
        <v>201</v>
      </c>
      <c r="B143" s="909" t="s">
        <v>277</v>
      </c>
      <c r="C143" s="910">
        <f>SUM(C145:C150)</f>
        <v>0</v>
      </c>
      <c r="D143" s="910">
        <f>SUM(D145:D150)</f>
        <v>0</v>
      </c>
      <c r="E143" s="910">
        <f>SUM(E145:E150)</f>
        <v>8510000</v>
      </c>
      <c r="F143" s="910">
        <f>SUM(F145:F150)</f>
        <v>350000</v>
      </c>
      <c r="G143" s="911">
        <f>SUM(G145:G150)</f>
        <v>8860000</v>
      </c>
    </row>
    <row r="144" spans="1:7" ht="9.9" customHeight="1" outlineLevel="1" x14ac:dyDescent="0.4">
      <c r="A144" s="871"/>
      <c r="B144" s="818"/>
      <c r="C144" s="873"/>
      <c r="D144" s="873"/>
      <c r="E144" s="873"/>
      <c r="F144" s="873"/>
      <c r="G144" s="914"/>
    </row>
    <row r="145" spans="1:7" ht="15.9" hidden="1" customHeight="1" outlineLevel="1" thickBot="1" x14ac:dyDescent="0.45">
      <c r="A145" s="846" t="s">
        <v>202</v>
      </c>
      <c r="B145" s="827" t="s">
        <v>203</v>
      </c>
      <c r="C145" s="828">
        <v>0</v>
      </c>
      <c r="D145" s="828">
        <v>0</v>
      </c>
      <c r="E145" s="828">
        <v>0</v>
      </c>
      <c r="F145" s="828">
        <v>0</v>
      </c>
      <c r="G145" s="916">
        <f t="shared" ref="G145:G150" si="3">SUM(C145:F145)</f>
        <v>0</v>
      </c>
    </row>
    <row r="146" spans="1:7" ht="15.9" hidden="1" customHeight="1" outlineLevel="1" x14ac:dyDescent="0.4">
      <c r="A146" s="842" t="s">
        <v>204</v>
      </c>
      <c r="B146" s="827" t="s">
        <v>458</v>
      </c>
      <c r="C146" s="828">
        <v>0</v>
      </c>
      <c r="D146" s="828">
        <v>0</v>
      </c>
      <c r="E146" s="828">
        <v>0</v>
      </c>
      <c r="F146" s="828">
        <v>0</v>
      </c>
      <c r="G146" s="916">
        <f t="shared" si="3"/>
        <v>0</v>
      </c>
    </row>
    <row r="147" spans="1:7" ht="15.9" customHeight="1" outlineLevel="1" x14ac:dyDescent="0.4">
      <c r="A147" s="842" t="s">
        <v>206</v>
      </c>
      <c r="B147" s="827" t="s">
        <v>207</v>
      </c>
      <c r="C147" s="828">
        <f>+'EST.ORIGEN Y APLICACION'!C177</f>
        <v>0</v>
      </c>
      <c r="D147" s="828">
        <f>+'EST.ORIGEN Y APLICACION'!D177</f>
        <v>0</v>
      </c>
      <c r="E147" s="828">
        <f>+'EST.ORIGEN Y APLICACION'!E177</f>
        <v>8510000</v>
      </c>
      <c r="F147" s="828">
        <f>+'EST.ORIGEN Y APLICACION'!F177</f>
        <v>350000</v>
      </c>
      <c r="G147" s="913">
        <f t="shared" si="3"/>
        <v>8860000</v>
      </c>
    </row>
    <row r="148" spans="1:7" ht="15.9" hidden="1" customHeight="1" outlineLevel="1" x14ac:dyDescent="0.4">
      <c r="A148" s="846" t="s">
        <v>208</v>
      </c>
      <c r="B148" s="827" t="s">
        <v>209</v>
      </c>
      <c r="C148" s="828">
        <v>0</v>
      </c>
      <c r="D148" s="828">
        <v>0</v>
      </c>
      <c r="E148" s="828">
        <v>0</v>
      </c>
      <c r="F148" s="828">
        <v>0</v>
      </c>
      <c r="G148" s="916">
        <f t="shared" si="3"/>
        <v>0</v>
      </c>
    </row>
    <row r="149" spans="1:7" ht="15.9" hidden="1" customHeight="1" outlineLevel="1" x14ac:dyDescent="0.4">
      <c r="A149" s="842" t="s">
        <v>210</v>
      </c>
      <c r="B149" s="827" t="s">
        <v>211</v>
      </c>
      <c r="C149" s="828">
        <v>0</v>
      </c>
      <c r="D149" s="828">
        <v>0</v>
      </c>
      <c r="E149" s="828">
        <v>0</v>
      </c>
      <c r="F149" s="828">
        <v>0</v>
      </c>
      <c r="G149" s="913">
        <f t="shared" si="3"/>
        <v>0</v>
      </c>
    </row>
    <row r="150" spans="1:7" ht="15.9" hidden="1" customHeight="1" outlineLevel="1" x14ac:dyDescent="0.4">
      <c r="A150" s="842" t="s">
        <v>212</v>
      </c>
      <c r="B150" s="827" t="s">
        <v>459</v>
      </c>
      <c r="C150" s="828">
        <v>0</v>
      </c>
      <c r="D150" s="828">
        <v>0</v>
      </c>
      <c r="E150" s="828">
        <v>0</v>
      </c>
      <c r="F150" s="828">
        <v>0</v>
      </c>
      <c r="G150" s="916">
        <f t="shared" si="3"/>
        <v>0</v>
      </c>
    </row>
    <row r="151" spans="1:7" ht="9.9" customHeight="1" outlineLevel="1" x14ac:dyDescent="0.4">
      <c r="A151" s="871"/>
      <c r="B151" s="831"/>
      <c r="C151" s="873"/>
      <c r="D151" s="873" t="s">
        <v>382</v>
      </c>
      <c r="E151" s="873" t="s">
        <v>382</v>
      </c>
      <c r="F151" s="873" t="s">
        <v>382</v>
      </c>
      <c r="G151" s="914"/>
    </row>
    <row r="152" spans="1:7" ht="15.9" customHeight="1" outlineLevel="1" x14ac:dyDescent="0.4">
      <c r="A152" s="908" t="s">
        <v>214</v>
      </c>
      <c r="B152" s="909" t="s">
        <v>215</v>
      </c>
      <c r="C152" s="910">
        <f>SUM(C154:C155)</f>
        <v>4285500</v>
      </c>
      <c r="D152" s="910">
        <f>SUM(D154:D155)</f>
        <v>0</v>
      </c>
      <c r="E152" s="910">
        <f>SUM(E154:E155)</f>
        <v>14519000</v>
      </c>
      <c r="F152" s="910">
        <f>SUM(F155:F155)</f>
        <v>0</v>
      </c>
      <c r="G152" s="911">
        <f>SUM(G154:G155)</f>
        <v>18804500</v>
      </c>
    </row>
    <row r="153" spans="1:7" ht="9.9" customHeight="1" outlineLevel="1" x14ac:dyDescent="0.4">
      <c r="A153" s="871"/>
      <c r="B153" s="818"/>
      <c r="C153" s="873"/>
      <c r="D153" s="873"/>
      <c r="E153" s="873"/>
      <c r="F153" s="873"/>
      <c r="G153" s="914"/>
    </row>
    <row r="154" spans="1:7" ht="15.9" hidden="1" customHeight="1" outlineLevel="1" thickBot="1" x14ac:dyDescent="0.45">
      <c r="A154" s="871" t="s">
        <v>216</v>
      </c>
      <c r="B154" s="827" t="s">
        <v>217</v>
      </c>
      <c r="C154" s="828">
        <v>0</v>
      </c>
      <c r="D154" s="828">
        <v>0</v>
      </c>
      <c r="E154" s="828">
        <v>0</v>
      </c>
      <c r="F154" s="828">
        <v>0</v>
      </c>
      <c r="G154" s="916">
        <f>SUM(C154:F154)</f>
        <v>0</v>
      </c>
    </row>
    <row r="155" spans="1:7" ht="15.9" customHeight="1" outlineLevel="1" x14ac:dyDescent="0.4">
      <c r="A155" s="871" t="s">
        <v>218</v>
      </c>
      <c r="B155" s="827" t="s">
        <v>219</v>
      </c>
      <c r="C155" s="828">
        <f>+'EST.ORIGEN Y APLICACION'!C185</f>
        <v>4285500</v>
      </c>
      <c r="D155" s="828">
        <f>+'EST.ORIGEN Y APLICACION'!D185</f>
        <v>0</v>
      </c>
      <c r="E155" s="828">
        <f>+'EST.ORIGEN Y APLICACION'!E185</f>
        <v>14519000</v>
      </c>
      <c r="F155" s="828">
        <f>+'EST.ORIGEN Y APLICACION'!F185</f>
        <v>0</v>
      </c>
      <c r="G155" s="913">
        <f>SUM(C155:F155)</f>
        <v>18804500</v>
      </c>
    </row>
    <row r="156" spans="1:7" ht="9.9" customHeight="1" outlineLevel="1" x14ac:dyDescent="0.4">
      <c r="A156" s="871"/>
      <c r="B156" s="831"/>
      <c r="C156" s="873"/>
      <c r="D156" s="873"/>
      <c r="E156" s="873"/>
      <c r="F156" s="873"/>
      <c r="G156" s="914"/>
    </row>
    <row r="157" spans="1:7" ht="15.9" customHeight="1" outlineLevel="1" x14ac:dyDescent="0.4">
      <c r="A157" s="908" t="s">
        <v>220</v>
      </c>
      <c r="B157" s="909" t="s">
        <v>278</v>
      </c>
      <c r="C157" s="910">
        <f>SUM(C159:C166)</f>
        <v>14940851</v>
      </c>
      <c r="D157" s="910">
        <f>SUM(D159:D166)</f>
        <v>0</v>
      </c>
      <c r="E157" s="910">
        <f>SUM(E159:E166)</f>
        <v>13309390</v>
      </c>
      <c r="F157" s="910">
        <f>SUM(F159:F166)</f>
        <v>0</v>
      </c>
      <c r="G157" s="911">
        <f>SUM(G159:G166)</f>
        <v>28250241</v>
      </c>
    </row>
    <row r="158" spans="1:7" ht="9.9" customHeight="1" outlineLevel="1" x14ac:dyDescent="0.4">
      <c r="A158" s="871"/>
      <c r="B158" s="818"/>
      <c r="C158" s="873"/>
      <c r="D158" s="873"/>
      <c r="E158" s="873"/>
      <c r="F158" s="873"/>
      <c r="G158" s="914"/>
    </row>
    <row r="159" spans="1:7" ht="15.9" customHeight="1" outlineLevel="1" x14ac:dyDescent="0.4">
      <c r="A159" s="871" t="s">
        <v>221</v>
      </c>
      <c r="B159" s="868" t="s">
        <v>222</v>
      </c>
      <c r="C159" s="828">
        <f>+'EST.ORIGEN Y APLICACION'!C189</f>
        <v>3285252</v>
      </c>
      <c r="D159" s="828">
        <f>+'EST.ORIGEN Y APLICACION'!D189</f>
        <v>0</v>
      </c>
      <c r="E159" s="828">
        <f>+'EST.ORIGEN Y APLICACION'!E189</f>
        <v>681050</v>
      </c>
      <c r="F159" s="828">
        <f>+'EST.ORIGEN Y APLICACION'!F189</f>
        <v>0</v>
      </c>
      <c r="G159" s="913">
        <f t="shared" ref="G159:G166" si="4">SUM(C159:F159)</f>
        <v>3966302</v>
      </c>
    </row>
    <row r="160" spans="1:7" ht="15.9" customHeight="1" outlineLevel="1" x14ac:dyDescent="0.4">
      <c r="A160" s="871" t="s">
        <v>223</v>
      </c>
      <c r="B160" s="868" t="s">
        <v>279</v>
      </c>
      <c r="C160" s="828">
        <f>+'EST.ORIGEN Y APLICACION'!C190</f>
        <v>1038250</v>
      </c>
      <c r="D160" s="828">
        <f>+'EST.ORIGEN Y APLICACION'!D190</f>
        <v>0</v>
      </c>
      <c r="E160" s="828">
        <f>+'EST.ORIGEN Y APLICACION'!E190</f>
        <v>0</v>
      </c>
      <c r="F160" s="828">
        <f>+'EST.ORIGEN Y APLICACION'!F190</f>
        <v>0</v>
      </c>
      <c r="G160" s="913">
        <f t="shared" si="4"/>
        <v>1038250</v>
      </c>
    </row>
    <row r="161" spans="1:7" ht="15.9" customHeight="1" outlineLevel="1" x14ac:dyDescent="0.4">
      <c r="A161" s="871" t="s">
        <v>224</v>
      </c>
      <c r="B161" s="868" t="s">
        <v>225</v>
      </c>
      <c r="C161" s="828">
        <f>+'EST.ORIGEN Y APLICACION'!C191</f>
        <v>3261240</v>
      </c>
      <c r="D161" s="828">
        <f>+'EST.ORIGEN Y APLICACION'!D191</f>
        <v>0</v>
      </c>
      <c r="E161" s="828">
        <f>+'EST.ORIGEN Y APLICACION'!E191</f>
        <v>395500</v>
      </c>
      <c r="F161" s="828">
        <f>+'EST.ORIGEN Y APLICACION'!F191</f>
        <v>0</v>
      </c>
      <c r="G161" s="913">
        <f t="shared" si="4"/>
        <v>3656740</v>
      </c>
    </row>
    <row r="162" spans="1:7" ht="15.9" customHeight="1" outlineLevel="1" x14ac:dyDescent="0.4">
      <c r="A162" s="871" t="s">
        <v>226</v>
      </c>
      <c r="B162" s="868" t="s">
        <v>227</v>
      </c>
      <c r="C162" s="828">
        <f>+'EST.ORIGEN Y APLICACION'!C192</f>
        <v>4068032</v>
      </c>
      <c r="D162" s="828">
        <f>+'EST.ORIGEN Y APLICACION'!D192</f>
        <v>0</v>
      </c>
      <c r="E162" s="828">
        <f>+'EST.ORIGEN Y APLICACION'!E192</f>
        <v>11362300</v>
      </c>
      <c r="F162" s="828">
        <f>+'EST.ORIGEN Y APLICACION'!F192</f>
        <v>0</v>
      </c>
      <c r="G162" s="913">
        <f t="shared" si="4"/>
        <v>15430332</v>
      </c>
    </row>
    <row r="163" spans="1:7" ht="15.9" customHeight="1" outlineLevel="1" x14ac:dyDescent="0.4">
      <c r="A163" s="871" t="s">
        <v>228</v>
      </c>
      <c r="B163" s="868" t="s">
        <v>229</v>
      </c>
      <c r="C163" s="828">
        <f>+'EST.ORIGEN Y APLICACION'!C193</f>
        <v>2462077</v>
      </c>
      <c r="D163" s="828">
        <f>+'EST.ORIGEN Y APLICACION'!D193</f>
        <v>0</v>
      </c>
      <c r="E163" s="828">
        <f>+'EST.ORIGEN Y APLICACION'!E193</f>
        <v>450540</v>
      </c>
      <c r="F163" s="828">
        <f>+'EST.ORIGEN Y APLICACION'!F193</f>
        <v>0</v>
      </c>
      <c r="G163" s="913">
        <f t="shared" si="4"/>
        <v>2912617</v>
      </c>
    </row>
    <row r="164" spans="1:7" ht="15.9" customHeight="1" outlineLevel="1" x14ac:dyDescent="0.4">
      <c r="A164" s="871" t="s">
        <v>230</v>
      </c>
      <c r="B164" s="868" t="s">
        <v>231</v>
      </c>
      <c r="C164" s="828">
        <f>+'EST.ORIGEN Y APLICACION'!C194</f>
        <v>74500</v>
      </c>
      <c r="D164" s="828">
        <f>+'EST.ORIGEN Y APLICACION'!D194</f>
        <v>0</v>
      </c>
      <c r="E164" s="828">
        <f>+'EST.ORIGEN Y APLICACION'!E194</f>
        <v>0</v>
      </c>
      <c r="F164" s="828">
        <f>+'EST.ORIGEN Y APLICACION'!F194</f>
        <v>0</v>
      </c>
      <c r="G164" s="913">
        <f t="shared" si="4"/>
        <v>74500</v>
      </c>
    </row>
    <row r="165" spans="1:7" ht="15.9" hidden="1" customHeight="1" outlineLevel="1" thickBot="1" x14ac:dyDescent="0.45">
      <c r="A165" s="871" t="s">
        <v>366</v>
      </c>
      <c r="B165" s="868" t="s">
        <v>410</v>
      </c>
      <c r="C165" s="828">
        <f>+'EST.ORIGEN Y APLICACION'!C195</f>
        <v>0</v>
      </c>
      <c r="D165" s="828">
        <f>+'EST.ORIGEN Y APLICACION'!D195</f>
        <v>0</v>
      </c>
      <c r="E165" s="828">
        <f>+'EST.ORIGEN Y APLICACION'!E195</f>
        <v>0</v>
      </c>
      <c r="F165" s="828">
        <f>+'EST.ORIGEN Y APLICACION'!F195</f>
        <v>0</v>
      </c>
      <c r="G165" s="913">
        <f>SUM(C165:F165)</f>
        <v>0</v>
      </c>
    </row>
    <row r="166" spans="1:7" ht="15.9" customHeight="1" outlineLevel="1" x14ac:dyDescent="0.4">
      <c r="A166" s="871" t="s">
        <v>232</v>
      </c>
      <c r="B166" s="868" t="s">
        <v>460</v>
      </c>
      <c r="C166" s="828">
        <f>+'EST.ORIGEN Y APLICACION'!C196</f>
        <v>751500</v>
      </c>
      <c r="D166" s="828">
        <f>+'EST.ORIGEN Y APLICACION'!D196</f>
        <v>0</v>
      </c>
      <c r="E166" s="828">
        <f>+'EST.ORIGEN Y APLICACION'!E196</f>
        <v>420000</v>
      </c>
      <c r="F166" s="828">
        <f>+'EST.ORIGEN Y APLICACION'!F196</f>
        <v>0</v>
      </c>
      <c r="G166" s="913">
        <f t="shared" si="4"/>
        <v>1171500</v>
      </c>
    </row>
    <row r="167" spans="1:7" ht="9.9" customHeight="1" outlineLevel="1" thickBot="1" x14ac:dyDescent="0.45">
      <c r="A167" s="869"/>
      <c r="B167" s="865"/>
      <c r="C167" s="733"/>
      <c r="D167" s="733"/>
      <c r="E167" s="733"/>
      <c r="F167" s="733"/>
      <c r="G167" s="915"/>
    </row>
    <row r="168" spans="1:7" ht="15.9" customHeight="1" thickBot="1" x14ac:dyDescent="0.45">
      <c r="A168" s="851">
        <v>4</v>
      </c>
      <c r="B168" s="810" t="s">
        <v>950</v>
      </c>
      <c r="C168" s="853">
        <f>+C170</f>
        <v>2546194511.6500001</v>
      </c>
      <c r="D168" s="853">
        <f>+D170</f>
        <v>0</v>
      </c>
      <c r="E168" s="853">
        <f>+E170</f>
        <v>0</v>
      </c>
      <c r="F168" s="853">
        <f>+F170</f>
        <v>0</v>
      </c>
      <c r="G168" s="854">
        <f>+G170</f>
        <v>2546194511.6500001</v>
      </c>
    </row>
    <row r="169" spans="1:7" ht="9.9" customHeight="1" outlineLevel="1" x14ac:dyDescent="0.4">
      <c r="A169" s="869"/>
      <c r="B169" s="865"/>
      <c r="C169" s="733"/>
      <c r="D169" s="733"/>
      <c r="E169" s="733"/>
      <c r="F169" s="733"/>
      <c r="G169" s="915"/>
    </row>
    <row r="170" spans="1:7" ht="15.9" customHeight="1" outlineLevel="1" x14ac:dyDescent="0.4">
      <c r="A170" s="908" t="s">
        <v>1031</v>
      </c>
      <c r="B170" s="909" t="s">
        <v>1244</v>
      </c>
      <c r="C170" s="910">
        <f>+C172</f>
        <v>2546194511.6500001</v>
      </c>
      <c r="D170" s="910">
        <f>+D172</f>
        <v>0</v>
      </c>
      <c r="E170" s="910">
        <f>+E172</f>
        <v>0</v>
      </c>
      <c r="F170" s="910">
        <f>+F172</f>
        <v>0</v>
      </c>
      <c r="G170" s="911">
        <f>+G172</f>
        <v>2546194511.6500001</v>
      </c>
    </row>
    <row r="171" spans="1:7" ht="9.9" customHeight="1" outlineLevel="1" x14ac:dyDescent="0.4">
      <c r="A171" s="869"/>
      <c r="B171" s="865"/>
      <c r="C171" s="733"/>
      <c r="D171" s="733"/>
      <c r="E171" s="733"/>
      <c r="F171" s="733"/>
      <c r="G171" s="915"/>
    </row>
    <row r="172" spans="1:7" ht="15.9" customHeight="1" outlineLevel="1" x14ac:dyDescent="0.4">
      <c r="A172" s="871" t="s">
        <v>1034</v>
      </c>
      <c r="B172" s="868" t="s">
        <v>1035</v>
      </c>
      <c r="C172" s="828">
        <f>+'EST.ORIGEN Y APLICACION'!C202</f>
        <v>2546194511.6500001</v>
      </c>
      <c r="D172" s="828">
        <f>+'EST.ORIGEN Y APLICACION'!D202</f>
        <v>0</v>
      </c>
      <c r="E172" s="828">
        <f>+'EST.ORIGEN Y APLICACION'!E202</f>
        <v>0</v>
      </c>
      <c r="F172" s="828">
        <f>+'EST.ORIGEN Y APLICACION'!F202</f>
        <v>0</v>
      </c>
      <c r="G172" s="913">
        <f>SUM(C172:F172)</f>
        <v>2546194511.6500001</v>
      </c>
    </row>
    <row r="173" spans="1:7" ht="15.9" hidden="1" customHeight="1" outlineLevel="1" thickBot="1" x14ac:dyDescent="0.45">
      <c r="A173" s="869"/>
      <c r="B173" s="865"/>
      <c r="C173" s="733"/>
      <c r="D173" s="733"/>
      <c r="E173" s="733"/>
      <c r="F173" s="733"/>
      <c r="G173" s="915"/>
    </row>
    <row r="174" spans="1:7" ht="15.9" hidden="1" customHeight="1" outlineLevel="1" thickBot="1" x14ac:dyDescent="0.45">
      <c r="A174" s="869"/>
      <c r="B174" s="865"/>
      <c r="C174" s="733"/>
      <c r="D174" s="733"/>
      <c r="E174" s="733"/>
      <c r="F174" s="733"/>
      <c r="G174" s="915"/>
    </row>
    <row r="175" spans="1:7" ht="9.9" customHeight="1" thickBot="1" x14ac:dyDescent="0.45">
      <c r="A175" s="869"/>
      <c r="B175" s="865"/>
      <c r="C175" s="733"/>
      <c r="D175" s="733"/>
      <c r="E175" s="733"/>
      <c r="F175" s="733"/>
      <c r="G175" s="915"/>
    </row>
    <row r="176" spans="1:7" ht="15.9" customHeight="1" thickBot="1" x14ac:dyDescent="0.45">
      <c r="A176" s="851">
        <v>5</v>
      </c>
      <c r="B176" s="810" t="s">
        <v>57</v>
      </c>
      <c r="C176" s="853">
        <f>+C178+C189+C194</f>
        <v>669687754</v>
      </c>
      <c r="D176" s="853">
        <f>+D178+D189+D194</f>
        <v>0</v>
      </c>
      <c r="E176" s="853">
        <f>+E178+E189+E194</f>
        <v>9905264</v>
      </c>
      <c r="F176" s="853">
        <f>+F178+F189+F194</f>
        <v>0</v>
      </c>
      <c r="G176" s="854">
        <f>+G178+G189+G194</f>
        <v>679593018</v>
      </c>
    </row>
    <row r="177" spans="1:7" ht="9.9" customHeight="1" x14ac:dyDescent="0.4">
      <c r="A177" s="792"/>
      <c r="B177" s="856"/>
      <c r="C177" s="717"/>
      <c r="D177" s="717"/>
      <c r="E177" s="717"/>
      <c r="F177" s="717"/>
      <c r="G177" s="920"/>
    </row>
    <row r="178" spans="1:7" ht="15.9" customHeight="1" outlineLevel="1" x14ac:dyDescent="0.4">
      <c r="A178" s="908" t="s">
        <v>234</v>
      </c>
      <c r="B178" s="909" t="s">
        <v>235</v>
      </c>
      <c r="C178" s="910">
        <f>SUM(C180:C187)</f>
        <v>255900000</v>
      </c>
      <c r="D178" s="910">
        <f>SUM(D181:D187)</f>
        <v>0</v>
      </c>
      <c r="E178" s="910">
        <f>SUM(E180:E187)</f>
        <v>0</v>
      </c>
      <c r="F178" s="910">
        <f>SUM(F181:F187)</f>
        <v>0</v>
      </c>
      <c r="G178" s="911">
        <f>SUM(G180:G187)</f>
        <v>255900000</v>
      </c>
    </row>
    <row r="179" spans="1:7" ht="9.9" customHeight="1" outlineLevel="1" x14ac:dyDescent="0.4">
      <c r="A179" s="792"/>
      <c r="B179" s="818"/>
      <c r="C179" s="717"/>
      <c r="D179" s="717"/>
      <c r="E179" s="717"/>
      <c r="F179" s="717"/>
      <c r="G179" s="920"/>
    </row>
    <row r="180" spans="1:7" ht="15.9" hidden="1" customHeight="1" outlineLevel="1" thickBot="1" x14ac:dyDescent="0.45">
      <c r="A180" s="842" t="s">
        <v>430</v>
      </c>
      <c r="B180" s="868" t="s">
        <v>431</v>
      </c>
      <c r="C180" s="828">
        <v>0</v>
      </c>
      <c r="D180" s="828">
        <v>0</v>
      </c>
      <c r="E180" s="828">
        <v>0</v>
      </c>
      <c r="F180" s="828">
        <v>0</v>
      </c>
      <c r="G180" s="916">
        <f>SUM(C180:F180)</f>
        <v>0</v>
      </c>
    </row>
    <row r="181" spans="1:7" ht="15.9" customHeight="1" outlineLevel="1" x14ac:dyDescent="0.4">
      <c r="A181" s="842" t="s">
        <v>236</v>
      </c>
      <c r="B181" s="827" t="s">
        <v>237</v>
      </c>
      <c r="C181" s="828">
        <f>+'EST.ORIGEN Y APLICACION'!C210</f>
        <v>150000000</v>
      </c>
      <c r="D181" s="828">
        <f>+'EST.ORIGEN Y APLICACION'!D210</f>
        <v>0</v>
      </c>
      <c r="E181" s="828">
        <f>+'EST.ORIGEN Y APLICACION'!E210</f>
        <v>0</v>
      </c>
      <c r="F181" s="828">
        <f>+'EST.ORIGEN Y APLICACION'!F210</f>
        <v>0</v>
      </c>
      <c r="G181" s="913">
        <f>SUM(C181:F181)</f>
        <v>150000000</v>
      </c>
    </row>
    <row r="182" spans="1:7" ht="15.9" customHeight="1" outlineLevel="1" x14ac:dyDescent="0.4">
      <c r="A182" s="842" t="s">
        <v>238</v>
      </c>
      <c r="B182" s="827" t="s">
        <v>239</v>
      </c>
      <c r="C182" s="828">
        <f>+'EST.ORIGEN Y APLICACION'!C211</f>
        <v>3400000</v>
      </c>
      <c r="D182" s="828">
        <f>+'EST.ORIGEN Y APLICACION'!D211</f>
        <v>0</v>
      </c>
      <c r="E182" s="828">
        <f>+'EST.ORIGEN Y APLICACION'!E211</f>
        <v>0</v>
      </c>
      <c r="F182" s="828">
        <f>+'EST.ORIGEN Y APLICACION'!F211</f>
        <v>0</v>
      </c>
      <c r="G182" s="913">
        <f t="shared" ref="G182:G187" si="5">SUM(C182:F182)</f>
        <v>3400000</v>
      </c>
    </row>
    <row r="183" spans="1:7" ht="15.9" hidden="1" customHeight="1" outlineLevel="1" x14ac:dyDescent="0.4">
      <c r="A183" s="871" t="s">
        <v>240</v>
      </c>
      <c r="B183" s="827" t="s">
        <v>241</v>
      </c>
      <c r="C183" s="828">
        <f>+'EST.ORIGEN Y APLICACION'!C212</f>
        <v>0</v>
      </c>
      <c r="D183" s="828">
        <f>+'EST.ORIGEN Y APLICACION'!D212</f>
        <v>0</v>
      </c>
      <c r="E183" s="828">
        <f>+'EST.ORIGEN Y APLICACION'!E212</f>
        <v>0</v>
      </c>
      <c r="F183" s="828">
        <f>+'EST.ORIGEN Y APLICACION'!F212</f>
        <v>0</v>
      </c>
      <c r="G183" s="913">
        <f t="shared" si="5"/>
        <v>0</v>
      </c>
    </row>
    <row r="184" spans="1:7" ht="15.9" customHeight="1" outlineLevel="1" x14ac:dyDescent="0.4">
      <c r="A184" s="871" t="s">
        <v>242</v>
      </c>
      <c r="B184" s="827" t="s">
        <v>243</v>
      </c>
      <c r="C184" s="828">
        <f>+'EST.ORIGEN Y APLICACION'!C213</f>
        <v>100000000</v>
      </c>
      <c r="D184" s="828">
        <f>+'EST.ORIGEN Y APLICACION'!D213</f>
        <v>0</v>
      </c>
      <c r="E184" s="828">
        <f>+'EST.ORIGEN Y APLICACION'!E213</f>
        <v>0</v>
      </c>
      <c r="F184" s="828">
        <f>+'EST.ORIGEN Y APLICACION'!F213</f>
        <v>0</v>
      </c>
      <c r="G184" s="913">
        <f t="shared" si="5"/>
        <v>100000000</v>
      </c>
    </row>
    <row r="185" spans="1:7" ht="15.9" customHeight="1" outlineLevel="1" x14ac:dyDescent="0.4">
      <c r="A185" s="871" t="s">
        <v>244</v>
      </c>
      <c r="B185" s="827" t="s">
        <v>245</v>
      </c>
      <c r="C185" s="828">
        <f>+'EST.ORIGEN Y APLICACION'!C214</f>
        <v>2500000</v>
      </c>
      <c r="D185" s="828">
        <f>+'EST.ORIGEN Y APLICACION'!D214</f>
        <v>0</v>
      </c>
      <c r="E185" s="828">
        <f>+'EST.ORIGEN Y APLICACION'!E214</f>
        <v>0</v>
      </c>
      <c r="F185" s="828">
        <f>+'EST.ORIGEN Y APLICACION'!F214</f>
        <v>0</v>
      </c>
      <c r="G185" s="913">
        <f t="shared" si="5"/>
        <v>2500000</v>
      </c>
    </row>
    <row r="186" spans="1:7" ht="15.9" hidden="1" customHeight="1" outlineLevel="1" x14ac:dyDescent="0.4">
      <c r="A186" s="871" t="s">
        <v>246</v>
      </c>
      <c r="B186" s="827" t="s">
        <v>247</v>
      </c>
      <c r="C186" s="828">
        <v>0</v>
      </c>
      <c r="D186" s="828">
        <v>0</v>
      </c>
      <c r="E186" s="828">
        <v>0</v>
      </c>
      <c r="F186" s="828">
        <v>0</v>
      </c>
      <c r="G186" s="913">
        <f t="shared" si="5"/>
        <v>0</v>
      </c>
    </row>
    <row r="187" spans="1:7" ht="15.9" hidden="1" customHeight="1" outlineLevel="1" thickBot="1" x14ac:dyDescent="0.45">
      <c r="A187" s="871" t="s">
        <v>248</v>
      </c>
      <c r="B187" s="868" t="s">
        <v>461</v>
      </c>
      <c r="C187" s="828">
        <v>0</v>
      </c>
      <c r="D187" s="828">
        <v>0</v>
      </c>
      <c r="E187" s="828">
        <v>0</v>
      </c>
      <c r="F187" s="828">
        <v>0</v>
      </c>
      <c r="G187" s="913">
        <f t="shared" si="5"/>
        <v>0</v>
      </c>
    </row>
    <row r="188" spans="1:7" ht="15.9" hidden="1" customHeight="1" outlineLevel="1" x14ac:dyDescent="0.4">
      <c r="A188" s="871"/>
      <c r="B188" s="831"/>
      <c r="C188" s="873"/>
      <c r="D188" s="873"/>
      <c r="E188" s="873"/>
      <c r="F188" s="873"/>
      <c r="G188" s="914"/>
    </row>
    <row r="189" spans="1:7" ht="15.9" hidden="1" customHeight="1" outlineLevel="1" x14ac:dyDescent="0.4">
      <c r="A189" s="908" t="s">
        <v>250</v>
      </c>
      <c r="B189" s="909" t="s">
        <v>251</v>
      </c>
      <c r="C189" s="910">
        <f>SUM(C191:C192)</f>
        <v>0</v>
      </c>
      <c r="D189" s="910">
        <f>SUM(D191:D192)</f>
        <v>0</v>
      </c>
      <c r="E189" s="910">
        <f>SUM(E191:E192)</f>
        <v>0</v>
      </c>
      <c r="F189" s="910">
        <f>SUM(F191:F192)</f>
        <v>0</v>
      </c>
      <c r="G189" s="911">
        <f>SUM(G191:G192)</f>
        <v>0</v>
      </c>
    </row>
    <row r="190" spans="1:7" ht="15.9" hidden="1" customHeight="1" outlineLevel="1" x14ac:dyDescent="0.4">
      <c r="A190" s="871"/>
      <c r="B190" s="818"/>
      <c r="C190" s="873"/>
      <c r="D190" s="873"/>
      <c r="E190" s="873"/>
      <c r="F190" s="873"/>
      <c r="G190" s="914"/>
    </row>
    <row r="191" spans="1:7" ht="15.9" hidden="1" customHeight="1" outlineLevel="1" x14ac:dyDescent="0.4">
      <c r="A191" s="871" t="s">
        <v>252</v>
      </c>
      <c r="B191" s="827" t="s">
        <v>253</v>
      </c>
      <c r="C191" s="828">
        <v>0</v>
      </c>
      <c r="D191" s="828">
        <v>0</v>
      </c>
      <c r="E191" s="828">
        <v>0</v>
      </c>
      <c r="F191" s="828">
        <v>0</v>
      </c>
      <c r="G191" s="916">
        <f>SUM(C191:F191)</f>
        <v>0</v>
      </c>
    </row>
    <row r="192" spans="1:7" ht="15.9" hidden="1" customHeight="1" outlineLevel="1" x14ac:dyDescent="0.4">
      <c r="A192" s="871" t="s">
        <v>254</v>
      </c>
      <c r="B192" s="827" t="s">
        <v>255</v>
      </c>
      <c r="C192" s="828">
        <v>0</v>
      </c>
      <c r="D192" s="828">
        <v>0</v>
      </c>
      <c r="E192" s="828">
        <v>0</v>
      </c>
      <c r="F192" s="828">
        <v>0</v>
      </c>
      <c r="G192" s="916">
        <f>SUM(C192:F192)</f>
        <v>0</v>
      </c>
    </row>
    <row r="193" spans="1:7" ht="9.9" customHeight="1" outlineLevel="1" x14ac:dyDescent="0.4">
      <c r="A193" s="869"/>
      <c r="B193" s="872"/>
      <c r="C193" s="733"/>
      <c r="D193" s="733"/>
      <c r="E193" s="733"/>
      <c r="F193" s="733"/>
      <c r="G193" s="915"/>
    </row>
    <row r="194" spans="1:7" ht="15.9" customHeight="1" outlineLevel="1" x14ac:dyDescent="0.4">
      <c r="A194" s="908" t="s">
        <v>258</v>
      </c>
      <c r="B194" s="909" t="s">
        <v>251</v>
      </c>
      <c r="C194" s="910">
        <f>+C196+C197</f>
        <v>413787754</v>
      </c>
      <c r="D194" s="910">
        <f>+D196+D197</f>
        <v>0</v>
      </c>
      <c r="E194" s="910">
        <f>+E196+E197</f>
        <v>9905264</v>
      </c>
      <c r="F194" s="910">
        <f>+F196+F197</f>
        <v>0</v>
      </c>
      <c r="G194" s="911">
        <f>+G196+G197</f>
        <v>423693018</v>
      </c>
    </row>
    <row r="195" spans="1:7" ht="9.9" customHeight="1" outlineLevel="1" x14ac:dyDescent="0.4">
      <c r="A195" s="869"/>
      <c r="B195" s="818"/>
      <c r="C195" s="733"/>
      <c r="D195" s="733"/>
      <c r="E195" s="733"/>
      <c r="F195" s="733"/>
      <c r="G195" s="915"/>
    </row>
    <row r="196" spans="1:7" ht="15.9" customHeight="1" outlineLevel="1" x14ac:dyDescent="0.4">
      <c r="A196" s="842" t="s">
        <v>411</v>
      </c>
      <c r="B196" s="827" t="s">
        <v>412</v>
      </c>
      <c r="C196" s="828">
        <f>+'EST.ORIGEN Y APLICACION'!C225</f>
        <v>413787754</v>
      </c>
      <c r="D196" s="828">
        <f>+'EST.ORIGEN Y APLICACION'!D225</f>
        <v>0</v>
      </c>
      <c r="E196" s="828">
        <f>+'EST.ORIGEN Y APLICACION'!E225</f>
        <v>9905264</v>
      </c>
      <c r="F196" s="828">
        <f>+'EST.ORIGEN Y APLICACION'!F225</f>
        <v>0</v>
      </c>
      <c r="G196" s="913">
        <f>SUM(C196:F196)</f>
        <v>423693018</v>
      </c>
    </row>
    <row r="197" spans="1:7" ht="15.9" hidden="1" customHeight="1" outlineLevel="1" thickBot="1" x14ac:dyDescent="0.45">
      <c r="A197" s="842" t="s">
        <v>259</v>
      </c>
      <c r="B197" s="827" t="s">
        <v>260</v>
      </c>
      <c r="C197" s="828">
        <v>0</v>
      </c>
      <c r="D197" s="828">
        <v>0</v>
      </c>
      <c r="E197" s="828">
        <v>0</v>
      </c>
      <c r="F197" s="828">
        <v>0</v>
      </c>
      <c r="G197" s="916">
        <f>SUM(C197:F197)</f>
        <v>0</v>
      </c>
    </row>
    <row r="198" spans="1:7" ht="9.9" customHeight="1" outlineLevel="1" thickBot="1" x14ac:dyDescent="0.45">
      <c r="A198" s="925"/>
      <c r="B198" s="865"/>
      <c r="C198" s="918"/>
      <c r="D198" s="918"/>
      <c r="E198" s="918"/>
      <c r="F198" s="918"/>
      <c r="G198" s="924"/>
    </row>
    <row r="199" spans="1:7" ht="15.9" customHeight="1" thickBot="1" x14ac:dyDescent="0.45">
      <c r="A199" s="851">
        <v>6</v>
      </c>
      <c r="B199" s="810" t="s">
        <v>261</v>
      </c>
      <c r="C199" s="853">
        <f>+C201+C210+C218+C214+C206</f>
        <v>87780000</v>
      </c>
      <c r="D199" s="853">
        <f>+D201+D210+D218+D214+D206</f>
        <v>0</v>
      </c>
      <c r="E199" s="853">
        <f>+E201+E210+E218+E214+E206</f>
        <v>413997272</v>
      </c>
      <c r="F199" s="853">
        <f>+F201+F210+F218+F214+F206</f>
        <v>1200000</v>
      </c>
      <c r="G199" s="854">
        <f>+G201+G210+G218+G214+G206</f>
        <v>502977272</v>
      </c>
    </row>
    <row r="200" spans="1:7" ht="9.9" customHeight="1" outlineLevel="1" x14ac:dyDescent="0.4">
      <c r="A200" s="792"/>
      <c r="B200" s="856"/>
      <c r="C200" s="717"/>
      <c r="D200" s="717"/>
      <c r="E200" s="717"/>
      <c r="F200" s="717"/>
      <c r="G200" s="920"/>
    </row>
    <row r="201" spans="1:7" ht="15.9" customHeight="1" outlineLevel="1" x14ac:dyDescent="0.4">
      <c r="A201" s="908" t="s">
        <v>262</v>
      </c>
      <c r="B201" s="909" t="s">
        <v>280</v>
      </c>
      <c r="C201" s="910">
        <f>SUM(C203:C204)</f>
        <v>30000000</v>
      </c>
      <c r="D201" s="910">
        <f>SUM(D203:D204)</f>
        <v>0</v>
      </c>
      <c r="E201" s="910">
        <f>SUM(E203:E204)</f>
        <v>411894272</v>
      </c>
      <c r="F201" s="910">
        <f>SUM(F203:F204)</f>
        <v>0</v>
      </c>
      <c r="G201" s="911">
        <f>SUM(G203:G204)</f>
        <v>441894272</v>
      </c>
    </row>
    <row r="202" spans="1:7" ht="9.9" customHeight="1" outlineLevel="1" x14ac:dyDescent="0.4">
      <c r="A202" s="792"/>
      <c r="B202" s="818"/>
      <c r="C202" s="717"/>
      <c r="D202" s="717"/>
      <c r="E202" s="717"/>
      <c r="F202" s="717"/>
      <c r="G202" s="920"/>
    </row>
    <row r="203" spans="1:7" ht="15.9" customHeight="1" outlineLevel="1" x14ac:dyDescent="0.4">
      <c r="A203" s="926" t="s">
        <v>353</v>
      </c>
      <c r="B203" s="861" t="s">
        <v>354</v>
      </c>
      <c r="C203" s="828">
        <f>+'EST.ORIGEN Y APLICACION'!C232</f>
        <v>30000000</v>
      </c>
      <c r="D203" s="828">
        <f>+'EST.ORIGEN Y APLICACION'!D232</f>
        <v>0</v>
      </c>
      <c r="E203" s="828">
        <f>+'EST.ORIGEN Y APLICACION'!E232</f>
        <v>411894272</v>
      </c>
      <c r="F203" s="828">
        <f>+'EST.ORIGEN Y APLICACION'!F232</f>
        <v>0</v>
      </c>
      <c r="G203" s="913">
        <f>SUM(C203:F203)</f>
        <v>441894272</v>
      </c>
    </row>
    <row r="204" spans="1:7" ht="15.9" hidden="1" customHeight="1" outlineLevel="1" thickBot="1" x14ac:dyDescent="0.45">
      <c r="A204" s="926" t="s">
        <v>263</v>
      </c>
      <c r="B204" s="861" t="s">
        <v>462</v>
      </c>
      <c r="C204" s="828">
        <v>0</v>
      </c>
      <c r="D204" s="828">
        <v>0</v>
      </c>
      <c r="E204" s="828">
        <v>0</v>
      </c>
      <c r="F204" s="828">
        <v>0</v>
      </c>
      <c r="G204" s="916">
        <f>SUM(C204:F204)</f>
        <v>0</v>
      </c>
    </row>
    <row r="205" spans="1:7" ht="9.9" customHeight="1" outlineLevel="1" x14ac:dyDescent="0.4">
      <c r="A205" s="926"/>
      <c r="B205" s="927"/>
      <c r="C205" s="873"/>
      <c r="D205" s="873"/>
      <c r="E205" s="873"/>
      <c r="F205" s="873"/>
      <c r="G205" s="914"/>
    </row>
    <row r="206" spans="1:7" ht="15.9" customHeight="1" outlineLevel="1" x14ac:dyDescent="0.4">
      <c r="A206" s="908" t="s">
        <v>805</v>
      </c>
      <c r="B206" s="909" t="s">
        <v>806</v>
      </c>
      <c r="C206" s="910">
        <f>SUM(C208:C208)</f>
        <v>7780000</v>
      </c>
      <c r="D206" s="910">
        <f>SUM(D208:D208)</f>
        <v>0</v>
      </c>
      <c r="E206" s="910">
        <f>SUM(E208:E208)</f>
        <v>0</v>
      </c>
      <c r="F206" s="910">
        <f>SUM(F208:F208)</f>
        <v>0</v>
      </c>
      <c r="G206" s="911">
        <f>SUM(G208:G208)</f>
        <v>7780000</v>
      </c>
    </row>
    <row r="207" spans="1:7" ht="9.9" customHeight="1" outlineLevel="1" x14ac:dyDescent="0.4">
      <c r="A207" s="792"/>
      <c r="B207" s="818"/>
      <c r="C207" s="717"/>
      <c r="D207" s="717"/>
      <c r="E207" s="717"/>
      <c r="F207" s="717"/>
      <c r="G207" s="920"/>
    </row>
    <row r="208" spans="1:7" ht="15.9" customHeight="1" outlineLevel="1" x14ac:dyDescent="0.4">
      <c r="A208" s="926" t="s">
        <v>809</v>
      </c>
      <c r="B208" s="861" t="s">
        <v>810</v>
      </c>
      <c r="C208" s="828">
        <f>+'EST.ORIGEN Y APLICACION'!C237</f>
        <v>7780000</v>
      </c>
      <c r="D208" s="828">
        <f>+'EST.ORIGEN Y APLICACION'!D237</f>
        <v>0</v>
      </c>
      <c r="E208" s="828">
        <f>+'EST.ORIGEN Y APLICACION'!E237</f>
        <v>0</v>
      </c>
      <c r="F208" s="828">
        <f>+'EST.ORIGEN Y APLICACION'!F237</f>
        <v>0</v>
      </c>
      <c r="G208" s="913">
        <f>SUM(C208:F208)</f>
        <v>7780000</v>
      </c>
    </row>
    <row r="209" spans="1:7" ht="9.9" customHeight="1" outlineLevel="1" x14ac:dyDescent="0.4">
      <c r="A209" s="926"/>
      <c r="B209" s="878"/>
      <c r="C209" s="873"/>
      <c r="D209" s="873"/>
      <c r="E209" s="873"/>
      <c r="F209" s="873"/>
      <c r="G209" s="914"/>
    </row>
    <row r="210" spans="1:7" ht="15.9" customHeight="1" outlineLevel="1" x14ac:dyDescent="0.4">
      <c r="A210" s="908" t="s">
        <v>264</v>
      </c>
      <c r="B210" s="909" t="s">
        <v>265</v>
      </c>
      <c r="C210" s="910">
        <f>SUM(C212)</f>
        <v>50000000</v>
      </c>
      <c r="D210" s="910">
        <f>SUM(D212)</f>
        <v>0</v>
      </c>
      <c r="E210" s="910">
        <f>SUM(E212)</f>
        <v>2103000</v>
      </c>
      <c r="F210" s="910">
        <f>SUM(F212)</f>
        <v>0</v>
      </c>
      <c r="G210" s="911">
        <f>SUM(G212)</f>
        <v>52103000</v>
      </c>
    </row>
    <row r="211" spans="1:7" ht="9.9" customHeight="1" outlineLevel="1" x14ac:dyDescent="0.4">
      <c r="A211" s="926"/>
      <c r="B211" s="818"/>
      <c r="C211" s="873"/>
      <c r="D211" s="873"/>
      <c r="E211" s="873"/>
      <c r="F211" s="873"/>
      <c r="G211" s="914"/>
    </row>
    <row r="212" spans="1:7" ht="15.9" customHeight="1" outlineLevel="1" x14ac:dyDescent="0.4">
      <c r="A212" s="926" t="s">
        <v>345</v>
      </c>
      <c r="B212" s="861" t="s">
        <v>36</v>
      </c>
      <c r="C212" s="828">
        <f>+'EST.ORIGEN Y APLICACION'!C241</f>
        <v>50000000</v>
      </c>
      <c r="D212" s="828">
        <f>+'EST.ORIGEN Y APLICACION'!D241</f>
        <v>0</v>
      </c>
      <c r="E212" s="828">
        <f>+'EST.ORIGEN Y APLICACION'!E241</f>
        <v>2103000</v>
      </c>
      <c r="F212" s="828">
        <f>+'EST.ORIGEN Y APLICACION'!F241</f>
        <v>0</v>
      </c>
      <c r="G212" s="913">
        <f>SUM(C212:F212)</f>
        <v>52103000</v>
      </c>
    </row>
    <row r="213" spans="1:7" ht="15.9" hidden="1" customHeight="1" outlineLevel="1" thickBot="1" x14ac:dyDescent="0.45">
      <c r="A213" s="926"/>
      <c r="B213" s="878"/>
      <c r="C213" s="873"/>
      <c r="D213" s="873"/>
      <c r="E213" s="873"/>
      <c r="F213" s="873"/>
      <c r="G213" s="914"/>
    </row>
    <row r="214" spans="1:7" ht="15.9" hidden="1" customHeight="1" outlineLevel="1" thickBot="1" x14ac:dyDescent="0.45">
      <c r="A214" s="908" t="s">
        <v>378</v>
      </c>
      <c r="B214" s="909" t="s">
        <v>414</v>
      </c>
      <c r="C214" s="910">
        <f>+C216</f>
        <v>0</v>
      </c>
      <c r="D214" s="910">
        <f>+D216</f>
        <v>0</v>
      </c>
      <c r="E214" s="910">
        <f>+E216</f>
        <v>0</v>
      </c>
      <c r="F214" s="910">
        <f>+F216</f>
        <v>0</v>
      </c>
      <c r="G214" s="911">
        <f>+G216</f>
        <v>0</v>
      </c>
    </row>
    <row r="215" spans="1:7" ht="15.9" hidden="1" customHeight="1" outlineLevel="1" x14ac:dyDescent="0.4">
      <c r="A215" s="926"/>
      <c r="B215" s="818"/>
      <c r="C215" s="873"/>
      <c r="D215" s="873"/>
      <c r="E215" s="873"/>
      <c r="F215" s="873"/>
      <c r="G215" s="914"/>
    </row>
    <row r="216" spans="1:7" ht="15.9" hidden="1" customHeight="1" outlineLevel="1" x14ac:dyDescent="0.4">
      <c r="A216" s="926" t="s">
        <v>383</v>
      </c>
      <c r="B216" s="861" t="s">
        <v>381</v>
      </c>
      <c r="C216" s="828">
        <v>0</v>
      </c>
      <c r="D216" s="828">
        <v>0</v>
      </c>
      <c r="E216" s="828">
        <v>0</v>
      </c>
      <c r="F216" s="828">
        <v>0</v>
      </c>
      <c r="G216" s="913">
        <f>SUM(C216:F216)</f>
        <v>0</v>
      </c>
    </row>
    <row r="217" spans="1:7" ht="9.9" customHeight="1" outlineLevel="1" x14ac:dyDescent="0.4">
      <c r="A217" s="926"/>
      <c r="B217" s="928"/>
      <c r="C217" s="873"/>
      <c r="D217" s="873"/>
      <c r="E217" s="873"/>
      <c r="F217" s="873"/>
      <c r="G217" s="914"/>
    </row>
    <row r="218" spans="1:7" ht="15.9" customHeight="1" outlineLevel="1" x14ac:dyDescent="0.4">
      <c r="A218" s="908" t="s">
        <v>266</v>
      </c>
      <c r="B218" s="909" t="s">
        <v>281</v>
      </c>
      <c r="C218" s="910">
        <f>SUM(C220:C221)</f>
        <v>0</v>
      </c>
      <c r="D218" s="910">
        <f>SUM(D220:D221)</f>
        <v>0</v>
      </c>
      <c r="E218" s="910">
        <f>SUM(E220:E221)</f>
        <v>0</v>
      </c>
      <c r="F218" s="910">
        <f>SUM(F220:F221)</f>
        <v>1200000</v>
      </c>
      <c r="G218" s="911">
        <f>SUM(G220:G221)</f>
        <v>1200000</v>
      </c>
    </row>
    <row r="219" spans="1:7" ht="9.9" customHeight="1" outlineLevel="1" x14ac:dyDescent="0.4">
      <c r="A219" s="926"/>
      <c r="B219" s="856"/>
      <c r="C219" s="873"/>
      <c r="D219" s="873"/>
      <c r="E219" s="873"/>
      <c r="F219" s="873"/>
      <c r="G219" s="914"/>
    </row>
    <row r="220" spans="1:7" ht="15.9" customHeight="1" outlineLevel="1" x14ac:dyDescent="0.4">
      <c r="A220" s="871" t="s">
        <v>359</v>
      </c>
      <c r="B220" s="835" t="s">
        <v>845</v>
      </c>
      <c r="C220" s="828">
        <f>+'EST.ORIGEN Y APLICACION'!C249</f>
        <v>0</v>
      </c>
      <c r="D220" s="828">
        <f>+'EST.ORIGEN Y APLICACION'!D249</f>
        <v>0</v>
      </c>
      <c r="E220" s="828">
        <f>+'EST.ORIGEN Y APLICACION'!E249</f>
        <v>0</v>
      </c>
      <c r="F220" s="828">
        <f>+'EST.ORIGEN Y APLICACION'!F249</f>
        <v>1200000</v>
      </c>
      <c r="G220" s="913">
        <f>SUM(C220:F220)</f>
        <v>1200000</v>
      </c>
    </row>
    <row r="221" spans="1:7" hidden="1" outlineLevel="1" x14ac:dyDescent="0.4">
      <c r="A221" s="871" t="s">
        <v>359</v>
      </c>
      <c r="B221" s="835" t="s">
        <v>368</v>
      </c>
      <c r="C221" s="828">
        <v>0</v>
      </c>
      <c r="D221" s="828">
        <v>0</v>
      </c>
      <c r="E221" s="828">
        <v>0</v>
      </c>
      <c r="F221" s="828">
        <v>0</v>
      </c>
      <c r="G221" s="913">
        <f>SUM(C221:F221)</f>
        <v>0</v>
      </c>
    </row>
    <row r="222" spans="1:7" hidden="1" outlineLevel="1" x14ac:dyDescent="0.4">
      <c r="A222" s="926"/>
      <c r="B222" s="928"/>
      <c r="C222" s="873"/>
      <c r="D222" s="873"/>
      <c r="E222" s="873"/>
      <c r="F222" s="873"/>
      <c r="G222" s="914"/>
    </row>
    <row r="223" spans="1:7" ht="15" hidden="1" customHeight="1" thickBot="1" x14ac:dyDescent="0.45">
      <c r="A223" s="851">
        <v>9</v>
      </c>
      <c r="B223" s="810" t="s">
        <v>58</v>
      </c>
      <c r="C223" s="853">
        <f>+C225</f>
        <v>0</v>
      </c>
      <c r="D223" s="853">
        <f>+D225</f>
        <v>0</v>
      </c>
      <c r="E223" s="853">
        <f>+E225</f>
        <v>0</v>
      </c>
      <c r="F223" s="853">
        <f>+F225</f>
        <v>0</v>
      </c>
      <c r="G223" s="854">
        <f>+G225</f>
        <v>0</v>
      </c>
    </row>
    <row r="224" spans="1:7" hidden="1" outlineLevel="1" x14ac:dyDescent="0.4">
      <c r="A224" s="792"/>
      <c r="B224" s="793"/>
      <c r="C224" s="717"/>
      <c r="D224" s="717"/>
      <c r="E224" s="717"/>
      <c r="F224" s="717"/>
      <c r="G224" s="920"/>
    </row>
    <row r="225" spans="1:7" hidden="1" outlineLevel="1" x14ac:dyDescent="0.4">
      <c r="A225" s="908" t="s">
        <v>268</v>
      </c>
      <c r="B225" s="929" t="s">
        <v>269</v>
      </c>
      <c r="C225" s="910">
        <f>SUM(C227:C228)</f>
        <v>0</v>
      </c>
      <c r="D225" s="910">
        <f>SUM(D227:D228)</f>
        <v>0</v>
      </c>
      <c r="E225" s="910">
        <f>SUM(E227:E228)</f>
        <v>0</v>
      </c>
      <c r="F225" s="910">
        <f>SUM(F227:F228)</f>
        <v>0</v>
      </c>
      <c r="G225" s="911">
        <f>SUM(G227:G228)</f>
        <v>0</v>
      </c>
    </row>
    <row r="226" spans="1:7" hidden="1" outlineLevel="1" x14ac:dyDescent="0.4">
      <c r="A226" s="926"/>
      <c r="B226" s="930"/>
      <c r="C226" s="873"/>
      <c r="D226" s="873"/>
      <c r="E226" s="873"/>
      <c r="F226" s="873"/>
      <c r="G226" s="841"/>
    </row>
    <row r="227" spans="1:7" hidden="1" outlineLevel="1" x14ac:dyDescent="0.4">
      <c r="A227" s="842" t="s">
        <v>270</v>
      </c>
      <c r="B227" s="931" t="s">
        <v>60</v>
      </c>
      <c r="C227" s="828">
        <v>0</v>
      </c>
      <c r="D227" s="828">
        <v>0</v>
      </c>
      <c r="E227" s="828">
        <v>0</v>
      </c>
      <c r="F227" s="828">
        <v>0</v>
      </c>
      <c r="G227" s="916">
        <f>SUM(C227:F227)</f>
        <v>0</v>
      </c>
    </row>
    <row r="228" spans="1:7" ht="14.25" hidden="1" customHeight="1" outlineLevel="1" thickBot="1" x14ac:dyDescent="0.45">
      <c r="A228" s="869" t="s">
        <v>271</v>
      </c>
      <c r="B228" s="932" t="s">
        <v>283</v>
      </c>
      <c r="C228" s="828">
        <v>0</v>
      </c>
      <c r="D228" s="828">
        <v>0</v>
      </c>
      <c r="E228" s="828">
        <v>0</v>
      </c>
      <c r="F228" s="828">
        <v>0</v>
      </c>
      <c r="G228" s="916">
        <f>SUM(C228:F228)</f>
        <v>0</v>
      </c>
    </row>
    <row r="229" spans="1:7" ht="9.9" customHeight="1" collapsed="1" thickBot="1" x14ac:dyDescent="0.45">
      <c r="A229" s="933"/>
      <c r="B229" s="934"/>
      <c r="C229" s="935"/>
      <c r="D229" s="935"/>
      <c r="E229" s="935"/>
      <c r="F229" s="935"/>
      <c r="G229" s="936"/>
    </row>
    <row r="230" spans="1:7" ht="16.8" thickBot="1" x14ac:dyDescent="0.45">
      <c r="A230" s="937"/>
      <c r="B230" s="938"/>
      <c r="C230" s="939"/>
      <c r="D230" s="939"/>
      <c r="E230" s="939"/>
      <c r="F230" s="939"/>
      <c r="G230" s="940"/>
    </row>
    <row r="231" spans="1:7" ht="16.8" thickTop="1" x14ac:dyDescent="0.4"/>
  </sheetData>
  <mergeCells count="5">
    <mergeCell ref="C9:E9"/>
    <mergeCell ref="A3:G3"/>
    <mergeCell ref="A4:G4"/>
    <mergeCell ref="A5:G5"/>
    <mergeCell ref="A6:G6"/>
  </mergeCells>
  <phoneticPr fontId="0" type="noConversion"/>
  <printOptions horizontalCentered="1"/>
  <pageMargins left="0.59055118110236227" right="0.59055118110236227" top="0.78740157480314965" bottom="0.78740157480314965" header="0.59055118110236227" footer="0.59055118110236227"/>
  <pageSetup scale="65" firstPageNumber="20" orientation="portrait" useFirstPageNumber="1" r:id="rId1"/>
  <headerFooter alignWithMargins="0">
    <oddFooter>&amp;C&amp;"Tw Cen MT,Normal"&amp;9&amp;P</oddFooter>
  </headerFooter>
  <rowBreaks count="1" manualBreakCount="1">
    <brk id="79" max="16383" man="1"/>
  </rowBreaks>
  <ignoredErrors>
    <ignoredError sqref="A13" numberStoredAsText="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tabColor theme="9" tint="-0.499984740745262"/>
  </sheetPr>
  <dimension ref="A1:H177"/>
  <sheetViews>
    <sheetView showGridLines="0" topLeftCell="A115" zoomScale="90" zoomScaleNormal="90" workbookViewId="0">
      <selection activeCell="E62" sqref="E62"/>
    </sheetView>
  </sheetViews>
  <sheetFormatPr baseColWidth="10" defaultColWidth="11.44140625" defaultRowHeight="16.2" outlineLevelRow="1" outlineLevelCol="1" x14ac:dyDescent="0.4"/>
  <cols>
    <col min="1" max="1" width="10.6640625" style="1111" customWidth="1"/>
    <col min="2" max="2" width="16.88671875" style="384" customWidth="1"/>
    <col min="3" max="3" width="66.88671875" style="362" customWidth="1"/>
    <col min="4" max="4" width="19.88671875" style="362" customWidth="1" outlineLevel="1"/>
    <col min="5" max="5" width="3.44140625" style="362" customWidth="1"/>
    <col min="6" max="6" width="11.44140625" style="362"/>
    <col min="7" max="8" width="11.44140625" style="1348"/>
    <col min="9" max="16384" width="11.44140625" style="362"/>
  </cols>
  <sheetData>
    <row r="1" spans="1:8" x14ac:dyDescent="0.4">
      <c r="B1" s="1185"/>
    </row>
    <row r="2" spans="1:8" x14ac:dyDescent="0.4">
      <c r="A2" s="1472" t="s">
        <v>0</v>
      </c>
      <c r="B2" s="1472"/>
      <c r="C2" s="1472"/>
      <c r="D2" s="1472"/>
    </row>
    <row r="3" spans="1:8" x14ac:dyDescent="0.4">
      <c r="A3" s="1472" t="s">
        <v>1276</v>
      </c>
      <c r="B3" s="1472"/>
      <c r="C3" s="1472"/>
      <c r="D3" s="1472"/>
    </row>
    <row r="4" spans="1:8" x14ac:dyDescent="0.4">
      <c r="A4" s="1472" t="s">
        <v>389</v>
      </c>
      <c r="B4" s="1472"/>
      <c r="C4" s="1472"/>
      <c r="D4" s="1472"/>
    </row>
    <row r="5" spans="1:8" ht="16.8" thickBot="1" x14ac:dyDescent="0.45">
      <c r="A5" s="941"/>
      <c r="B5" s="1365"/>
      <c r="C5" s="941"/>
      <c r="D5" s="942"/>
    </row>
    <row r="6" spans="1:8" ht="16.8" thickTop="1" x14ac:dyDescent="0.4">
      <c r="A6" s="1531" t="s">
        <v>475</v>
      </c>
      <c r="B6" s="1531"/>
      <c r="C6" s="1531"/>
      <c r="D6" s="1531"/>
    </row>
    <row r="7" spans="1:8" x14ac:dyDescent="0.4">
      <c r="A7" s="1123"/>
      <c r="B7" s="1184"/>
      <c r="C7" s="361"/>
      <c r="D7" s="435"/>
    </row>
    <row r="8" spans="1:8" x14ac:dyDescent="0.4">
      <c r="A8" s="1534" t="s">
        <v>512</v>
      </c>
      <c r="B8" s="1534"/>
      <c r="C8" s="1534"/>
      <c r="D8" s="361"/>
    </row>
    <row r="9" spans="1:8" ht="16.8" thickBot="1" x14ac:dyDescent="0.45">
      <c r="A9" s="1123"/>
      <c r="B9" s="1185"/>
      <c r="C9" s="361"/>
      <c r="D9" s="361"/>
    </row>
    <row r="10" spans="1:8" ht="33" customHeight="1" thickBot="1" x14ac:dyDescent="0.45">
      <c r="A10" s="943" t="s">
        <v>476</v>
      </c>
      <c r="B10" s="1366" t="s">
        <v>477</v>
      </c>
      <c r="C10" s="944" t="s">
        <v>478</v>
      </c>
      <c r="D10" s="945" t="s">
        <v>479</v>
      </c>
    </row>
    <row r="11" spans="1:8" ht="9.9" customHeight="1" x14ac:dyDescent="0.4">
      <c r="A11" s="801"/>
      <c r="B11" s="1367"/>
      <c r="C11" s="946"/>
      <c r="D11" s="947"/>
    </row>
    <row r="12" spans="1:8" ht="18" customHeight="1" x14ac:dyDescent="0.4">
      <c r="A12" s="1532" t="s">
        <v>53</v>
      </c>
      <c r="B12" s="1533"/>
      <c r="C12" s="1533"/>
      <c r="D12" s="948"/>
    </row>
    <row r="13" spans="1:8" ht="129.6" x14ac:dyDescent="0.4">
      <c r="A13" s="949" t="s">
        <v>72</v>
      </c>
      <c r="B13" s="1368">
        <f>SUMIF(' CLASIFICACION DE GASTOS 2024'!$A$18:$A$220,$A13,' CLASIFICACION DE GASTOS 2024'!$C$18:$C$220)</f>
        <v>1055719500</v>
      </c>
      <c r="C13" s="950" t="s">
        <v>1315</v>
      </c>
      <c r="D13" s="951" t="s">
        <v>480</v>
      </c>
      <c r="G13" s="1524"/>
      <c r="H13" s="1524"/>
    </row>
    <row r="14" spans="1:8" ht="129.6" hidden="1" x14ac:dyDescent="0.4">
      <c r="A14" s="949" t="s">
        <v>73</v>
      </c>
      <c r="B14" s="1368">
        <f>SUMIF(' CLASIFICACION DE GASTOS 2024'!$A$18:$A$220,$A14,' CLASIFICACION DE GASTOS 2024'!$C$18:$C$220)</f>
        <v>0</v>
      </c>
      <c r="C14" s="474" t="s">
        <v>1245</v>
      </c>
      <c r="D14" s="952"/>
    </row>
    <row r="15" spans="1:8" ht="64.95" customHeight="1" x14ac:dyDescent="0.4">
      <c r="A15" s="949" t="s">
        <v>391</v>
      </c>
      <c r="B15" s="1368">
        <f>SUMIF(' CLASIFICACION DE GASTOS 2024'!$A$18:$A$220,$A15,' CLASIFICACION DE GASTOS 2024'!$C$18:$C$220)</f>
        <v>5000000</v>
      </c>
      <c r="C15" s="474" t="s">
        <v>1077</v>
      </c>
      <c r="D15" s="952"/>
      <c r="G15" s="1524"/>
      <c r="H15" s="1524"/>
    </row>
    <row r="16" spans="1:8" ht="64.8" x14ac:dyDescent="0.4">
      <c r="A16" s="949" t="s">
        <v>76</v>
      </c>
      <c r="B16" s="1368">
        <f>SUMIF(' CLASIFICACION DE GASTOS 2024'!$A$18:$A$220,$A16,' CLASIFICACION DE GASTOS 2024'!$C$18:$C$220)</f>
        <v>5751500</v>
      </c>
      <c r="C16" s="474" t="s">
        <v>1078</v>
      </c>
      <c r="D16" s="953"/>
      <c r="G16" s="1524"/>
      <c r="H16" s="1524"/>
    </row>
    <row r="17" spans="1:8" ht="64.8" x14ac:dyDescent="0.4">
      <c r="A17" s="949" t="s">
        <v>567</v>
      </c>
      <c r="B17" s="1368">
        <f>SUMIF(' CLASIFICACION DE GASTOS 2024'!$A$18:$A$220,$A17,' CLASIFICACION DE GASTOS 2024'!$C$18:$C$220)</f>
        <v>1000000</v>
      </c>
      <c r="C17" s="886" t="s">
        <v>1041</v>
      </c>
      <c r="D17" s="953"/>
      <c r="G17" s="1524"/>
      <c r="H17" s="1524"/>
    </row>
    <row r="18" spans="1:8" ht="48.6" x14ac:dyDescent="0.4">
      <c r="A18" s="954" t="s">
        <v>77</v>
      </c>
      <c r="B18" s="1368">
        <f>SUMIF(' CLASIFICACION DE GASTOS 2024'!$A$18:$A$220,$A18,' CLASIFICACION DE GASTOS 2024'!$C$18:$C$220)</f>
        <v>13685280</v>
      </c>
      <c r="C18" s="886" t="s">
        <v>1241</v>
      </c>
      <c r="D18" s="952"/>
      <c r="G18" s="1524"/>
      <c r="H18" s="1524"/>
    </row>
    <row r="19" spans="1:8" ht="48.6" x14ac:dyDescent="0.4">
      <c r="A19" s="949" t="s">
        <v>80</v>
      </c>
      <c r="B19" s="1368">
        <f>SUMIF(' CLASIFICACION DE GASTOS 2024'!$A$18:$A$220,$A19,' CLASIFICACION DE GASTOS 2024'!$C$18:$C$220)</f>
        <v>191084500</v>
      </c>
      <c r="C19" s="886" t="s">
        <v>481</v>
      </c>
      <c r="D19" s="952"/>
      <c r="G19" s="1524"/>
      <c r="H19" s="1524"/>
    </row>
    <row r="20" spans="1:8" ht="32.4" x14ac:dyDescent="0.4">
      <c r="A20" s="949" t="s">
        <v>82</v>
      </c>
      <c r="B20" s="1368">
        <f>SUMIF(' CLASIFICACION DE GASTOS 2024'!$A$18:$A$220,$A20,' CLASIFICACION DE GASTOS 2024'!$C$18:$C$220)</f>
        <v>238623500</v>
      </c>
      <c r="C20" s="474" t="s">
        <v>482</v>
      </c>
      <c r="D20" s="952"/>
      <c r="G20" s="1524"/>
      <c r="H20" s="1524"/>
    </row>
    <row r="21" spans="1:8" ht="32.4" x14ac:dyDescent="0.4">
      <c r="A21" s="949" t="s">
        <v>84</v>
      </c>
      <c r="B21" s="1368">
        <f>SUMIF(' CLASIFICACION DE GASTOS 2024'!$A$18:$A$220,$A21,' CLASIFICACION DE GASTOS 2024'!$C$18:$C$220)</f>
        <v>139042500</v>
      </c>
      <c r="C21" s="474" t="s">
        <v>483</v>
      </c>
      <c r="D21" s="952"/>
      <c r="G21" s="1524"/>
      <c r="H21" s="1524"/>
    </row>
    <row r="22" spans="1:8" ht="32.4" x14ac:dyDescent="0.4">
      <c r="A22" s="949" t="s">
        <v>86</v>
      </c>
      <c r="B22" s="1368">
        <f>SUMIF(' CLASIFICACION DE GASTOS 2024'!$A$18:$A$220,$A22,' CLASIFICACION DE GASTOS 2024'!$C$18:$C$220)</f>
        <v>121774500</v>
      </c>
      <c r="C22" s="474" t="s">
        <v>484</v>
      </c>
      <c r="D22" s="952"/>
      <c r="G22" s="1524"/>
      <c r="H22" s="1524"/>
    </row>
    <row r="23" spans="1:8" ht="64.8" x14ac:dyDescent="0.4">
      <c r="A23" s="949" t="s">
        <v>87</v>
      </c>
      <c r="B23" s="1368">
        <f>SUMIF(' CLASIFICACION DE GASTOS 2024'!$A$18:$A$220,$A23,' CLASIFICACION DE GASTOS 2024'!$C$18:$C$220)</f>
        <v>55561500</v>
      </c>
      <c r="C23" s="886" t="s">
        <v>485</v>
      </c>
      <c r="D23" s="952"/>
      <c r="G23" s="1524"/>
      <c r="H23" s="1524"/>
    </row>
    <row r="24" spans="1:8" ht="25.5" customHeight="1" x14ac:dyDescent="0.4">
      <c r="A24" s="842" t="s">
        <v>90</v>
      </c>
      <c r="B24" s="1368">
        <f>SUMIF(' CLASIFICACION DE GASTOS 2024'!$A$18:$A$220,$A24,' CLASIFICACION DE GASTOS 2024'!$C$18:$C$220)</f>
        <v>154338500</v>
      </c>
      <c r="C24" s="474" t="s">
        <v>486</v>
      </c>
      <c r="D24" s="952"/>
      <c r="G24" s="1524"/>
      <c r="H24" s="1524"/>
    </row>
    <row r="25" spans="1:8" ht="24" customHeight="1" x14ac:dyDescent="0.4">
      <c r="A25" s="842" t="s">
        <v>92</v>
      </c>
      <c r="B25" s="1368">
        <f>SUMIF(' CLASIFICACION DE GASTOS 2024'!$A$18:$A$220,$A25,' CLASIFICACION DE GASTOS 2024'!$C$18:$C$220)</f>
        <v>8343000</v>
      </c>
      <c r="C25" s="886" t="s">
        <v>487</v>
      </c>
      <c r="D25" s="952"/>
    </row>
    <row r="26" spans="1:8" ht="25.5" customHeight="1" x14ac:dyDescent="0.4">
      <c r="A26" s="842" t="s">
        <v>93</v>
      </c>
      <c r="B26" s="1368">
        <f>SUMIF(' CLASIFICACION DE GASTOS 2024'!$A$18:$A$220,$A26,' CLASIFICACION DE GASTOS 2024'!$C$18:$C$220)</f>
        <v>25028000</v>
      </c>
      <c r="C26" s="886" t="s">
        <v>488</v>
      </c>
      <c r="D26" s="952"/>
    </row>
    <row r="27" spans="1:8" ht="32.4" x14ac:dyDescent="0.4">
      <c r="A27" s="842" t="s">
        <v>94</v>
      </c>
      <c r="B27" s="1368">
        <f>SUMIF(' CLASIFICACION DE GASTOS 2024'!$A$18:$A$220,$A27,' CLASIFICACION DE GASTOS 2024'!$C$18:$C$220)</f>
        <v>83425500</v>
      </c>
      <c r="C27" s="886" t="s">
        <v>489</v>
      </c>
      <c r="D27" s="1098"/>
    </row>
    <row r="28" spans="1:8" ht="32.4" customHeight="1" x14ac:dyDescent="0.4">
      <c r="A28" s="842" t="s">
        <v>96</v>
      </c>
      <c r="B28" s="1368">
        <f>SUMIF(' CLASIFICACION DE GASTOS 2024'!$A$18:$A$220,$A28,' CLASIFICACION DE GASTOS 2024'!$C$18:$C$220)</f>
        <v>8343000</v>
      </c>
      <c r="C28" s="886" t="s">
        <v>490</v>
      </c>
      <c r="D28" s="1535" t="s">
        <v>480</v>
      </c>
    </row>
    <row r="29" spans="1:8" ht="32.4" x14ac:dyDescent="0.4">
      <c r="A29" s="958" t="s">
        <v>510</v>
      </c>
      <c r="B29" s="1368">
        <f>SUMIF(' CLASIFICACION DE GASTOS 2024'!$A$18:$A$220,$A29,' CLASIFICACION DE GASTOS 2024'!$C$18:$C$220)</f>
        <v>90434500</v>
      </c>
      <c r="C29" s="886" t="s">
        <v>1718</v>
      </c>
      <c r="D29" s="1536"/>
    </row>
    <row r="30" spans="1:8" ht="32.4" x14ac:dyDescent="0.4">
      <c r="A30" s="842" t="s">
        <v>100</v>
      </c>
      <c r="B30" s="1368">
        <f>SUMIF(' CLASIFICACION DE GASTOS 2024'!$A$18:$A$220,$A30,' CLASIFICACION DE GASTOS 2024'!$C$18:$C$220)</f>
        <v>50055500</v>
      </c>
      <c r="C30" s="886" t="s">
        <v>491</v>
      </c>
      <c r="D30" s="1536"/>
    </row>
    <row r="31" spans="1:8" ht="64.8" x14ac:dyDescent="0.4">
      <c r="A31" s="842" t="s">
        <v>101</v>
      </c>
      <c r="B31" s="1368">
        <f>SUMIF(' CLASIFICACION DE GASTOS 2024'!$A$18:$A$220,$A31,' CLASIFICACION DE GASTOS 2024'!$C$18:$C$220)</f>
        <v>25028000</v>
      </c>
      <c r="C31" s="886" t="s">
        <v>1135</v>
      </c>
      <c r="D31" s="1537"/>
    </row>
    <row r="32" spans="1:8" ht="42.75" hidden="1" customHeight="1" x14ac:dyDescent="0.4">
      <c r="A32" s="959" t="s">
        <v>395</v>
      </c>
      <c r="B32" s="1369">
        <v>0</v>
      </c>
      <c r="C32" s="956" t="s">
        <v>523</v>
      </c>
      <c r="D32" s="960"/>
    </row>
    <row r="33" spans="1:4" ht="9.9" customHeight="1" x14ac:dyDescent="0.4">
      <c r="A33" s="961"/>
      <c r="B33" s="1370"/>
      <c r="C33" s="962"/>
      <c r="D33" s="963"/>
    </row>
    <row r="34" spans="1:4" ht="18" customHeight="1" x14ac:dyDescent="0.4">
      <c r="A34" s="964">
        <v>0</v>
      </c>
      <c r="B34" s="1371">
        <f>SUM(B13:B31)</f>
        <v>2272238780</v>
      </c>
      <c r="C34" s="965" t="s">
        <v>492</v>
      </c>
      <c r="D34" s="966"/>
    </row>
    <row r="35" spans="1:4" ht="9.9" customHeight="1" x14ac:dyDescent="0.4">
      <c r="A35" s="967"/>
      <c r="B35" s="1372"/>
      <c r="C35" s="968"/>
      <c r="D35" s="969"/>
    </row>
    <row r="36" spans="1:4" ht="18" customHeight="1" x14ac:dyDescent="0.4">
      <c r="A36" s="970" t="s">
        <v>54</v>
      </c>
      <c r="B36" s="1373"/>
      <c r="C36" s="971"/>
      <c r="D36" s="972"/>
    </row>
    <row r="37" spans="1:4" ht="48.6" x14ac:dyDescent="0.4">
      <c r="A37" s="863" t="s">
        <v>106</v>
      </c>
      <c r="B37" s="1368">
        <f>SUMIF(' CLASIFICACION DE GASTOS 2024'!$A$18:$A$220,$A37,' CLASIFICACION DE GASTOS 2024'!$C$18:$C$220)</f>
        <v>70277100</v>
      </c>
      <c r="C37" s="474" t="s">
        <v>1247</v>
      </c>
      <c r="D37" s="951" t="s">
        <v>480</v>
      </c>
    </row>
    <row r="38" spans="1:4" ht="32.25" hidden="1" customHeight="1" outlineLevel="1" x14ac:dyDescent="0.4">
      <c r="A38" s="863" t="s">
        <v>108</v>
      </c>
      <c r="B38" s="1368">
        <f>SUMIF(' CLASIFICACION DE GASTOS 2024'!$A$18:$A$220,$A38,' CLASIFICACION DE GASTOS 2024'!$C$18:$C$220)</f>
        <v>0</v>
      </c>
      <c r="C38" s="886" t="s">
        <v>1042</v>
      </c>
      <c r="D38" s="952"/>
    </row>
    <row r="39" spans="1:4" hidden="1" collapsed="1" x14ac:dyDescent="0.4">
      <c r="A39" s="863" t="s">
        <v>110</v>
      </c>
      <c r="B39" s="1368">
        <f>SUMIF(' CLASIFICACION DE GASTOS 2024'!$A$18:$A$220,$A39,' CLASIFICACION DE GASTOS 2024'!$C$18:$C$220)</f>
        <v>0</v>
      </c>
      <c r="C39" s="886"/>
      <c r="D39" s="952"/>
    </row>
    <row r="40" spans="1:4" hidden="1" x14ac:dyDescent="0.4">
      <c r="A40" s="863" t="s">
        <v>112</v>
      </c>
      <c r="B40" s="1368">
        <f>SUMIF(' CLASIFICACION DE GASTOS 2024'!$A$18:$A$220,$A40,' CLASIFICACION DE GASTOS 2024'!$C$18:$C$220)</f>
        <v>0</v>
      </c>
      <c r="C40" s="886" t="s">
        <v>1119</v>
      </c>
      <c r="D40" s="952"/>
    </row>
    <row r="41" spans="1:4" ht="48.6" x14ac:dyDescent="0.4">
      <c r="A41" s="863" t="s">
        <v>116</v>
      </c>
      <c r="B41" s="1368">
        <f>SUMIF(' CLASIFICACION DE GASTOS 2024'!$A$18:$A$220,$A41,' CLASIFICACION DE GASTOS 2024'!$C$18:$C$220)</f>
        <v>2849100</v>
      </c>
      <c r="C41" s="474" t="s">
        <v>1242</v>
      </c>
      <c r="D41" s="952"/>
    </row>
    <row r="42" spans="1:4" ht="46.5" customHeight="1" x14ac:dyDescent="0.4">
      <c r="A42" s="863" t="s">
        <v>118</v>
      </c>
      <c r="B42" s="1368">
        <f>SUMIF(' CLASIFICACION DE GASTOS 2024'!$A$18:$A$220,$A42,' CLASIFICACION DE GASTOS 2024'!$C$18:$C$220)</f>
        <v>11384820</v>
      </c>
      <c r="C42" s="474" t="s">
        <v>1295</v>
      </c>
      <c r="D42" s="952"/>
    </row>
    <row r="43" spans="1:4" ht="58.5" customHeight="1" outlineLevel="1" x14ac:dyDescent="0.4">
      <c r="A43" s="863" t="s">
        <v>120</v>
      </c>
      <c r="B43" s="1368">
        <f>SUMIF(' CLASIFICACION DE GASTOS 2024'!$A$18:$A$220,$A43,' CLASIFICACION DE GASTOS 2024'!$C$18:$C$220)</f>
        <v>5000000</v>
      </c>
      <c r="C43" s="474" t="s">
        <v>1043</v>
      </c>
      <c r="D43" s="973"/>
    </row>
    <row r="44" spans="1:4" ht="69.75" customHeight="1" outlineLevel="1" x14ac:dyDescent="0.4">
      <c r="A44" s="863" t="s">
        <v>326</v>
      </c>
      <c r="B44" s="1368">
        <f>SUMIF(' CLASIFICACION DE GASTOS 2024'!$A$18:$A$220,$A44,' CLASIFICACION DE GASTOS 2024'!$C$18:$C$220)</f>
        <v>29560400</v>
      </c>
      <c r="C44" s="474" t="s">
        <v>1296</v>
      </c>
      <c r="D44" s="952"/>
    </row>
    <row r="45" spans="1:4" ht="32.4" outlineLevel="1" x14ac:dyDescent="0.4">
      <c r="A45" s="863" t="s">
        <v>123</v>
      </c>
      <c r="B45" s="1368">
        <f>SUMIF(' CLASIFICACION DE GASTOS 2024'!$A$18:$A$220,$A45,' CLASIFICACION DE GASTOS 2024'!$C$18:$C$220)</f>
        <v>781380</v>
      </c>
      <c r="C45" s="474" t="s">
        <v>1726</v>
      </c>
      <c r="D45" s="952"/>
    </row>
    <row r="46" spans="1:4" ht="38.25" customHeight="1" outlineLevel="1" x14ac:dyDescent="0.4">
      <c r="A46" s="863" t="s">
        <v>127</v>
      </c>
      <c r="B46" s="1368">
        <f>SUMIF(' CLASIFICACION DE GASTOS 2024'!$A$18:$A$220,$A46,' CLASIFICACION DE GASTOS 2024'!$C$18:$C$220)</f>
        <v>2400000</v>
      </c>
      <c r="C46" s="474" t="s">
        <v>1719</v>
      </c>
      <c r="D46" s="973"/>
    </row>
    <row r="47" spans="1:4" hidden="1" outlineLevel="1" x14ac:dyDescent="0.4">
      <c r="A47" s="1112" t="s">
        <v>129</v>
      </c>
      <c r="B47" s="1368">
        <f>SUMIF(' CLASIFICACION DE GASTOS 2024'!$A$18:$A$220,$A47,' CLASIFICACION DE GASTOS 2024'!$C$18:$C$220)</f>
        <v>0</v>
      </c>
      <c r="C47" s="1106"/>
      <c r="D47" s="952"/>
    </row>
    <row r="48" spans="1:4" ht="32.4" outlineLevel="1" x14ac:dyDescent="0.4">
      <c r="A48" s="860" t="s">
        <v>131</v>
      </c>
      <c r="B48" s="1368">
        <f>SUMIF(' CLASIFICACION DE GASTOS 2024'!$A$18:$A$220,$A48,' CLASIFICACION DE GASTOS 2024'!$C$18:$C$220)</f>
        <v>810000</v>
      </c>
      <c r="C48" s="474" t="s">
        <v>1316</v>
      </c>
      <c r="D48" s="1117"/>
    </row>
    <row r="49" spans="1:8" ht="38.25" customHeight="1" outlineLevel="1" x14ac:dyDescent="0.4">
      <c r="A49" s="860" t="s">
        <v>133</v>
      </c>
      <c r="B49" s="1368">
        <f>SUMIF(' CLASIFICACION DE GASTOS 2024'!$A$18:$A$220,$A49,' CLASIFICACION DE GASTOS 2024'!$C$18:$C$220)</f>
        <v>250000</v>
      </c>
      <c r="C49" s="474" t="s">
        <v>1243</v>
      </c>
      <c r="D49" s="973"/>
    </row>
    <row r="50" spans="1:8" ht="42.6" customHeight="1" outlineLevel="1" x14ac:dyDescent="0.4">
      <c r="A50" s="860" t="s">
        <v>137</v>
      </c>
      <c r="B50" s="1368">
        <f>SUMIF(' CLASIFICACION DE GASTOS 2024'!$A$18:$A$220,$A50,' CLASIFICACION DE GASTOS 2024'!$C$18:$C$220)</f>
        <v>36000000</v>
      </c>
      <c r="C50" s="474" t="s">
        <v>1045</v>
      </c>
      <c r="D50" s="1105"/>
    </row>
    <row r="51" spans="1:8" ht="60" customHeight="1" outlineLevel="1" x14ac:dyDescent="0.4">
      <c r="A51" s="1025" t="s">
        <v>397</v>
      </c>
      <c r="B51" s="1368">
        <f>SUMIF(' CLASIFICACION DE GASTOS 2024'!$A$18:$A$220,$A51,' CLASIFICACION DE GASTOS 2024'!$C$18:$C$220)</f>
        <v>95680908</v>
      </c>
      <c r="C51" s="974" t="s">
        <v>1297</v>
      </c>
      <c r="D51" s="1119" t="s">
        <v>480</v>
      </c>
    </row>
    <row r="52" spans="1:8" ht="12.75" hidden="1" customHeight="1" x14ac:dyDescent="0.4">
      <c r="A52" s="863" t="s">
        <v>569</v>
      </c>
      <c r="B52" s="1368">
        <f>SUMIF(' CLASIFICACION DE GASTOS 2024'!$A$18:$A$220,$A52,' CLASIFICACION DE GASTOS 2024'!$C$18:$C$220)</f>
        <v>0</v>
      </c>
      <c r="C52" s="474"/>
      <c r="D52" s="976"/>
    </row>
    <row r="53" spans="1:8" ht="193.2" customHeight="1" x14ac:dyDescent="0.4">
      <c r="A53" s="863" t="s">
        <v>399</v>
      </c>
      <c r="B53" s="1368">
        <f>SUMIF(' CLASIFICACION DE GASTOS 2024'!$A$18:$A$220,$A53,' CLASIFICACION DE GASTOS 2024'!$C$18:$C$220)</f>
        <v>12500000</v>
      </c>
      <c r="C53" s="474" t="s">
        <v>1298</v>
      </c>
      <c r="D53" s="976"/>
    </row>
    <row r="54" spans="1:8" ht="12.75" hidden="1" customHeight="1" x14ac:dyDescent="0.4">
      <c r="A54" s="863">
        <v>0</v>
      </c>
      <c r="B54" s="1368">
        <f>SUMIF(' CLASIFICACION DE GASTOS 2024'!$A$18:$A$220,$A54,' CLASIFICACION DE GASTOS 2024'!$C$18:$C$220)</f>
        <v>0</v>
      </c>
      <c r="C54" s="886"/>
      <c r="D54" s="976"/>
    </row>
    <row r="55" spans="1:8" ht="12.75" hidden="1" customHeight="1" x14ac:dyDescent="0.4">
      <c r="A55" s="863" t="s">
        <v>343</v>
      </c>
      <c r="B55" s="1368">
        <f>SUMIF(' CLASIFICACION DE GASTOS 2024'!$A$18:$A$220,$A55,' CLASIFICACION DE GASTOS 2024'!$C$18:$C$220)</f>
        <v>0</v>
      </c>
      <c r="C55" s="886"/>
      <c r="D55" s="976"/>
    </row>
    <row r="56" spans="1:8" ht="171.75" customHeight="1" x14ac:dyDescent="0.4">
      <c r="A56" s="863" t="s">
        <v>141</v>
      </c>
      <c r="B56" s="1368">
        <f>SUMIF(' CLASIFICACION DE GASTOS 2024'!$A$18:$A$220,$A56,' CLASIFICACION DE GASTOS 2024'!$C$18:$C$220)</f>
        <v>43000000</v>
      </c>
      <c r="C56" s="977" t="s">
        <v>1305</v>
      </c>
      <c r="D56" s="976"/>
    </row>
    <row r="57" spans="1:8" ht="102" hidden="1" customHeight="1" x14ac:dyDescent="0.4">
      <c r="A57" s="863" t="s">
        <v>143</v>
      </c>
      <c r="B57" s="1368">
        <f>SUMIF(' CLASIFICACION DE GASTOS 2024'!$A$18:$A$220,$A57,' CLASIFICACION DE GASTOS 2024'!$C$18:$C$220)</f>
        <v>0</v>
      </c>
      <c r="C57" s="886" t="s">
        <v>1087</v>
      </c>
      <c r="D57" s="976"/>
    </row>
    <row r="58" spans="1:8" ht="210.75" customHeight="1" x14ac:dyDescent="0.4">
      <c r="A58" s="863" t="s">
        <v>145</v>
      </c>
      <c r="B58" s="1368">
        <f>SUMIF(' CLASIFICACION DE GASTOS 2024'!$A$18:$A$220,$A58,' CLASIFICACION DE GASTOS 2024'!$C$18:$C$220)</f>
        <v>34074700</v>
      </c>
      <c r="C58" s="474" t="s">
        <v>1736</v>
      </c>
      <c r="D58" s="1118"/>
    </row>
    <row r="59" spans="1:8" s="425" customFormat="1" ht="156.75" customHeight="1" x14ac:dyDescent="0.4">
      <c r="A59" s="1025" t="s">
        <v>147</v>
      </c>
      <c r="B59" s="1368">
        <f>SUMIF(' CLASIFICACION DE GASTOS 2024'!$A$18:$A$220,$A59,' CLASIFICACION DE GASTOS 2024'!$C$18:$C$220)</f>
        <v>232200000</v>
      </c>
      <c r="C59" s="974" t="s">
        <v>1721</v>
      </c>
      <c r="D59" s="979" t="s">
        <v>480</v>
      </c>
      <c r="G59" s="1349"/>
      <c r="H59" s="1349"/>
    </row>
    <row r="60" spans="1:8" ht="162" x14ac:dyDescent="0.4">
      <c r="A60" s="1025" t="s">
        <v>151</v>
      </c>
      <c r="B60" s="1368">
        <f>SUMIF(' CLASIFICACION DE GASTOS 2024'!$A$18:$A$220,$A60,' CLASIFICACION DE GASTOS 2024'!$C$18:$C$220)</f>
        <v>830000</v>
      </c>
      <c r="C60" s="474" t="s">
        <v>1722</v>
      </c>
      <c r="D60" s="955" t="s">
        <v>382</v>
      </c>
    </row>
    <row r="61" spans="1:8" ht="89.25" customHeight="1" x14ac:dyDescent="0.4">
      <c r="A61" s="1025" t="s">
        <v>153</v>
      </c>
      <c r="B61" s="1368">
        <f>SUMIF(' CLASIFICACION DE GASTOS 2024'!$A$18:$A$220,$A61,' CLASIFICACION DE GASTOS 2024'!$C$18:$C$220)</f>
        <v>3353600</v>
      </c>
      <c r="C61" s="474" t="s">
        <v>1299</v>
      </c>
      <c r="D61" s="955"/>
    </row>
    <row r="62" spans="1:8" ht="178.2" x14ac:dyDescent="0.4">
      <c r="A62" s="863" t="s">
        <v>155</v>
      </c>
      <c r="B62" s="1368">
        <f>SUMIF(' CLASIFICACION DE GASTOS 2024'!$A$18:$A$220,$A62,' CLASIFICACION DE GASTOS 2024'!$C$18:$C$220)</f>
        <v>10200000</v>
      </c>
      <c r="C62" s="474" t="s">
        <v>1731</v>
      </c>
      <c r="D62" s="957"/>
    </row>
    <row r="63" spans="1:8" ht="186" customHeight="1" x14ac:dyDescent="0.4">
      <c r="A63" s="863" t="s">
        <v>157</v>
      </c>
      <c r="B63" s="1368">
        <f>SUMIF(' CLASIFICACION DE GASTOS 2024'!$A$18:$A$220,$A63,' CLASIFICACION DE GASTOS 2024'!$C$18:$C$220)</f>
        <v>11500000</v>
      </c>
      <c r="C63" s="474" t="s">
        <v>1331</v>
      </c>
      <c r="D63" s="979" t="s">
        <v>480</v>
      </c>
    </row>
    <row r="64" spans="1:8" ht="148.5" customHeight="1" x14ac:dyDescent="0.4">
      <c r="A64" s="1112" t="s">
        <v>160</v>
      </c>
      <c r="B64" s="1368">
        <f>SUMIF(' CLASIFICACION DE GASTOS 2024'!$A$18:$A$220,$A64,' CLASIFICACION DE GASTOS 2024'!$C$18:$C$220)</f>
        <v>20951900</v>
      </c>
      <c r="C64" s="978" t="s">
        <v>1317</v>
      </c>
      <c r="D64" s="955"/>
    </row>
    <row r="65" spans="1:4" ht="168" customHeight="1" x14ac:dyDescent="0.4">
      <c r="A65" s="863" t="s">
        <v>164</v>
      </c>
      <c r="B65" s="1368">
        <f>SUMIF(' CLASIFICACION DE GASTOS 2024'!$A$18:$A$220,$A65,' CLASIFICACION DE GASTOS 2024'!$C$18:$C$220)</f>
        <v>81800000</v>
      </c>
      <c r="C65" s="977" t="s">
        <v>1318</v>
      </c>
      <c r="D65" s="955" t="s">
        <v>382</v>
      </c>
    </row>
    <row r="66" spans="1:4" ht="12.75" hidden="1" customHeight="1" x14ac:dyDescent="0.4">
      <c r="A66" s="1112" t="s">
        <v>166</v>
      </c>
      <c r="B66" s="1368">
        <f>SUMIF(' CLASIFICACION DE GASTOS 2024'!$A$18:$A$220,$A66,' CLASIFICACION DE GASTOS 2024'!$C$18:$C$220)</f>
        <v>0</v>
      </c>
      <c r="C66" s="1095"/>
      <c r="D66" s="955"/>
    </row>
    <row r="67" spans="1:4" ht="34.950000000000003" customHeight="1" x14ac:dyDescent="0.4">
      <c r="A67" s="863" t="s">
        <v>168</v>
      </c>
      <c r="B67" s="1368">
        <f>SUMIF(' CLASIFICACION DE GASTOS 2024'!$A$18:$A$220,$A67,' CLASIFICACION DE GASTOS 2024'!$C$18:$C$220)</f>
        <v>150000</v>
      </c>
      <c r="C67" s="980" t="s">
        <v>1046</v>
      </c>
      <c r="D67" s="955"/>
    </row>
    <row r="68" spans="1:4" ht="32.4" x14ac:dyDescent="0.4">
      <c r="A68" s="863" t="s">
        <v>172</v>
      </c>
      <c r="B68" s="1368">
        <f>SUMIF(' CLASIFICACION DE GASTOS 2024'!$A$18:$A$220,$A68,' CLASIFICACION DE GASTOS 2024'!$C$18:$C$220)</f>
        <v>500000</v>
      </c>
      <c r="C68" s="980" t="s">
        <v>1047</v>
      </c>
      <c r="D68" s="955"/>
    </row>
    <row r="69" spans="1:4" ht="12.75" hidden="1" customHeight="1" x14ac:dyDescent="0.4">
      <c r="A69" s="863" t="s">
        <v>174</v>
      </c>
      <c r="B69" s="1368">
        <f>SUMIF(' CLASIFICACION DE GASTOS 2024'!$A$18:$A$220,$A69,' CLASIFICACION DE GASTOS 2024'!$C$18:$C$220)</f>
        <v>0</v>
      </c>
      <c r="C69" s="980"/>
      <c r="D69" s="955"/>
    </row>
    <row r="70" spans="1:4" ht="12.75" hidden="1" customHeight="1" x14ac:dyDescent="0.4">
      <c r="A70" s="863" t="s">
        <v>402</v>
      </c>
      <c r="B70" s="1368">
        <f>SUMIF(' CLASIFICACION DE GASTOS 2024'!$A$18:$A$220,$A70,' CLASIFICACION DE GASTOS 2024'!$C$18:$C$220)</f>
        <v>0</v>
      </c>
      <c r="C70" s="980"/>
      <c r="D70" s="955"/>
    </row>
    <row r="71" spans="1:4" ht="48.6" x14ac:dyDescent="0.4">
      <c r="A71" s="863" t="s">
        <v>176</v>
      </c>
      <c r="B71" s="1368">
        <f>SUMIF(' CLASIFICACION DE GASTOS 2024'!$A$18:$A$220,$A71,' CLASIFICACION DE GASTOS 2024'!$C$18:$C$220)</f>
        <v>1340000</v>
      </c>
      <c r="C71" s="980" t="s">
        <v>1048</v>
      </c>
      <c r="D71" s="955"/>
    </row>
    <row r="72" spans="1:4" ht="43.5" customHeight="1" x14ac:dyDescent="0.4">
      <c r="A72" s="1025" t="s">
        <v>178</v>
      </c>
      <c r="B72" s="1368">
        <f>SUMIF(' CLASIFICACION DE GASTOS 2024'!$A$18:$A$220,$A72,' CLASIFICACION DE GASTOS 2024'!$C$18:$C$220)</f>
        <v>44100000</v>
      </c>
      <c r="C72" s="981" t="s">
        <v>1300</v>
      </c>
      <c r="D72" s="957"/>
    </row>
    <row r="73" spans="1:4" ht="97.2" x14ac:dyDescent="0.4">
      <c r="A73" s="863" t="s">
        <v>180</v>
      </c>
      <c r="B73" s="1368">
        <f>SUMIF(' CLASIFICACION DE GASTOS 2024'!$A$18:$A$220,$A73,' CLASIFICACION DE GASTOS 2024'!$C$18:$C$220)</f>
        <v>5800000</v>
      </c>
      <c r="C73" s="980" t="s">
        <v>1725</v>
      </c>
      <c r="D73" s="979" t="s">
        <v>480</v>
      </c>
    </row>
    <row r="74" spans="1:4" ht="32.4" x14ac:dyDescent="0.4">
      <c r="A74" s="1025" t="s">
        <v>182</v>
      </c>
      <c r="B74" s="1368">
        <f>SUMIF(' CLASIFICACION DE GASTOS 2024'!$A$18:$A$220,$A74,' CLASIFICACION DE GASTOS 2024'!$C$18:$C$220)</f>
        <v>39000000</v>
      </c>
      <c r="C74" s="981" t="s">
        <v>1122</v>
      </c>
      <c r="D74" s="955"/>
    </row>
    <row r="75" spans="1:4" ht="32.4" x14ac:dyDescent="0.4">
      <c r="A75" s="863" t="s">
        <v>183</v>
      </c>
      <c r="B75" s="1368">
        <f>SUMIF(' CLASIFICACION DE GASTOS 2024'!$A$18:$A$220,$A75,' CLASIFICACION DE GASTOS 2024'!$C$18:$C$220)</f>
        <v>300000</v>
      </c>
      <c r="C75" s="982" t="s">
        <v>1090</v>
      </c>
      <c r="D75" s="955"/>
    </row>
    <row r="76" spans="1:4" ht="37.5" customHeight="1" x14ac:dyDescent="0.4">
      <c r="A76" s="863" t="s">
        <v>406</v>
      </c>
      <c r="B76" s="1368">
        <f>SUMIF(' CLASIFICACION DE GASTOS 2024'!$A$18:$A$220,$A76,' CLASIFICACION DE GASTOS 2024'!$C$18:$C$220)</f>
        <v>2160000</v>
      </c>
      <c r="C76" s="980" t="s">
        <v>1049</v>
      </c>
      <c r="D76" s="955"/>
    </row>
    <row r="77" spans="1:4" ht="33" customHeight="1" x14ac:dyDescent="0.4">
      <c r="A77" s="863" t="s">
        <v>408</v>
      </c>
      <c r="B77" s="1368">
        <f>SUMIF(' CLASIFICACION DE GASTOS 2024'!$A$18:$A$220,$A77,' CLASIFICACION DE GASTOS 2024'!$C$18:$C$220)</f>
        <v>500000</v>
      </c>
      <c r="C77" s="980" t="s">
        <v>1118</v>
      </c>
      <c r="D77" s="955"/>
    </row>
    <row r="78" spans="1:4" ht="45" customHeight="1" x14ac:dyDescent="0.4">
      <c r="A78" s="863" t="s">
        <v>187</v>
      </c>
      <c r="B78" s="1368">
        <f>SUMIF(' CLASIFICACION DE GASTOS 2024'!$A$18:$A$220,$A78,' CLASIFICACION DE GASTOS 2024'!$C$18:$C$220)</f>
        <v>3600000</v>
      </c>
      <c r="C78" s="980" t="s">
        <v>1050</v>
      </c>
      <c r="D78" s="955"/>
    </row>
    <row r="79" spans="1:4" ht="37.5" customHeight="1" x14ac:dyDescent="0.4">
      <c r="A79" s="863" t="s">
        <v>189</v>
      </c>
      <c r="B79" s="1368">
        <f>SUMIF(' CLASIFICACION DE GASTOS 2024'!$A$18:$A$220,$A79,' CLASIFICACION DE GASTOS 2024'!$C$18:$C$220)</f>
        <v>150000</v>
      </c>
      <c r="C79" s="980" t="s">
        <v>1123</v>
      </c>
      <c r="D79" s="957"/>
    </row>
    <row r="80" spans="1:4" ht="9.9" customHeight="1" x14ac:dyDescent="0.4">
      <c r="A80" s="1128"/>
      <c r="B80" s="1376"/>
      <c r="C80" s="983"/>
      <c r="D80" s="975"/>
    </row>
    <row r="81" spans="1:4" ht="18" customHeight="1" x14ac:dyDescent="0.4">
      <c r="A81" s="984">
        <v>1</v>
      </c>
      <c r="B81" s="1377">
        <f>SUM(B37:B79)</f>
        <v>803003908</v>
      </c>
      <c r="C81" s="985" t="s">
        <v>492</v>
      </c>
      <c r="D81" s="966"/>
    </row>
    <row r="82" spans="1:4" ht="9.9" customHeight="1" x14ac:dyDescent="0.4">
      <c r="A82" s="967"/>
      <c r="B82" s="1372"/>
      <c r="C82" s="968"/>
      <c r="D82" s="969"/>
    </row>
    <row r="83" spans="1:4" ht="18" customHeight="1" x14ac:dyDescent="0.4">
      <c r="A83" s="1529" t="s">
        <v>22</v>
      </c>
      <c r="B83" s="1530"/>
      <c r="C83" s="1530"/>
      <c r="D83" s="986"/>
    </row>
    <row r="84" spans="1:4" hidden="1" x14ac:dyDescent="0.4">
      <c r="A84" s="862" t="s">
        <v>193</v>
      </c>
      <c r="B84" s="1368">
        <f>+'[3]CLASIFICACION PRESUPUESTARIA'!Q131</f>
        <v>0</v>
      </c>
      <c r="C84" s="1096"/>
      <c r="D84" s="952"/>
    </row>
    <row r="85" spans="1:4" ht="81" customHeight="1" x14ac:dyDescent="0.4">
      <c r="A85" s="862" t="s">
        <v>193</v>
      </c>
      <c r="B85" s="1368">
        <f>SUMIF(' CLASIFICACION DE GASTOS 2024'!$A$18:$A$220,$A85,' CLASIFICACION DE GASTOS 2024'!$C$18:$C$220)</f>
        <v>3000480</v>
      </c>
      <c r="C85" s="474" t="s">
        <v>1301</v>
      </c>
      <c r="D85" s="979" t="s">
        <v>480</v>
      </c>
    </row>
    <row r="86" spans="1:4" ht="30" customHeight="1" x14ac:dyDescent="0.4">
      <c r="A86" s="1113" t="s">
        <v>195</v>
      </c>
      <c r="B86" s="1368">
        <f>SUMIF(' CLASIFICACION DE GASTOS 2024'!$A$18:$A$220,$A86,' CLASIFICACION DE GASTOS 2024'!$C$18:$C$220)</f>
        <v>905900</v>
      </c>
      <c r="C86" s="474" t="s">
        <v>548</v>
      </c>
      <c r="D86" s="976" t="s">
        <v>382</v>
      </c>
    </row>
    <row r="87" spans="1:4" ht="30" customHeight="1" x14ac:dyDescent="0.4">
      <c r="A87" s="1113" t="s">
        <v>197</v>
      </c>
      <c r="B87" s="1368">
        <f>SUMIF(' CLASIFICACION DE GASTOS 2024'!$A$18:$A$220,$A87,' CLASIFICACION DE GASTOS 2024'!$C$18:$C$220)</f>
        <v>5974000</v>
      </c>
      <c r="C87" s="474" t="s">
        <v>508</v>
      </c>
      <c r="D87" s="976"/>
    </row>
    <row r="88" spans="1:4" ht="30" hidden="1" customHeight="1" x14ac:dyDescent="0.4">
      <c r="A88" s="862" t="s">
        <v>199</v>
      </c>
      <c r="B88" s="1368">
        <f>SUMIF(' CLASIFICACION DE GASTOS 2024'!$A$18:$A$220,$A88,' CLASIFICACION DE GASTOS 2024'!$C$18:$C$220)</f>
        <v>0</v>
      </c>
      <c r="C88" s="956" t="s">
        <v>566</v>
      </c>
      <c r="D88" s="955"/>
    </row>
    <row r="89" spans="1:4" ht="60.75" hidden="1" customHeight="1" x14ac:dyDescent="0.4">
      <c r="A89" s="862" t="s">
        <v>351</v>
      </c>
      <c r="B89" s="1368">
        <f>SUMIF(' CLASIFICACION DE GASTOS 2024'!$A$18:$A$220,$A89,' CLASIFICACION DE GASTOS 2024'!$C$18:$C$220)</f>
        <v>0</v>
      </c>
      <c r="C89" s="474" t="s">
        <v>1079</v>
      </c>
      <c r="D89" s="955"/>
    </row>
    <row r="90" spans="1:4" ht="60" hidden="1" customHeight="1" x14ac:dyDescent="0.4">
      <c r="A90" s="862" t="s">
        <v>202</v>
      </c>
      <c r="B90" s="1368">
        <f>SUMIF(' CLASIFICACION DE GASTOS 2024'!$A$18:$A$220,$A90,' CLASIFICACION DE GASTOS 2024'!$C$18:$C$220)</f>
        <v>0</v>
      </c>
      <c r="C90" s="474" t="s">
        <v>549</v>
      </c>
      <c r="D90" s="955"/>
    </row>
    <row r="91" spans="1:4" ht="9.75" hidden="1" customHeight="1" x14ac:dyDescent="0.4">
      <c r="A91" s="862" t="s">
        <v>204</v>
      </c>
      <c r="B91" s="1368">
        <f>SUMIF(' CLASIFICACION DE GASTOS 2024'!$A$18:$A$220,$A91,' CLASIFICACION DE GASTOS 2024'!$C$18:$C$220)</f>
        <v>0</v>
      </c>
      <c r="C91" s="886"/>
      <c r="D91" s="955"/>
    </row>
    <row r="92" spans="1:4" ht="53.25" hidden="1" customHeight="1" x14ac:dyDescent="0.4">
      <c r="A92" s="862" t="s">
        <v>206</v>
      </c>
      <c r="B92" s="1368">
        <f>SUMIF(' CLASIFICACION DE GASTOS 2024'!$A$18:$A$220,$A92,' CLASIFICACION DE GASTOS 2024'!$C$18:$C$220)</f>
        <v>0</v>
      </c>
      <c r="C92" s="474" t="s">
        <v>1092</v>
      </c>
      <c r="D92" s="955" t="s">
        <v>480</v>
      </c>
    </row>
    <row r="93" spans="1:4" ht="31.5" hidden="1" customHeight="1" x14ac:dyDescent="0.4">
      <c r="A93" s="862" t="s">
        <v>208</v>
      </c>
      <c r="B93" s="1368">
        <f>SUMIF(' CLASIFICACION DE GASTOS 2024'!$A$18:$A$220,$A93,' CLASIFICACION DE GASTOS 2024'!$C$18:$C$220)</f>
        <v>0</v>
      </c>
      <c r="C93" s="987" t="s">
        <v>1125</v>
      </c>
      <c r="D93" s="955"/>
    </row>
    <row r="94" spans="1:4" ht="30" hidden="1" customHeight="1" x14ac:dyDescent="0.4">
      <c r="A94" s="862" t="s">
        <v>210</v>
      </c>
      <c r="B94" s="1368">
        <f>SUMIF(' CLASIFICACION DE GASTOS 2024'!$A$18:$A$220,$A94,' CLASIFICACION DE GASTOS 2024'!$C$18:$C$220)</f>
        <v>0</v>
      </c>
      <c r="C94" s="474" t="s">
        <v>550</v>
      </c>
      <c r="D94" s="955"/>
    </row>
    <row r="95" spans="1:4" ht="30.75" hidden="1" customHeight="1" x14ac:dyDescent="0.4">
      <c r="A95" s="1113" t="s">
        <v>212</v>
      </c>
      <c r="B95" s="1368">
        <f>SUMIF(' CLASIFICACION DE GASTOS 2024'!$A$18:$A$220,$A95,' CLASIFICACION DE GASTOS 2024'!$C$18:$C$220)</f>
        <v>0</v>
      </c>
      <c r="C95" s="956" t="s">
        <v>564</v>
      </c>
      <c r="D95" s="955"/>
    </row>
    <row r="96" spans="1:4" ht="32.25" hidden="1" customHeight="1" x14ac:dyDescent="0.4">
      <c r="A96" s="1113" t="s">
        <v>216</v>
      </c>
      <c r="B96" s="1368">
        <f>SUMIF(' CLASIFICACION DE GASTOS 2024'!$A$18:$A$220,$A96,' CLASIFICACION DE GASTOS 2024'!$C$18:$C$220)</f>
        <v>0</v>
      </c>
      <c r="C96" s="956" t="s">
        <v>553</v>
      </c>
      <c r="D96" s="955"/>
    </row>
    <row r="97" spans="1:4" ht="33.75" customHeight="1" x14ac:dyDescent="0.4">
      <c r="A97" s="862" t="s">
        <v>218</v>
      </c>
      <c r="B97" s="1368">
        <f>SUMIF(' CLASIFICACION DE GASTOS 2024'!$A$18:$A$220,$A97,' CLASIFICACION DE GASTOS 2024'!$C$18:$C$220)</f>
        <v>4285500</v>
      </c>
      <c r="C97" s="474" t="s">
        <v>1065</v>
      </c>
      <c r="D97" s="955"/>
    </row>
    <row r="98" spans="1:4" ht="34.5" customHeight="1" x14ac:dyDescent="0.4">
      <c r="A98" s="862" t="s">
        <v>221</v>
      </c>
      <c r="B98" s="1368">
        <f>SUMIF(' CLASIFICACION DE GASTOS 2024'!$A$18:$A$220,$A98,' CLASIFICACION DE GASTOS 2024'!$C$18:$C$220)</f>
        <v>3285252</v>
      </c>
      <c r="C98" s="474" t="s">
        <v>505</v>
      </c>
      <c r="D98" s="955"/>
    </row>
    <row r="99" spans="1:4" ht="48.6" x14ac:dyDescent="0.4">
      <c r="A99" s="862" t="s">
        <v>223</v>
      </c>
      <c r="B99" s="1368">
        <f>SUMIF(' CLASIFICACION DE GASTOS 2024'!$A$18:$A$220,$A99,' CLASIFICACION DE GASTOS 2024'!$C$18:$C$220)</f>
        <v>1038250</v>
      </c>
      <c r="C99" s="474" t="s">
        <v>496</v>
      </c>
      <c r="D99" s="955"/>
    </row>
    <row r="100" spans="1:4" ht="36" customHeight="1" x14ac:dyDescent="0.4">
      <c r="A100" s="862" t="s">
        <v>224</v>
      </c>
      <c r="B100" s="1368">
        <f>SUMIF(' CLASIFICACION DE GASTOS 2024'!$A$18:$A$220,$A100,' CLASIFICACION DE GASTOS 2024'!$C$18:$C$220)</f>
        <v>3261240</v>
      </c>
      <c r="C100" s="474" t="s">
        <v>497</v>
      </c>
      <c r="D100" s="957"/>
    </row>
    <row r="101" spans="1:4" ht="45" customHeight="1" x14ac:dyDescent="0.4">
      <c r="A101" s="862" t="s">
        <v>226</v>
      </c>
      <c r="B101" s="1368">
        <f>SUMIF(' CLASIFICACION DE GASTOS 2024'!$A$18:$A$220,$A101,' CLASIFICACION DE GASTOS 2024'!$C$18:$C$220)</f>
        <v>4068032</v>
      </c>
      <c r="C101" s="474" t="s">
        <v>1319</v>
      </c>
      <c r="D101" s="1522" t="s">
        <v>480</v>
      </c>
    </row>
    <row r="102" spans="1:4" ht="32.25" customHeight="1" x14ac:dyDescent="0.4">
      <c r="A102" s="1113" t="s">
        <v>228</v>
      </c>
      <c r="B102" s="1368">
        <f>SUMIF(' CLASIFICACION DE GASTOS 2024'!$A$18:$A$220,$A102,' CLASIFICACION DE GASTOS 2024'!$C$18:$C$220)</f>
        <v>2462077</v>
      </c>
      <c r="C102" s="1420" t="s">
        <v>554</v>
      </c>
      <c r="D102" s="1523"/>
    </row>
    <row r="103" spans="1:4" ht="32.25" customHeight="1" x14ac:dyDescent="0.4">
      <c r="A103" s="862" t="s">
        <v>230</v>
      </c>
      <c r="B103" s="1368">
        <f>SUMIF(' CLASIFICACION DE GASTOS 2024'!$A$18:$A$220,$A103,' CLASIFICACION DE GASTOS 2024'!$C$18:$C$220)</f>
        <v>74500</v>
      </c>
      <c r="C103" s="474" t="s">
        <v>1051</v>
      </c>
      <c r="D103" s="1523"/>
    </row>
    <row r="104" spans="1:4" ht="43.5" hidden="1" customHeight="1" x14ac:dyDescent="0.4">
      <c r="A104" s="862" t="s">
        <v>366</v>
      </c>
      <c r="B104" s="1368">
        <f>SUMIF(' CLASIFICACION DE GASTOS 2024'!$A$18:$A$220,$A104,' CLASIFICACION DE GASTOS 2024'!$C$18:$C$220)</f>
        <v>0</v>
      </c>
      <c r="C104" s="474" t="s">
        <v>551</v>
      </c>
      <c r="D104" s="1523"/>
    </row>
    <row r="105" spans="1:4" ht="30" customHeight="1" x14ac:dyDescent="0.4">
      <c r="A105" s="862" t="s">
        <v>232</v>
      </c>
      <c r="B105" s="1368">
        <f>SUMIF(' CLASIFICACION DE GASTOS 2024'!$A$18:$A$220,$A105,' CLASIFICACION DE GASTOS 2024'!$C$18:$C$220)</f>
        <v>751500</v>
      </c>
      <c r="C105" s="474" t="s">
        <v>1727</v>
      </c>
      <c r="D105" s="1525"/>
    </row>
    <row r="106" spans="1:4" ht="8.1" hidden="1" customHeight="1" x14ac:dyDescent="0.4">
      <c r="A106" s="1114"/>
      <c r="B106" s="1382"/>
      <c r="C106" s="988"/>
      <c r="D106" s="973"/>
    </row>
    <row r="107" spans="1:4" hidden="1" x14ac:dyDescent="0.4">
      <c r="A107" s="1114"/>
      <c r="B107" s="1382"/>
      <c r="C107" s="988"/>
      <c r="D107" s="973"/>
    </row>
    <row r="108" spans="1:4" ht="8.1" hidden="1" customHeight="1" x14ac:dyDescent="0.4">
      <c r="A108" s="1114"/>
      <c r="B108" s="1382"/>
      <c r="C108" s="988"/>
      <c r="D108" s="973"/>
    </row>
    <row r="109" spans="1:4" ht="8.1" hidden="1" customHeight="1" x14ac:dyDescent="0.4">
      <c r="A109" s="1114"/>
      <c r="B109" s="1382"/>
      <c r="C109" s="988"/>
      <c r="D109" s="973"/>
    </row>
    <row r="110" spans="1:4" hidden="1" x14ac:dyDescent="0.4">
      <c r="A110" s="1114"/>
      <c r="B110" s="1382"/>
      <c r="C110" s="988"/>
      <c r="D110" s="973"/>
    </row>
    <row r="111" spans="1:4" ht="35.25" hidden="1" customHeight="1" x14ac:dyDescent="0.4">
      <c r="A111" s="1113"/>
      <c r="B111" s="1381"/>
      <c r="C111" s="974"/>
      <c r="D111" s="989"/>
    </row>
    <row r="112" spans="1:4" ht="9.9" customHeight="1" x14ac:dyDescent="0.4">
      <c r="A112" s="961"/>
      <c r="B112" s="1370"/>
      <c r="C112" s="962"/>
      <c r="D112" s="990"/>
    </row>
    <row r="113" spans="1:8" ht="18" customHeight="1" x14ac:dyDescent="0.4">
      <c r="A113" s="984">
        <v>2</v>
      </c>
      <c r="B113" s="1377">
        <f>SUM(B85:B105)</f>
        <v>29106731</v>
      </c>
      <c r="C113" s="985" t="s">
        <v>492</v>
      </c>
      <c r="D113" s="966"/>
    </row>
    <row r="114" spans="1:8" ht="9.9" customHeight="1" outlineLevel="1" x14ac:dyDescent="0.4">
      <c r="A114" s="967"/>
      <c r="B114" s="1383"/>
      <c r="C114" s="968"/>
      <c r="D114" s="969"/>
    </row>
    <row r="115" spans="1:8" ht="18" customHeight="1" outlineLevel="1" x14ac:dyDescent="0.4">
      <c r="A115" s="1529" t="s">
        <v>950</v>
      </c>
      <c r="B115" s="1530"/>
      <c r="C115" s="1530"/>
      <c r="D115" s="991"/>
    </row>
    <row r="116" spans="1:8" ht="9.9" customHeight="1" outlineLevel="1" x14ac:dyDescent="0.4">
      <c r="A116" s="992"/>
      <c r="B116" s="1384"/>
      <c r="C116" s="993"/>
      <c r="D116" s="994"/>
    </row>
    <row r="117" spans="1:8" s="425" customFormat="1" ht="255.75" customHeight="1" outlineLevel="1" x14ac:dyDescent="0.4">
      <c r="A117" s="1115" t="s">
        <v>1034</v>
      </c>
      <c r="B117" s="1368">
        <f>SUMIF(' CLASIFICACION DE GASTOS 2024'!$A$18:$A$220,$A117,' CLASIFICACION DE GASTOS 2024'!$C$18:$C$220)</f>
        <v>2546194511.6500001</v>
      </c>
      <c r="C117" s="995" t="s">
        <v>1737</v>
      </c>
      <c r="D117" s="996" t="s">
        <v>480</v>
      </c>
      <c r="G117" s="1349"/>
      <c r="H117" s="1349"/>
    </row>
    <row r="118" spans="1:8" ht="6" customHeight="1" outlineLevel="1" x14ac:dyDescent="0.4">
      <c r="A118" s="1128"/>
      <c r="B118" s="1386"/>
      <c r="C118" s="997"/>
      <c r="D118" s="975"/>
    </row>
    <row r="119" spans="1:8" ht="12.75" hidden="1" customHeight="1" outlineLevel="1" x14ac:dyDescent="0.4">
      <c r="A119" s="992"/>
      <c r="B119" s="1384"/>
      <c r="C119" s="993"/>
      <c r="D119" s="998"/>
    </row>
    <row r="120" spans="1:8" hidden="1" outlineLevel="1" x14ac:dyDescent="0.4">
      <c r="A120" s="992"/>
      <c r="B120" s="1384"/>
      <c r="C120" s="993"/>
      <c r="D120" s="994"/>
    </row>
    <row r="121" spans="1:8" hidden="1" outlineLevel="1" x14ac:dyDescent="0.4">
      <c r="A121" s="992"/>
      <c r="B121" s="1384"/>
      <c r="C121" s="993"/>
      <c r="D121" s="994"/>
    </row>
    <row r="122" spans="1:8" hidden="1" outlineLevel="1" x14ac:dyDescent="0.4">
      <c r="A122" s="992"/>
      <c r="B122" s="1384"/>
      <c r="C122" s="993"/>
      <c r="D122" s="994"/>
    </row>
    <row r="123" spans="1:8" hidden="1" outlineLevel="1" x14ac:dyDescent="0.4">
      <c r="A123" s="992"/>
      <c r="B123" s="1384"/>
      <c r="C123" s="993"/>
      <c r="D123" s="994"/>
    </row>
    <row r="124" spans="1:8" hidden="1" outlineLevel="1" x14ac:dyDescent="0.4">
      <c r="A124" s="992"/>
      <c r="B124" s="1384"/>
      <c r="C124" s="993"/>
      <c r="D124" s="994"/>
    </row>
    <row r="125" spans="1:8" hidden="1" outlineLevel="1" x14ac:dyDescent="0.4">
      <c r="A125" s="992"/>
      <c r="B125" s="1384"/>
      <c r="C125" s="993"/>
      <c r="D125" s="994"/>
    </row>
    <row r="126" spans="1:8" hidden="1" outlineLevel="1" x14ac:dyDescent="0.4">
      <c r="A126" s="992"/>
      <c r="B126" s="1384"/>
      <c r="C126" s="993"/>
      <c r="D126" s="994"/>
    </row>
    <row r="127" spans="1:8" hidden="1" outlineLevel="1" x14ac:dyDescent="0.4">
      <c r="A127" s="992"/>
      <c r="B127" s="1384"/>
      <c r="C127" s="993"/>
      <c r="D127" s="994"/>
    </row>
    <row r="128" spans="1:8" hidden="1" outlineLevel="1" x14ac:dyDescent="0.4">
      <c r="A128" s="992"/>
      <c r="B128" s="1384"/>
      <c r="C128" s="993"/>
      <c r="D128" s="994"/>
    </row>
    <row r="129" spans="1:4" hidden="1" outlineLevel="1" x14ac:dyDescent="0.4">
      <c r="A129" s="992"/>
      <c r="B129" s="1384"/>
      <c r="C129" s="993"/>
      <c r="D129" s="994"/>
    </row>
    <row r="130" spans="1:4" hidden="1" outlineLevel="1" x14ac:dyDescent="0.4">
      <c r="A130" s="992"/>
      <c r="B130" s="1384"/>
      <c r="C130" s="993"/>
      <c r="D130" s="994"/>
    </row>
    <row r="131" spans="1:4" hidden="1" outlineLevel="1" x14ac:dyDescent="0.4">
      <c r="A131" s="992"/>
      <c r="B131" s="1384"/>
      <c r="C131" s="993"/>
      <c r="D131" s="994"/>
    </row>
    <row r="132" spans="1:4" ht="18" customHeight="1" outlineLevel="1" x14ac:dyDescent="0.4">
      <c r="A132" s="984">
        <v>4</v>
      </c>
      <c r="B132" s="1387">
        <f>+B117</f>
        <v>2546194511.6500001</v>
      </c>
      <c r="C132" s="985" t="s">
        <v>492</v>
      </c>
      <c r="D132" s="966"/>
    </row>
    <row r="133" spans="1:4" hidden="1" outlineLevel="1" x14ac:dyDescent="0.4">
      <c r="A133" s="992"/>
      <c r="B133" s="1384"/>
      <c r="C133" s="993"/>
      <c r="D133" s="994"/>
    </row>
    <row r="134" spans="1:4" ht="9" customHeight="1" outlineLevel="1" x14ac:dyDescent="0.4">
      <c r="A134" s="967"/>
      <c r="B134" s="1372"/>
      <c r="C134" s="968"/>
      <c r="D134" s="969"/>
    </row>
    <row r="135" spans="1:4" ht="18" customHeight="1" x14ac:dyDescent="0.4">
      <c r="A135" s="1529" t="s">
        <v>57</v>
      </c>
      <c r="B135" s="1530"/>
      <c r="C135" s="1530"/>
      <c r="D135" s="972"/>
    </row>
    <row r="136" spans="1:4" hidden="1" outlineLevel="1" x14ac:dyDescent="0.4">
      <c r="A136" s="862" t="s">
        <v>236</v>
      </c>
      <c r="B136" s="1368">
        <f>+'[3]CLASIFICACION PRESUPUESTARIA'!Q169</f>
        <v>0</v>
      </c>
      <c r="C136" s="999"/>
      <c r="D136" s="990"/>
    </row>
    <row r="137" spans="1:4" ht="48.75" hidden="1" customHeight="1" outlineLevel="1" x14ac:dyDescent="0.4">
      <c r="A137" s="862" t="s">
        <v>238</v>
      </c>
      <c r="B137" s="1368">
        <f>+'[3]CLASIFICACION PRESUPUESTARIA'!Q170</f>
        <v>0</v>
      </c>
      <c r="C137" s="995"/>
      <c r="D137" s="990"/>
    </row>
    <row r="138" spans="1:4" ht="48.75" hidden="1" customHeight="1" outlineLevel="1" x14ac:dyDescent="0.4">
      <c r="A138" s="862" t="s">
        <v>240</v>
      </c>
      <c r="B138" s="1368">
        <f>+'[3]CLASIFICACION PRESUPUESTARIA'!Q171</f>
        <v>0</v>
      </c>
      <c r="C138" s="995"/>
      <c r="D138" s="990"/>
    </row>
    <row r="139" spans="1:4" hidden="1" outlineLevel="1" x14ac:dyDescent="0.4">
      <c r="A139" s="862" t="s">
        <v>430</v>
      </c>
      <c r="B139" s="1388">
        <v>0</v>
      </c>
      <c r="C139" s="995"/>
      <c r="D139" s="466"/>
    </row>
    <row r="140" spans="1:4" ht="81" outlineLevel="1" x14ac:dyDescent="0.4">
      <c r="A140" s="862" t="s">
        <v>236</v>
      </c>
      <c r="B140" s="1368">
        <f>SUMIF(' CLASIFICACION DE GASTOS 2024'!$A$18:$A$220,$A140,' CLASIFICACION DE GASTOS 2024'!$C$18:$C$220)</f>
        <v>150000000</v>
      </c>
      <c r="C140" s="1000" t="s">
        <v>1320</v>
      </c>
      <c r="D140" s="1523" t="s">
        <v>480</v>
      </c>
    </row>
    <row r="141" spans="1:4" ht="70.5" customHeight="1" outlineLevel="1" x14ac:dyDescent="0.4">
      <c r="A141" s="862" t="s">
        <v>238</v>
      </c>
      <c r="B141" s="1368">
        <f>SUMIF(' CLASIFICACION DE GASTOS 2024'!$A$18:$A$220,$A141,' CLASIFICACION DE GASTOS 2024'!$C$18:$C$220)</f>
        <v>3400000</v>
      </c>
      <c r="C141" s="995" t="s">
        <v>1732</v>
      </c>
      <c r="D141" s="1525"/>
    </row>
    <row r="142" spans="1:4" ht="62.25" hidden="1" customHeight="1" outlineLevel="1" x14ac:dyDescent="0.4">
      <c r="A142" s="1114" t="s">
        <v>240</v>
      </c>
      <c r="B142" s="1368">
        <f>SUMIF(' CLASIFICACION DE GASTOS 2024'!$A$18:$A$220,$A142,' CLASIFICACION DE GASTOS 2024'!$C$18:$C$220)</f>
        <v>0</v>
      </c>
      <c r="C142" s="1003" t="s">
        <v>1091</v>
      </c>
      <c r="D142" s="955"/>
    </row>
    <row r="143" spans="1:4" ht="45" customHeight="1" outlineLevel="1" x14ac:dyDescent="0.4">
      <c r="A143" s="862" t="s">
        <v>242</v>
      </c>
      <c r="B143" s="1368">
        <f>SUMIF(' CLASIFICACION DE GASTOS 2024'!$A$18:$A$220,$A143,' CLASIFICACION DE GASTOS 2024'!$C$18:$C$220)</f>
        <v>100000000</v>
      </c>
      <c r="C143" s="995" t="s">
        <v>1254</v>
      </c>
      <c r="D143" s="1522" t="s">
        <v>480</v>
      </c>
    </row>
    <row r="144" spans="1:4" ht="32.25" customHeight="1" outlineLevel="1" x14ac:dyDescent="0.4">
      <c r="A144" s="862" t="s">
        <v>244</v>
      </c>
      <c r="B144" s="1368">
        <f>SUMIF(' CLASIFICACION DE GASTOS 2024'!$A$18:$A$220,$A144,' CLASIFICACION DE GASTOS 2024'!$C$18:$C$220)</f>
        <v>2500000</v>
      </c>
      <c r="C144" s="995" t="s">
        <v>552</v>
      </c>
      <c r="D144" s="1523"/>
    </row>
    <row r="145" spans="1:4" ht="16.5" hidden="1" customHeight="1" outlineLevel="1" x14ac:dyDescent="0.4">
      <c r="A145" s="862" t="s">
        <v>246</v>
      </c>
      <c r="B145" s="1368">
        <f>SUMIF(' CLASIFICACION DE GASTOS 2024'!$A$18:$A$220,$A145,' CLASIFICACION DE GASTOS 2024'!$C$18:$C$220)</f>
        <v>0</v>
      </c>
      <c r="C145" s="995"/>
      <c r="D145" s="1523"/>
    </row>
    <row r="146" spans="1:4" ht="6" hidden="1" customHeight="1" outlineLevel="1" x14ac:dyDescent="0.4">
      <c r="A146" s="862" t="s">
        <v>248</v>
      </c>
      <c r="B146" s="1368">
        <f>SUMIF(' CLASIFICACION DE GASTOS 2024'!$A$18:$A$220,$A146,' CLASIFICACION DE GASTOS 2024'!$C$18:$C$220)</f>
        <v>0</v>
      </c>
      <c r="C146" s="1002" t="s">
        <v>1124</v>
      </c>
      <c r="D146" s="1523"/>
    </row>
    <row r="147" spans="1:4" ht="48.6" outlineLevel="1" x14ac:dyDescent="0.4">
      <c r="A147" s="862" t="s">
        <v>411</v>
      </c>
      <c r="B147" s="1368">
        <f>SUMIF(' CLASIFICACION DE GASTOS 2024'!$A$18:$A$220,$A147,' CLASIFICACION DE GASTOS 2024'!$C$18:$C$220)</f>
        <v>413787754</v>
      </c>
      <c r="C147" s="995" t="s">
        <v>1308</v>
      </c>
      <c r="D147" s="1523"/>
    </row>
    <row r="148" spans="1:4" ht="8.1" hidden="1" customHeight="1" outlineLevel="1" x14ac:dyDescent="0.4">
      <c r="A148" s="1114"/>
      <c r="B148" s="1389"/>
      <c r="C148" s="1003"/>
      <c r="D148" s="952"/>
    </row>
    <row r="149" spans="1:4" ht="25.5" hidden="1" customHeight="1" outlineLevel="1" x14ac:dyDescent="0.4">
      <c r="A149" s="1114"/>
      <c r="B149" s="1389"/>
      <c r="C149" s="1003"/>
      <c r="D149" s="952"/>
    </row>
    <row r="150" spans="1:4" hidden="1" outlineLevel="1" x14ac:dyDescent="0.4">
      <c r="A150" s="1114"/>
      <c r="B150" s="1389"/>
      <c r="C150" s="1004"/>
      <c r="D150" s="952"/>
    </row>
    <row r="151" spans="1:4" hidden="1" outlineLevel="1" x14ac:dyDescent="0.4">
      <c r="A151" s="1113"/>
      <c r="B151" s="1390"/>
      <c r="C151" s="1001"/>
      <c r="D151" s="989"/>
    </row>
    <row r="152" spans="1:4" ht="9.9" customHeight="1" outlineLevel="1" x14ac:dyDescent="0.4">
      <c r="A152" s="1128"/>
      <c r="B152" s="1376"/>
      <c r="C152" s="997"/>
      <c r="D152" s="990"/>
    </row>
    <row r="153" spans="1:4" ht="18" customHeight="1" outlineLevel="1" x14ac:dyDescent="0.4">
      <c r="A153" s="984">
        <v>5</v>
      </c>
      <c r="B153" s="1377">
        <f>SUM(B139:B150)</f>
        <v>669687754</v>
      </c>
      <c r="C153" s="985" t="s">
        <v>492</v>
      </c>
      <c r="D153" s="966"/>
    </row>
    <row r="154" spans="1:4" ht="9.9" customHeight="1" x14ac:dyDescent="0.4">
      <c r="A154" s="967"/>
      <c r="B154" s="1372"/>
      <c r="C154" s="968"/>
      <c r="D154" s="969"/>
    </row>
    <row r="155" spans="1:4" ht="18" customHeight="1" x14ac:dyDescent="0.4">
      <c r="A155" s="1526" t="s">
        <v>20</v>
      </c>
      <c r="B155" s="1527"/>
      <c r="C155" s="1527"/>
      <c r="D155" s="1005"/>
    </row>
    <row r="156" spans="1:4" ht="63" customHeight="1" x14ac:dyDescent="0.4">
      <c r="A156" s="1033" t="s">
        <v>353</v>
      </c>
      <c r="B156" s="1368">
        <f>SUMIF(' CLASIFICACION DE GASTOS 2024'!$A$18:$A$220,$A156,' CLASIFICACION DE GASTOS 2024'!$C$18:$C$220)</f>
        <v>30000000</v>
      </c>
      <c r="C156" s="987" t="s">
        <v>539</v>
      </c>
      <c r="D156" s="1522" t="s">
        <v>480</v>
      </c>
    </row>
    <row r="157" spans="1:4" ht="30.9" hidden="1" customHeight="1" x14ac:dyDescent="0.4">
      <c r="A157" s="1033" t="s">
        <v>263</v>
      </c>
      <c r="B157" s="1368">
        <f>SUMIF(' CLASIFICACION DE GASTOS 2024'!$A$18:$A$220,$A157,' CLASIFICACION DE GASTOS 2024'!$C$18:$C$220)</f>
        <v>0</v>
      </c>
      <c r="C157" s="886" t="s">
        <v>509</v>
      </c>
      <c r="D157" s="1523"/>
    </row>
    <row r="158" spans="1:4" ht="48.6" x14ac:dyDescent="0.4">
      <c r="A158" s="1033" t="s">
        <v>809</v>
      </c>
      <c r="B158" s="1368">
        <f>SUMIF(' CLASIFICACION DE GASTOS 2024'!$A$18:$A$220,$A158,' CLASIFICACION DE GASTOS 2024'!$C$18:$C$220)</f>
        <v>7780000</v>
      </c>
      <c r="C158" s="886" t="s">
        <v>523</v>
      </c>
      <c r="D158" s="1523"/>
    </row>
    <row r="159" spans="1:4" ht="40.200000000000003" customHeight="1" x14ac:dyDescent="0.4">
      <c r="A159" s="1033" t="s">
        <v>345</v>
      </c>
      <c r="B159" s="1368">
        <f>SUMIF(' CLASIFICACION DE GASTOS 2024'!$A$18:$A$220,$A159,' CLASIFICACION DE GASTOS 2024'!$C$18:$C$220)</f>
        <v>50000000</v>
      </c>
      <c r="C159" s="886" t="s">
        <v>555</v>
      </c>
      <c r="D159" s="1523"/>
    </row>
    <row r="160" spans="1:4" ht="54" hidden="1" customHeight="1" x14ac:dyDescent="0.4">
      <c r="A160" s="1033" t="s">
        <v>383</v>
      </c>
      <c r="B160" s="1380">
        <v>0</v>
      </c>
      <c r="C160" s="886" t="s">
        <v>1052</v>
      </c>
      <c r="D160" s="973"/>
    </row>
    <row r="161" spans="1:4" ht="8.1" hidden="1" customHeight="1" x14ac:dyDescent="0.4">
      <c r="A161" s="1116"/>
      <c r="B161" s="1382"/>
      <c r="C161" s="1006"/>
      <c r="D161" s="973"/>
    </row>
    <row r="162" spans="1:4" ht="6.75" hidden="1" customHeight="1" x14ac:dyDescent="0.4">
      <c r="A162" s="1116"/>
      <c r="B162" s="1382"/>
      <c r="C162" s="1006"/>
      <c r="D162" s="973"/>
    </row>
    <row r="163" spans="1:4" ht="4.5" hidden="1" customHeight="1" x14ac:dyDescent="0.4">
      <c r="A163" s="1116"/>
      <c r="B163" s="1382"/>
      <c r="C163" s="1006" t="s">
        <v>382</v>
      </c>
      <c r="D163" s="973"/>
    </row>
    <row r="164" spans="1:4" ht="9.9" customHeight="1" x14ac:dyDescent="0.4">
      <c r="A164" s="1007"/>
      <c r="B164" s="1370"/>
      <c r="C164" s="1008"/>
      <c r="D164" s="990"/>
    </row>
    <row r="165" spans="1:4" ht="18" customHeight="1" x14ac:dyDescent="0.4">
      <c r="A165" s="964">
        <v>6</v>
      </c>
      <c r="B165" s="1371">
        <f>+B156+B157+B159+B160+B158</f>
        <v>87780000</v>
      </c>
      <c r="C165" s="965" t="s">
        <v>492</v>
      </c>
      <c r="D165" s="966"/>
    </row>
    <row r="166" spans="1:4" ht="9" hidden="1" customHeight="1" outlineLevel="1" x14ac:dyDescent="0.4">
      <c r="A166" s="967"/>
      <c r="B166" s="1372"/>
      <c r="C166" s="968"/>
      <c r="D166" s="969"/>
    </row>
    <row r="167" spans="1:4" hidden="1" collapsed="1" x14ac:dyDescent="0.4">
      <c r="A167" s="1526" t="s">
        <v>58</v>
      </c>
      <c r="B167" s="1527"/>
      <c r="C167" s="1528"/>
      <c r="D167" s="972"/>
    </row>
    <row r="168" spans="1:4" ht="43.5" hidden="1" customHeight="1" outlineLevel="1" thickBot="1" x14ac:dyDescent="0.45">
      <c r="A168" s="1009" t="str">
        <f>+'[4]PRESUPUESTO 2012'!A195</f>
        <v>9.02.01</v>
      </c>
      <c r="B168" s="1368">
        <f>+'[3]CLASIFICACION PRESUPUESTARIA'!Q212</f>
        <v>0</v>
      </c>
      <c r="C168" s="995" t="s">
        <v>382</v>
      </c>
      <c r="D168" s="990"/>
    </row>
    <row r="169" spans="1:4" ht="372.6" hidden="1" outlineLevel="1" x14ac:dyDescent="0.4">
      <c r="A169" s="1009" t="str">
        <f>+'[4]PRESUPUESTO 2012'!A196</f>
        <v>9.02.02</v>
      </c>
      <c r="B169" s="1368">
        <v>19051900</v>
      </c>
      <c r="C169" s="474" t="s">
        <v>1141</v>
      </c>
      <c r="D169" s="1010" t="s">
        <v>480</v>
      </c>
    </row>
    <row r="170" spans="1:4" ht="9" hidden="1" customHeight="1" outlineLevel="1" thickBot="1" x14ac:dyDescent="0.45">
      <c r="A170" s="967"/>
      <c r="B170" s="1372"/>
      <c r="C170" s="968"/>
      <c r="D170" s="969"/>
    </row>
    <row r="171" spans="1:4" ht="15" hidden="1" customHeight="1" outlineLevel="1" thickBot="1" x14ac:dyDescent="0.45">
      <c r="A171" s="964">
        <v>9</v>
      </c>
      <c r="B171" s="1371">
        <f>SUM(B168:B169)</f>
        <v>19051900</v>
      </c>
      <c r="C171" s="1011" t="s">
        <v>492</v>
      </c>
      <c r="D171" s="1012"/>
    </row>
    <row r="172" spans="1:4" ht="9.9" hidden="1" customHeight="1" outlineLevel="1" thickBot="1" x14ac:dyDescent="0.45">
      <c r="A172" s="925"/>
      <c r="B172" s="918"/>
      <c r="C172" s="1013"/>
      <c r="D172" s="1014"/>
    </row>
    <row r="173" spans="1:4" ht="18" hidden="1" customHeight="1" collapsed="1" thickBot="1" x14ac:dyDescent="0.45">
      <c r="A173" s="1015"/>
      <c r="B173" s="1391">
        <f>+B165+B153+B81+B34+B113+B132</f>
        <v>6408011684.6499996</v>
      </c>
      <c r="C173" s="1016" t="s">
        <v>500</v>
      </c>
      <c r="D173" s="1017"/>
    </row>
    <row r="174" spans="1:4" ht="9.9" customHeight="1" thickBot="1" x14ac:dyDescent="0.45"/>
    <row r="175" spans="1:4" ht="19.95" customHeight="1" thickBot="1" x14ac:dyDescent="0.45">
      <c r="A175" s="1018"/>
      <c r="B175" s="1392">
        <f>+B165+B153+B132+B113+B81+B34</f>
        <v>6408011684.6499996</v>
      </c>
      <c r="C175" s="1019" t="s">
        <v>501</v>
      </c>
      <c r="D175" s="1020"/>
    </row>
    <row r="177" spans="2:2" x14ac:dyDescent="0.4">
      <c r="B177" s="384">
        <f>+B175-' CLASIFICACION DE GASTOS 2024'!C8</f>
        <v>0</v>
      </c>
    </row>
  </sheetData>
  <mergeCells count="27">
    <mergeCell ref="G13:H13"/>
    <mergeCell ref="G15:H15"/>
    <mergeCell ref="G16:H16"/>
    <mergeCell ref="D101:D105"/>
    <mergeCell ref="G17:H17"/>
    <mergeCell ref="D28:D31"/>
    <mergeCell ref="A2:D2"/>
    <mergeCell ref="A3:D3"/>
    <mergeCell ref="A4:D4"/>
    <mergeCell ref="A6:D6"/>
    <mergeCell ref="A12:C12"/>
    <mergeCell ref="A8:C8"/>
    <mergeCell ref="A167:C167"/>
    <mergeCell ref="A135:C135"/>
    <mergeCell ref="A155:C155"/>
    <mergeCell ref="A83:C83"/>
    <mergeCell ref="A115:C115"/>
    <mergeCell ref="D156:D159"/>
    <mergeCell ref="G23:H23"/>
    <mergeCell ref="G24:H24"/>
    <mergeCell ref="G18:H18"/>
    <mergeCell ref="G19:H19"/>
    <mergeCell ref="G20:H20"/>
    <mergeCell ref="G21:H21"/>
    <mergeCell ref="G22:H22"/>
    <mergeCell ref="D143:D147"/>
    <mergeCell ref="D140:D141"/>
  </mergeCells>
  <printOptions horizontalCentered="1"/>
  <pageMargins left="0.23622047244094491" right="0.23622047244094491" top="0.74803149606299213" bottom="0.74803149606299213" header="0.31496062992125984" footer="0.31496062992125984"/>
  <pageSetup scale="80" firstPageNumber="23" orientation="portrait" useFirstPageNumber="1" r:id="rId1"/>
  <headerFooter>
    <oddFooter>&amp;C&amp;P</oddFooter>
  </headerFooter>
  <rowBreaks count="2" manualBreakCount="2">
    <brk id="100" max="3" man="1"/>
    <brk id="141" max="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tabColor theme="9" tint="-0.499984740745262"/>
  </sheetPr>
  <dimension ref="A1:D136"/>
  <sheetViews>
    <sheetView showGridLines="0" topLeftCell="A65" zoomScale="90" zoomScaleNormal="90" workbookViewId="0">
      <selection activeCell="E62" sqref="E62"/>
    </sheetView>
  </sheetViews>
  <sheetFormatPr baseColWidth="10" defaultColWidth="11.44140625" defaultRowHeight="16.2" outlineLevelRow="1" outlineLevelCol="1" x14ac:dyDescent="0.4"/>
  <cols>
    <col min="1" max="1" width="10.6640625" style="1111" customWidth="1"/>
    <col min="2" max="2" width="15.6640625" style="384" customWidth="1"/>
    <col min="3" max="3" width="73.109375" style="362" customWidth="1"/>
    <col min="4" max="4" width="15.6640625" style="362" customWidth="1" outlineLevel="1"/>
    <col min="5" max="16384" width="11.44140625" style="362"/>
  </cols>
  <sheetData>
    <row r="1" spans="1:4" x14ac:dyDescent="0.4">
      <c r="B1" s="1185"/>
    </row>
    <row r="2" spans="1:4" x14ac:dyDescent="0.4">
      <c r="A2" s="1472" t="s">
        <v>0</v>
      </c>
      <c r="B2" s="1472"/>
      <c r="C2" s="1472"/>
      <c r="D2" s="1472"/>
    </row>
    <row r="3" spans="1:4" x14ac:dyDescent="0.4">
      <c r="A3" s="1472" t="s">
        <v>1276</v>
      </c>
      <c r="B3" s="1472"/>
      <c r="C3" s="1472"/>
      <c r="D3" s="1472"/>
    </row>
    <row r="4" spans="1:4" x14ac:dyDescent="0.4">
      <c r="A4" s="1472" t="s">
        <v>389</v>
      </c>
      <c r="B4" s="1472"/>
      <c r="C4" s="1472"/>
      <c r="D4" s="1472"/>
    </row>
    <row r="5" spans="1:4" ht="16.8" thickBot="1" x14ac:dyDescent="0.45">
      <c r="A5" s="941"/>
      <c r="B5" s="1365"/>
      <c r="C5" s="941"/>
      <c r="D5" s="942"/>
    </row>
    <row r="6" spans="1:4" ht="16.8" thickTop="1" x14ac:dyDescent="0.4">
      <c r="A6" s="1531" t="s">
        <v>475</v>
      </c>
      <c r="B6" s="1531"/>
      <c r="C6" s="1531"/>
      <c r="D6" s="1531"/>
    </row>
    <row r="7" spans="1:4" ht="6.9" customHeight="1" x14ac:dyDescent="0.4">
      <c r="A7" s="1123"/>
      <c r="B7" s="1184"/>
      <c r="C7" s="361"/>
      <c r="D7" s="435"/>
    </row>
    <row r="8" spans="1:4" x14ac:dyDescent="0.4">
      <c r="A8" s="1441" t="s">
        <v>522</v>
      </c>
      <c r="B8" s="1185"/>
      <c r="C8" s="361"/>
      <c r="D8" s="361"/>
    </row>
    <row r="9" spans="1:4" ht="16.8" thickBot="1" x14ac:dyDescent="0.45">
      <c r="A9" s="1123"/>
      <c r="B9" s="1185"/>
      <c r="C9" s="361"/>
      <c r="D9" s="361"/>
    </row>
    <row r="10" spans="1:4" ht="40.5" customHeight="1" thickBot="1" x14ac:dyDescent="0.45">
      <c r="A10" s="943" t="s">
        <v>476</v>
      </c>
      <c r="B10" s="1366" t="s">
        <v>477</v>
      </c>
      <c r="C10" s="944" t="s">
        <v>478</v>
      </c>
      <c r="D10" s="1101" t="s">
        <v>479</v>
      </c>
    </row>
    <row r="11" spans="1:4" ht="9.9" customHeight="1" x14ac:dyDescent="0.4">
      <c r="A11" s="801"/>
      <c r="B11" s="1367"/>
      <c r="C11" s="946"/>
      <c r="D11" s="947"/>
    </row>
    <row r="12" spans="1:4" ht="18" customHeight="1" x14ac:dyDescent="0.4">
      <c r="A12" s="1532" t="s">
        <v>53</v>
      </c>
      <c r="B12" s="1533"/>
      <c r="C12" s="1533"/>
      <c r="D12" s="1021"/>
    </row>
    <row r="13" spans="1:4" ht="119.1" customHeight="1" x14ac:dyDescent="0.4">
      <c r="A13" s="949" t="s">
        <v>72</v>
      </c>
      <c r="B13" s="1369">
        <f>SUMIF(' CLASIFICACION DE GASTOS 2024'!$A$18:$A$220,$A13,' CLASIFICACION DE GASTOS 2024'!$D$18:$D$220)</f>
        <v>222821000</v>
      </c>
      <c r="C13" s="950" t="s">
        <v>1315</v>
      </c>
      <c r="D13" s="1522" t="s">
        <v>480</v>
      </c>
    </row>
    <row r="14" spans="1:4" ht="48.6" x14ac:dyDescent="0.4">
      <c r="A14" s="949" t="s">
        <v>73</v>
      </c>
      <c r="B14" s="1369">
        <f>SUMIF(' CLASIFICACION DE GASTOS 2024'!$A$18:$A$220,$A14,' CLASIFICACION DE GASTOS 2024'!$D$18:$D$220)</f>
        <v>3400500</v>
      </c>
      <c r="C14" s="474" t="s">
        <v>1314</v>
      </c>
      <c r="D14" s="1523"/>
    </row>
    <row r="15" spans="1:4" ht="46.5" hidden="1" customHeight="1" x14ac:dyDescent="0.4">
      <c r="A15" s="949" t="s">
        <v>391</v>
      </c>
      <c r="B15" s="1369">
        <f>SUMIF(' CLASIFICACION DE GASTOS 2024'!$A$18:$A$220,$A15,' CLASIFICACION DE GASTOS 2024'!$D$18:$D$220)</f>
        <v>0</v>
      </c>
      <c r="C15" s="474"/>
      <c r="D15" s="1523"/>
    </row>
    <row r="16" spans="1:4" ht="46.5" hidden="1" customHeight="1" x14ac:dyDescent="0.4">
      <c r="A16" s="949" t="s">
        <v>76</v>
      </c>
      <c r="B16" s="1369">
        <f>SUMIF(' CLASIFICACION DE GASTOS 2024'!$A$18:$A$220,$A16,' CLASIFICACION DE GASTOS 2024'!$D$18:$D$220)</f>
        <v>0</v>
      </c>
      <c r="C16" s="886"/>
      <c r="D16" s="1523"/>
    </row>
    <row r="17" spans="1:4" ht="62.1" hidden="1" customHeight="1" x14ac:dyDescent="0.4">
      <c r="A17" s="949" t="s">
        <v>567</v>
      </c>
      <c r="B17" s="1369">
        <f>SUMIF(' CLASIFICACION DE GASTOS 2024'!$A$18:$A$220,$A17,' CLASIFICACION DE GASTOS 2024'!$D$18:$D$220)</f>
        <v>0</v>
      </c>
      <c r="C17" s="886" t="s">
        <v>1041</v>
      </c>
      <c r="D17" s="1523"/>
    </row>
    <row r="18" spans="1:4" ht="46.5" hidden="1" customHeight="1" x14ac:dyDescent="0.4">
      <c r="A18" s="954" t="s">
        <v>77</v>
      </c>
      <c r="B18" s="1369">
        <f>SUMIF(' CLASIFICACION DE GASTOS 2024'!$A$18:$A$220,$A18,' CLASIFICACION DE GASTOS 2024'!$D$18:$D$220)</f>
        <v>0</v>
      </c>
      <c r="C18" s="886" t="s">
        <v>527</v>
      </c>
      <c r="D18" s="1523"/>
    </row>
    <row r="19" spans="1:4" ht="48.6" x14ac:dyDescent="0.4">
      <c r="A19" s="949" t="s">
        <v>80</v>
      </c>
      <c r="B19" s="1369">
        <f>SUMIF(' CLASIFICACION DE GASTOS 2024'!$A$18:$A$220,$A19,' CLASIFICACION DE GASTOS 2024'!$D$18:$D$220)</f>
        <v>32431000</v>
      </c>
      <c r="C19" s="886" t="s">
        <v>481</v>
      </c>
      <c r="D19" s="1523"/>
    </row>
    <row r="20" spans="1:4" ht="42.75" customHeight="1" x14ac:dyDescent="0.4">
      <c r="A20" s="949" t="s">
        <v>82</v>
      </c>
      <c r="B20" s="1369">
        <f>SUMIF(' CLASIFICACION DE GASTOS 2024'!$A$18:$A$220,$A20,' CLASIFICACION DE GASTOS 2024'!$D$18:$D$220)</f>
        <v>51115000</v>
      </c>
      <c r="C20" s="474" t="s">
        <v>482</v>
      </c>
      <c r="D20" s="1523"/>
    </row>
    <row r="21" spans="1:4" ht="40.5" customHeight="1" x14ac:dyDescent="0.4">
      <c r="A21" s="949" t="s">
        <v>84</v>
      </c>
      <c r="B21" s="1369">
        <f>SUMIF(' CLASIFICACION DE GASTOS 2024'!$A$18:$A$220,$A21,' CLASIFICACION DE GASTOS 2024'!$D$18:$D$220)</f>
        <v>29182500</v>
      </c>
      <c r="C21" s="474" t="s">
        <v>483</v>
      </c>
      <c r="D21" s="1523"/>
    </row>
    <row r="22" spans="1:4" ht="39.75" customHeight="1" x14ac:dyDescent="0.4">
      <c r="A22" s="949" t="s">
        <v>86</v>
      </c>
      <c r="B22" s="1369">
        <f>SUMIF(' CLASIFICACION DE GASTOS 2024'!$A$18:$A$220,$A22,' CLASIFICACION DE GASTOS 2024'!$D$18:$D$220)</f>
        <v>26112500</v>
      </c>
      <c r="C22" s="474" t="s">
        <v>484</v>
      </c>
      <c r="D22" s="1523"/>
    </row>
    <row r="23" spans="1:4" ht="62.25" customHeight="1" x14ac:dyDescent="0.4">
      <c r="A23" s="949" t="s">
        <v>87</v>
      </c>
      <c r="B23" s="1369">
        <f>SUMIF(' CLASIFICACION DE GASTOS 2024'!$A$18:$A$220,$A23,' CLASIFICACION DE GASTOS 2024'!$D$18:$D$220)</f>
        <v>14311000</v>
      </c>
      <c r="C23" s="886" t="s">
        <v>485</v>
      </c>
      <c r="D23" s="1523"/>
    </row>
    <row r="24" spans="1:4" ht="29.1" customHeight="1" x14ac:dyDescent="0.4">
      <c r="A24" s="842" t="s">
        <v>90</v>
      </c>
      <c r="B24" s="1369">
        <f>SUMIF(' CLASIFICACION DE GASTOS 2024'!$A$18:$A$220,$A24,' CLASIFICACION DE GASTOS 2024'!$D$18:$D$220)</f>
        <v>32392500</v>
      </c>
      <c r="C24" s="474" t="s">
        <v>486</v>
      </c>
      <c r="D24" s="1523"/>
    </row>
    <row r="25" spans="1:4" ht="23.4" customHeight="1" x14ac:dyDescent="0.4">
      <c r="A25" s="842" t="s">
        <v>92</v>
      </c>
      <c r="B25" s="1369">
        <f>SUMIF(' CLASIFICACION DE GASTOS 2024'!$A$18:$A$220,$A25,' CLASIFICACION DE GASTOS 2024'!$D$18:$D$220)</f>
        <v>1751000</v>
      </c>
      <c r="C25" s="956" t="s">
        <v>487</v>
      </c>
      <c r="D25" s="1523"/>
    </row>
    <row r="26" spans="1:4" ht="23.25" customHeight="1" x14ac:dyDescent="0.4">
      <c r="A26" s="842" t="s">
        <v>93</v>
      </c>
      <c r="B26" s="1369">
        <f>SUMIF(' CLASIFICACION DE GASTOS 2024'!$A$18:$A$220,$A26,' CLASIFICACION DE GASTOS 2024'!$D$18:$D$220)</f>
        <v>5253000</v>
      </c>
      <c r="C26" s="886" t="s">
        <v>488</v>
      </c>
      <c r="D26" s="1523"/>
    </row>
    <row r="27" spans="1:4" ht="33" customHeight="1" x14ac:dyDescent="0.4">
      <c r="A27" s="842" t="s">
        <v>94</v>
      </c>
      <c r="B27" s="1369">
        <f>SUMIF(' CLASIFICACION DE GASTOS 2024'!$A$18:$A$220,$A27,' CLASIFICACION DE GASTOS 2024'!$D$18:$D$220)</f>
        <v>17509500</v>
      </c>
      <c r="C27" s="886" t="s">
        <v>489</v>
      </c>
      <c r="D27" s="1523"/>
    </row>
    <row r="28" spans="1:4" ht="29.25" customHeight="1" x14ac:dyDescent="0.4">
      <c r="A28" s="842" t="s">
        <v>96</v>
      </c>
      <c r="B28" s="1369">
        <f>SUMIF(' CLASIFICACION DE GASTOS 2024'!$A$18:$A$220,$A28,' CLASIFICACION DE GASTOS 2024'!$D$18:$D$220)</f>
        <v>1751000</v>
      </c>
      <c r="C28" s="886" t="s">
        <v>490</v>
      </c>
      <c r="D28" s="1523"/>
    </row>
    <row r="29" spans="1:4" ht="30.75" customHeight="1" x14ac:dyDescent="0.4">
      <c r="A29" s="842" t="s">
        <v>510</v>
      </c>
      <c r="B29" s="1369">
        <f>SUMIF(' CLASIFICACION DE GASTOS 2024'!$A$18:$A$220,$A29,' CLASIFICACION DE GASTOS 2024'!$D$18:$D$220)</f>
        <v>18980500</v>
      </c>
      <c r="C29" s="886" t="s">
        <v>1718</v>
      </c>
      <c r="D29" s="1523"/>
    </row>
    <row r="30" spans="1:4" ht="33" customHeight="1" x14ac:dyDescent="0.4">
      <c r="A30" s="958" t="s">
        <v>100</v>
      </c>
      <c r="B30" s="1369">
        <f>SUMIF(' CLASIFICACION DE GASTOS 2024'!$A$18:$A$220,$A30,' CLASIFICACION DE GASTOS 2024'!$D$18:$D$220)</f>
        <v>10506000</v>
      </c>
      <c r="C30" s="956" t="s">
        <v>491</v>
      </c>
      <c r="D30" s="1523"/>
    </row>
    <row r="31" spans="1:4" ht="64.8" x14ac:dyDescent="0.4">
      <c r="A31" s="842" t="s">
        <v>101</v>
      </c>
      <c r="B31" s="1369">
        <f>SUMIF(' CLASIFICACION DE GASTOS 2024'!$A$18:$A$220,$A31,' CLASIFICACION DE GASTOS 2024'!$D$18:$D$220)</f>
        <v>5253000</v>
      </c>
      <c r="C31" s="886" t="s">
        <v>1135</v>
      </c>
      <c r="D31" s="1525"/>
    </row>
    <row r="32" spans="1:4" ht="35.25" hidden="1" customHeight="1" x14ac:dyDescent="0.4">
      <c r="A32" s="846" t="s">
        <v>395</v>
      </c>
      <c r="B32" s="1369">
        <v>0</v>
      </c>
      <c r="C32" s="886"/>
      <c r="D32" s="960"/>
    </row>
    <row r="33" spans="1:4" ht="5.4" customHeight="1" x14ac:dyDescent="0.4">
      <c r="A33" s="961"/>
      <c r="B33" s="1370"/>
      <c r="C33" s="962"/>
      <c r="D33" s="963"/>
    </row>
    <row r="34" spans="1:4" ht="18" customHeight="1" x14ac:dyDescent="0.4">
      <c r="A34" s="964">
        <v>0</v>
      </c>
      <c r="B34" s="1371">
        <f>SUM(B13:B32)</f>
        <v>472770000</v>
      </c>
      <c r="C34" s="965" t="s">
        <v>492</v>
      </c>
      <c r="D34" s="966"/>
    </row>
    <row r="35" spans="1:4" s="372" customFormat="1" ht="15" customHeight="1" x14ac:dyDescent="0.4">
      <c r="A35" s="1425"/>
      <c r="B35" s="1372"/>
      <c r="C35" s="968"/>
      <c r="D35" s="1426"/>
    </row>
    <row r="36" spans="1:4" ht="18" customHeight="1" x14ac:dyDescent="0.4">
      <c r="A36" s="1421" t="s">
        <v>54</v>
      </c>
      <c r="B36" s="1422"/>
      <c r="C36" s="1423"/>
      <c r="D36" s="1424"/>
    </row>
    <row r="37" spans="1:4" ht="64.8" x14ac:dyDescent="0.4">
      <c r="A37" s="1025" t="s">
        <v>106</v>
      </c>
      <c r="B37" s="1369">
        <f>SUMIF(' CLASIFICACION DE GASTOS 2024'!$A$18:$A$220,$A37,' CLASIFICACION DE GASTOS 2024'!$D$18:$D$220)</f>
        <v>7465900</v>
      </c>
      <c r="C37" s="474" t="s">
        <v>1247</v>
      </c>
      <c r="D37" s="1100" t="s">
        <v>480</v>
      </c>
    </row>
    <row r="38" spans="1:4" hidden="1" x14ac:dyDescent="0.4">
      <c r="A38" s="863" t="s">
        <v>108</v>
      </c>
      <c r="B38" s="1369">
        <f>SUMIF(' CLASIFICACION DE GASTOS 2024'!$A$18:$A$220,$A38,' CLASIFICACION DE GASTOS 2024'!$D$18:$D$220)</f>
        <v>0</v>
      </c>
      <c r="C38" s="978"/>
      <c r="D38" s="1026"/>
    </row>
    <row r="39" spans="1:4" hidden="1" x14ac:dyDescent="0.4">
      <c r="A39" s="863" t="s">
        <v>110</v>
      </c>
      <c r="B39" s="1369">
        <f>SUMIF(' CLASIFICACION DE GASTOS 2024'!$A$18:$A$220,$A39,' CLASIFICACION DE GASTOS 2024'!$D$18:$D$220)</f>
        <v>0</v>
      </c>
      <c r="C39" s="988"/>
      <c r="D39" s="1026"/>
    </row>
    <row r="40" spans="1:4" hidden="1" x14ac:dyDescent="0.4">
      <c r="A40" s="863" t="s">
        <v>112</v>
      </c>
      <c r="B40" s="1369">
        <f>SUMIF(' CLASIFICACION DE GASTOS 2024'!$A$18:$A$220,$A40,' CLASIFICACION DE GASTOS 2024'!$D$18:$D$220)</f>
        <v>0</v>
      </c>
      <c r="C40" s="978"/>
      <c r="D40" s="1026"/>
    </row>
    <row r="41" spans="1:4" ht="48.75" customHeight="1" x14ac:dyDescent="0.4">
      <c r="A41" s="842" t="s">
        <v>116</v>
      </c>
      <c r="B41" s="1369">
        <f>SUMIF(' CLASIFICACION DE GASTOS 2024'!$A$18:$A$220,$A41,' CLASIFICACION DE GASTOS 2024'!$D$18:$D$220)</f>
        <v>302700</v>
      </c>
      <c r="C41" s="886" t="s">
        <v>1053</v>
      </c>
      <c r="D41" s="1023"/>
    </row>
    <row r="42" spans="1:4" ht="48.75" customHeight="1" x14ac:dyDescent="0.4">
      <c r="A42" s="842" t="s">
        <v>118</v>
      </c>
      <c r="B42" s="1369">
        <f>SUMIF(' CLASIFICACION DE GASTOS 2024'!$A$18:$A$220,$A42,' CLASIFICACION DE GASTOS 2024'!$D$18:$D$220)</f>
        <v>1070600</v>
      </c>
      <c r="C42" s="827" t="s">
        <v>1295</v>
      </c>
      <c r="D42" s="1023"/>
    </row>
    <row r="43" spans="1:4" ht="35.25" hidden="1" customHeight="1" x14ac:dyDescent="0.4">
      <c r="A43" s="842" t="s">
        <v>120</v>
      </c>
      <c r="B43" s="1369">
        <f>SUMIF(' CLASIFICACION DE GASTOS 2024'!$A$18:$A$220,$A43,' CLASIFICACION DE GASTOS 2024'!$D$18:$D$220)</f>
        <v>0</v>
      </c>
      <c r="C43" s="886"/>
      <c r="D43" s="1023"/>
    </row>
    <row r="44" spans="1:4" ht="77.25" customHeight="1" x14ac:dyDescent="0.4">
      <c r="A44" s="842" t="s">
        <v>326</v>
      </c>
      <c r="B44" s="1369">
        <f>SUMIF(' CLASIFICACION DE GASTOS 2024'!$A$18:$A$220,$A44,' CLASIFICACION DE GASTOS 2024'!$D$18:$D$220)</f>
        <v>463300</v>
      </c>
      <c r="C44" s="886" t="s">
        <v>1296</v>
      </c>
      <c r="D44" s="1023"/>
    </row>
    <row r="45" spans="1:4" hidden="1" x14ac:dyDescent="0.4">
      <c r="A45" s="842" t="s">
        <v>123</v>
      </c>
      <c r="B45" s="1369">
        <f>SUMIF(' CLASIFICACION DE GASTOS 2024'!$A$18:$A$220,$A45,' CLASIFICACION DE GASTOS 2024'!$D$18:$D$220)</f>
        <v>0</v>
      </c>
      <c r="C45" s="886"/>
      <c r="D45" s="1023"/>
    </row>
    <row r="46" spans="1:4" hidden="1" x14ac:dyDescent="0.4">
      <c r="A46" s="842" t="s">
        <v>127</v>
      </c>
      <c r="B46" s="1369">
        <f>SUMIF(' CLASIFICACION DE GASTOS 2024'!$A$18:$A$220,$A46,' CLASIFICACION DE GASTOS 2024'!$D$18:$D$220)</f>
        <v>0</v>
      </c>
      <c r="C46" s="886"/>
      <c r="D46" s="1023"/>
    </row>
    <row r="47" spans="1:4" hidden="1" x14ac:dyDescent="0.4">
      <c r="A47" s="842" t="s">
        <v>129</v>
      </c>
      <c r="B47" s="1369">
        <f>SUMIF(' CLASIFICACION DE GASTOS 2024'!$A$18:$A$220,$A47,' CLASIFICACION DE GASTOS 2024'!$D$18:$D$220)</f>
        <v>0</v>
      </c>
      <c r="C47" s="886"/>
      <c r="D47" s="1023"/>
    </row>
    <row r="48" spans="1:4" hidden="1" x14ac:dyDescent="0.4">
      <c r="A48" s="842" t="s">
        <v>131</v>
      </c>
      <c r="B48" s="1369">
        <f>SUMIF(' CLASIFICACION DE GASTOS 2024'!$A$18:$A$220,$A48,' CLASIFICACION DE GASTOS 2024'!$D$18:$D$220)</f>
        <v>0</v>
      </c>
      <c r="C48" s="886"/>
      <c r="D48" s="1023"/>
    </row>
    <row r="49" spans="1:4" hidden="1" x14ac:dyDescent="0.4">
      <c r="A49" s="842" t="s">
        <v>133</v>
      </c>
      <c r="B49" s="1369">
        <f>SUMIF(' CLASIFICACION DE GASTOS 2024'!$A$18:$A$220,$A49,' CLASIFICACION DE GASTOS 2024'!$D$18:$D$220)</f>
        <v>0</v>
      </c>
      <c r="C49" s="886"/>
      <c r="D49" s="1023"/>
    </row>
    <row r="50" spans="1:4" hidden="1" x14ac:dyDescent="0.4">
      <c r="A50" s="842" t="s">
        <v>137</v>
      </c>
      <c r="B50" s="1369">
        <f>SUMIF(' CLASIFICACION DE GASTOS 2024'!$A$18:$A$220,$A50,' CLASIFICACION DE GASTOS 2024'!$D$18:$D$220)</f>
        <v>0</v>
      </c>
      <c r="C50" s="886"/>
      <c r="D50" s="1023"/>
    </row>
    <row r="51" spans="1:4" hidden="1" x14ac:dyDescent="0.4">
      <c r="A51" s="842" t="s">
        <v>397</v>
      </c>
      <c r="B51" s="1369">
        <f>SUMIF(' CLASIFICACION DE GASTOS 2024'!$A$18:$A$220,$A51,' CLASIFICACION DE GASTOS 2024'!$D$18:$D$220)</f>
        <v>0</v>
      </c>
      <c r="C51" s="886"/>
      <c r="D51" s="1023"/>
    </row>
    <row r="52" spans="1:4" hidden="1" x14ac:dyDescent="0.4">
      <c r="A52" s="842" t="s">
        <v>569</v>
      </c>
      <c r="B52" s="1369">
        <f>SUMIF(' CLASIFICACION DE GASTOS 2024'!$A$18:$A$220,$A52,' CLASIFICACION DE GASTOS 2024'!$D$18:$D$220)</f>
        <v>0</v>
      </c>
      <c r="C52" s="886"/>
      <c r="D52" s="1023"/>
    </row>
    <row r="53" spans="1:4" hidden="1" x14ac:dyDescent="0.4">
      <c r="A53" s="842" t="s">
        <v>399</v>
      </c>
      <c r="B53" s="1369">
        <f>SUMIF(' CLASIFICACION DE GASTOS 2024'!$A$18:$A$220,$A53,' CLASIFICACION DE GASTOS 2024'!$D$18:$D$220)</f>
        <v>0</v>
      </c>
      <c r="C53" s="886"/>
      <c r="D53" s="1023"/>
    </row>
    <row r="54" spans="1:4" hidden="1" x14ac:dyDescent="0.4">
      <c r="A54" s="842">
        <v>0</v>
      </c>
      <c r="B54" s="1369">
        <f>SUMIF(' CLASIFICACION DE GASTOS 2024'!$A$18:$A$220,$A54,' CLASIFICACION DE GASTOS 2024'!$D$18:$D$220)</f>
        <v>0</v>
      </c>
      <c r="C54" s="886"/>
      <c r="D54" s="1023"/>
    </row>
    <row r="55" spans="1:4" hidden="1" x14ac:dyDescent="0.4">
      <c r="A55" s="842" t="s">
        <v>343</v>
      </c>
      <c r="B55" s="1369">
        <f>SUMIF(' CLASIFICACION DE GASTOS 2024'!$A$18:$A$220,$A55,' CLASIFICACION DE GASTOS 2024'!$D$18:$D$220)</f>
        <v>0</v>
      </c>
      <c r="C55" s="886"/>
      <c r="D55" s="1023"/>
    </row>
    <row r="56" spans="1:4" ht="75.75" hidden="1" customHeight="1" x14ac:dyDescent="0.4">
      <c r="A56" s="842" t="s">
        <v>141</v>
      </c>
      <c r="B56" s="1369">
        <f>SUMIF(' CLASIFICACION DE GASTOS 2024'!$A$18:$A$220,$A56,' CLASIFICACION DE GASTOS 2024'!$D$18:$D$220)</f>
        <v>0</v>
      </c>
      <c r="C56" s="474" t="s">
        <v>1255</v>
      </c>
      <c r="D56" s="1023"/>
    </row>
    <row r="57" spans="1:4" hidden="1" x14ac:dyDescent="0.4">
      <c r="A57" s="842" t="s">
        <v>143</v>
      </c>
      <c r="B57" s="1369">
        <f>SUMIF(' CLASIFICACION DE GASTOS 2024'!$A$18:$A$220,$A57,' CLASIFICACION DE GASTOS 2024'!$D$18:$D$220)</f>
        <v>0</v>
      </c>
      <c r="C57" s="886"/>
      <c r="D57" s="1023"/>
    </row>
    <row r="58" spans="1:4" ht="129.75" customHeight="1" x14ac:dyDescent="0.4">
      <c r="A58" s="842" t="s">
        <v>145</v>
      </c>
      <c r="B58" s="1369">
        <f>SUMIF(' CLASIFICACION DE GASTOS 2024'!$A$18:$A$220,$A58,' CLASIFICACION DE GASTOS 2024'!$D$18:$D$220)</f>
        <v>2196400</v>
      </c>
      <c r="C58" s="474" t="s">
        <v>1302</v>
      </c>
      <c r="D58" s="1023"/>
    </row>
    <row r="59" spans="1:4" ht="159" customHeight="1" x14ac:dyDescent="0.4">
      <c r="A59" s="842" t="s">
        <v>147</v>
      </c>
      <c r="B59" s="1369">
        <f>SUMIF(' CLASIFICACION DE GASTOS 2024'!$A$18:$A$220,$A59,' CLASIFICACION DE GASTOS 2024'!$D$18:$D$220)</f>
        <v>60800000</v>
      </c>
      <c r="C59" s="474" t="s">
        <v>1744</v>
      </c>
      <c r="D59" s="1419"/>
    </row>
    <row r="60" spans="1:4" ht="72.75" hidden="1" customHeight="1" x14ac:dyDescent="0.4">
      <c r="A60" s="958" t="s">
        <v>151</v>
      </c>
      <c r="B60" s="1369">
        <f>SUMIF(' CLASIFICACION DE GASTOS 2024'!$A$18:$A$220,$A60,' CLASIFICACION DE GASTOS 2024'!$D$18:$D$220)</f>
        <v>0</v>
      </c>
      <c r="C60" s="956" t="s">
        <v>1054</v>
      </c>
      <c r="D60" s="1023"/>
    </row>
    <row r="61" spans="1:4" hidden="1" x14ac:dyDescent="0.4">
      <c r="A61" s="842" t="s">
        <v>153</v>
      </c>
      <c r="B61" s="1369">
        <f>SUMIF(' CLASIFICACION DE GASTOS 2024'!$A$18:$A$220,$A61,' CLASIFICACION DE GASTOS 2024'!$D$18:$D$220)</f>
        <v>0</v>
      </c>
      <c r="C61" s="886"/>
      <c r="D61" s="1023"/>
    </row>
    <row r="62" spans="1:4" ht="55.5" customHeight="1" x14ac:dyDescent="0.4">
      <c r="A62" s="842" t="s">
        <v>155</v>
      </c>
      <c r="B62" s="1369">
        <f>SUMIF(' CLASIFICACION DE GASTOS 2024'!$A$18:$A$220,$A62,' CLASIFICACION DE GASTOS 2024'!$D$18:$D$220)</f>
        <v>1750000</v>
      </c>
      <c r="C62" s="1548" t="s">
        <v>1324</v>
      </c>
      <c r="D62" s="1523" t="s">
        <v>480</v>
      </c>
    </row>
    <row r="63" spans="1:4" ht="50.1" customHeight="1" x14ac:dyDescent="0.4">
      <c r="A63" s="842" t="s">
        <v>157</v>
      </c>
      <c r="B63" s="1369">
        <f>SUMIF(' CLASIFICACION DE GASTOS 2024'!$A$18:$A$220,$A63,' CLASIFICACION DE GASTOS 2024'!$D$18:$D$220)</f>
        <v>1700000</v>
      </c>
      <c r="C63" s="1549"/>
      <c r="D63" s="1523"/>
    </row>
    <row r="64" spans="1:4" ht="145.5" customHeight="1" x14ac:dyDescent="0.4">
      <c r="A64" s="842" t="s">
        <v>160</v>
      </c>
      <c r="B64" s="1369">
        <f>SUMIF(' CLASIFICACION DE GASTOS 2024'!$A$18:$A$220,$A64,' CLASIFICACION DE GASTOS 2024'!$D$18:$D$220)</f>
        <v>2500400</v>
      </c>
      <c r="C64" s="886" t="s">
        <v>1317</v>
      </c>
      <c r="D64" s="1023"/>
    </row>
    <row r="65" spans="1:4" ht="81" x14ac:dyDescent="0.4">
      <c r="A65" s="842" t="s">
        <v>164</v>
      </c>
      <c r="B65" s="1369">
        <f>SUMIF(' CLASIFICACION DE GASTOS 2024'!$A$18:$A$220,$A65,' CLASIFICACION DE GASTOS 2024'!$D$18:$D$220)</f>
        <v>1000000</v>
      </c>
      <c r="C65" s="886" t="s">
        <v>1303</v>
      </c>
      <c r="D65" s="960"/>
    </row>
    <row r="66" spans="1:4" hidden="1" x14ac:dyDescent="0.4">
      <c r="A66" s="863" t="s">
        <v>166</v>
      </c>
      <c r="B66" s="1369">
        <v>0</v>
      </c>
      <c r="C66" s="1027"/>
      <c r="D66" s="1026"/>
    </row>
    <row r="67" spans="1:4" hidden="1" x14ac:dyDescent="0.4">
      <c r="A67" s="863" t="s">
        <v>168</v>
      </c>
      <c r="B67" s="1369">
        <v>0</v>
      </c>
      <c r="C67" s="1027"/>
      <c r="D67" s="1026"/>
    </row>
    <row r="68" spans="1:4" hidden="1" x14ac:dyDescent="0.4">
      <c r="A68" s="863" t="s">
        <v>172</v>
      </c>
      <c r="B68" s="1394">
        <v>0</v>
      </c>
      <c r="C68" s="1027"/>
      <c r="D68" s="1026"/>
    </row>
    <row r="69" spans="1:4" hidden="1" x14ac:dyDescent="0.4">
      <c r="A69" s="863" t="s">
        <v>174</v>
      </c>
      <c r="B69" s="1394">
        <v>0</v>
      </c>
      <c r="C69" s="1027"/>
      <c r="D69" s="1026"/>
    </row>
    <row r="70" spans="1:4" hidden="1" x14ac:dyDescent="0.4">
      <c r="A70" s="863" t="s">
        <v>402</v>
      </c>
      <c r="B70" s="1394">
        <v>0</v>
      </c>
      <c r="C70" s="1027"/>
      <c r="D70" s="1026"/>
    </row>
    <row r="71" spans="1:4" hidden="1" x14ac:dyDescent="0.4">
      <c r="A71" s="863" t="s">
        <v>176</v>
      </c>
      <c r="B71" s="1394">
        <v>0</v>
      </c>
      <c r="C71" s="1027"/>
      <c r="D71" s="1026"/>
    </row>
    <row r="72" spans="1:4" hidden="1" x14ac:dyDescent="0.4">
      <c r="A72" s="863" t="s">
        <v>178</v>
      </c>
      <c r="B72" s="1394">
        <v>0</v>
      </c>
      <c r="C72" s="956"/>
      <c r="D72" s="952"/>
    </row>
    <row r="73" spans="1:4" hidden="1" outlineLevel="1" x14ac:dyDescent="0.4">
      <c r="A73" s="863" t="s">
        <v>180</v>
      </c>
      <c r="B73" s="1394">
        <v>0</v>
      </c>
      <c r="C73" s="974"/>
      <c r="D73" s="952"/>
    </row>
    <row r="74" spans="1:4" hidden="1" outlineLevel="1" x14ac:dyDescent="0.4">
      <c r="A74" s="863" t="s">
        <v>182</v>
      </c>
      <c r="B74" s="1394">
        <v>0</v>
      </c>
      <c r="C74" s="974"/>
      <c r="D74" s="952"/>
    </row>
    <row r="75" spans="1:4" hidden="1" outlineLevel="1" x14ac:dyDescent="0.4">
      <c r="A75" s="863" t="s">
        <v>183</v>
      </c>
      <c r="B75" s="1394">
        <v>0</v>
      </c>
      <c r="C75" s="974"/>
      <c r="D75" s="952"/>
    </row>
    <row r="76" spans="1:4" hidden="1" outlineLevel="1" x14ac:dyDescent="0.4">
      <c r="A76" s="863" t="s">
        <v>406</v>
      </c>
      <c r="B76" s="1368">
        <v>0</v>
      </c>
      <c r="C76" s="974"/>
      <c r="D76" s="952"/>
    </row>
    <row r="77" spans="1:4" hidden="1" outlineLevel="1" x14ac:dyDescent="0.4">
      <c r="A77" s="863" t="s">
        <v>408</v>
      </c>
      <c r="B77" s="1368">
        <v>0</v>
      </c>
      <c r="C77" s="974"/>
      <c r="D77" s="952"/>
    </row>
    <row r="78" spans="1:4" hidden="1" outlineLevel="1" x14ac:dyDescent="0.4">
      <c r="A78" s="863" t="s">
        <v>187</v>
      </c>
      <c r="B78" s="1368">
        <v>0</v>
      </c>
      <c r="C78" s="974"/>
      <c r="D78" s="952"/>
    </row>
    <row r="79" spans="1:4" hidden="1" outlineLevel="1" x14ac:dyDescent="0.4">
      <c r="A79" s="863" t="s">
        <v>189</v>
      </c>
      <c r="B79" s="1368">
        <v>0</v>
      </c>
      <c r="C79" s="974"/>
      <c r="D79" s="952"/>
    </row>
    <row r="80" spans="1:4" ht="9.9" customHeight="1" collapsed="1" x14ac:dyDescent="0.4">
      <c r="A80" s="961"/>
      <c r="B80" s="1370"/>
      <c r="C80" s="1008"/>
      <c r="D80" s="990"/>
    </row>
    <row r="81" spans="1:4" ht="18" customHeight="1" x14ac:dyDescent="0.4">
      <c r="A81" s="984">
        <v>1</v>
      </c>
      <c r="B81" s="1377">
        <f>SUM(B37:B79)</f>
        <v>79249300</v>
      </c>
      <c r="C81" s="985" t="s">
        <v>492</v>
      </c>
      <c r="D81" s="966"/>
    </row>
    <row r="82" spans="1:4" ht="9" hidden="1" customHeight="1" x14ac:dyDescent="0.4">
      <c r="A82" s="967"/>
      <c r="B82" s="1372"/>
      <c r="C82" s="968"/>
      <c r="D82" s="969"/>
    </row>
    <row r="83" spans="1:4" ht="12.75" hidden="1" customHeight="1" x14ac:dyDescent="0.4">
      <c r="A83" s="1529" t="s">
        <v>22</v>
      </c>
      <c r="B83" s="1530"/>
      <c r="C83" s="1547"/>
      <c r="D83" s="1005"/>
    </row>
    <row r="84" spans="1:4" hidden="1" x14ac:dyDescent="0.4">
      <c r="A84" s="1350" t="s">
        <v>193</v>
      </c>
      <c r="B84" s="1395">
        <v>0</v>
      </c>
      <c r="C84" s="372"/>
      <c r="D84" s="372"/>
    </row>
    <row r="85" spans="1:4" ht="8.1" hidden="1" customHeight="1" x14ac:dyDescent="0.4">
      <c r="A85" s="1350" t="s">
        <v>195</v>
      </c>
      <c r="B85" s="1395">
        <v>0</v>
      </c>
      <c r="C85" s="978"/>
      <c r="D85" s="1028"/>
    </row>
    <row r="86" spans="1:4" ht="33.6" hidden="1" customHeight="1" x14ac:dyDescent="0.4">
      <c r="A86" s="862" t="s">
        <v>197</v>
      </c>
      <c r="B86" s="1395">
        <v>0</v>
      </c>
      <c r="C86" s="886" t="s">
        <v>508</v>
      </c>
      <c r="D86" s="1538" t="s">
        <v>480</v>
      </c>
    </row>
    <row r="87" spans="1:4" ht="8.1" hidden="1" customHeight="1" x14ac:dyDescent="0.4">
      <c r="A87" s="862" t="s">
        <v>199</v>
      </c>
      <c r="B87" s="1395">
        <v>0</v>
      </c>
      <c r="C87" s="886"/>
      <c r="D87" s="1538"/>
    </row>
    <row r="88" spans="1:4" ht="44.25" hidden="1" customHeight="1" x14ac:dyDescent="0.4">
      <c r="A88" s="862" t="s">
        <v>351</v>
      </c>
      <c r="B88" s="1395">
        <v>0</v>
      </c>
      <c r="C88" s="886" t="s">
        <v>1088</v>
      </c>
      <c r="D88" s="1538"/>
    </row>
    <row r="89" spans="1:4" ht="17.399999999999999" hidden="1" customHeight="1" x14ac:dyDescent="0.4">
      <c r="A89" s="862" t="s">
        <v>202</v>
      </c>
      <c r="B89" s="1380">
        <v>0</v>
      </c>
      <c r="C89" s="886" t="s">
        <v>1093</v>
      </c>
      <c r="D89" s="1538"/>
    </row>
    <row r="90" spans="1:4" ht="12.75" hidden="1" customHeight="1" x14ac:dyDescent="0.4">
      <c r="A90" s="862" t="s">
        <v>204</v>
      </c>
      <c r="B90" s="1380">
        <v>0</v>
      </c>
      <c r="C90" s="1029"/>
      <c r="D90" s="1538"/>
    </row>
    <row r="91" spans="1:4" hidden="1" x14ac:dyDescent="0.4">
      <c r="A91" s="862" t="s">
        <v>206</v>
      </c>
      <c r="B91" s="1380">
        <v>0</v>
      </c>
      <c r="C91" s="886"/>
      <c r="D91" s="1538"/>
    </row>
    <row r="92" spans="1:4" hidden="1" x14ac:dyDescent="0.4">
      <c r="A92" s="862" t="s">
        <v>208</v>
      </c>
      <c r="B92" s="1380">
        <v>0</v>
      </c>
      <c r="C92" s="886"/>
      <c r="D92" s="952"/>
    </row>
    <row r="93" spans="1:4" ht="27" hidden="1" customHeight="1" x14ac:dyDescent="0.4">
      <c r="A93" s="862" t="s">
        <v>210</v>
      </c>
      <c r="B93" s="1380">
        <v>0</v>
      </c>
      <c r="C93" s="886" t="s">
        <v>1055</v>
      </c>
      <c r="D93" s="952"/>
    </row>
    <row r="94" spans="1:4" hidden="1" x14ac:dyDescent="0.4">
      <c r="A94" s="862" t="s">
        <v>212</v>
      </c>
      <c r="B94" s="1380">
        <v>0</v>
      </c>
      <c r="C94" s="1029"/>
      <c r="D94" s="952"/>
    </row>
    <row r="95" spans="1:4" hidden="1" x14ac:dyDescent="0.4">
      <c r="A95" s="862" t="s">
        <v>216</v>
      </c>
      <c r="B95" s="1380">
        <v>0</v>
      </c>
      <c r="C95" s="886"/>
      <c r="D95" s="952"/>
    </row>
    <row r="96" spans="1:4" hidden="1" x14ac:dyDescent="0.4">
      <c r="A96" s="862" t="s">
        <v>218</v>
      </c>
      <c r="B96" s="1380">
        <v>0</v>
      </c>
      <c r="C96" s="886"/>
      <c r="D96" s="952"/>
    </row>
    <row r="97" spans="1:4" ht="31.5" hidden="1" customHeight="1" x14ac:dyDescent="0.4">
      <c r="A97" s="862" t="s">
        <v>221</v>
      </c>
      <c r="B97" s="1380">
        <v>0</v>
      </c>
      <c r="C97" s="886" t="s">
        <v>505</v>
      </c>
      <c r="D97" s="952"/>
    </row>
    <row r="98" spans="1:4" hidden="1" x14ac:dyDescent="0.4">
      <c r="A98" s="862" t="s">
        <v>223</v>
      </c>
      <c r="B98" s="1380">
        <v>0</v>
      </c>
      <c r="C98" s="886"/>
      <c r="D98" s="952"/>
    </row>
    <row r="99" spans="1:4" ht="30" hidden="1" customHeight="1" x14ac:dyDescent="0.4">
      <c r="A99" s="862" t="s">
        <v>224</v>
      </c>
      <c r="B99" s="1380">
        <v>0</v>
      </c>
      <c r="C99" s="886" t="s">
        <v>497</v>
      </c>
      <c r="D99" s="952"/>
    </row>
    <row r="100" spans="1:4" hidden="1" x14ac:dyDescent="0.4">
      <c r="A100" s="862" t="s">
        <v>226</v>
      </c>
      <c r="B100" s="1380">
        <v>0</v>
      </c>
      <c r="C100" s="886"/>
      <c r="D100" s="952"/>
    </row>
    <row r="101" spans="1:4" hidden="1" x14ac:dyDescent="0.4">
      <c r="A101" s="862" t="s">
        <v>228</v>
      </c>
      <c r="B101" s="1380">
        <v>0</v>
      </c>
      <c r="C101" s="886"/>
      <c r="D101" s="952"/>
    </row>
    <row r="102" spans="1:4" hidden="1" x14ac:dyDescent="0.4">
      <c r="A102" s="862" t="s">
        <v>230</v>
      </c>
      <c r="B102" s="1380">
        <v>0</v>
      </c>
      <c r="C102" s="886"/>
      <c r="D102" s="952"/>
    </row>
    <row r="103" spans="1:4" ht="44.25" hidden="1" customHeight="1" x14ac:dyDescent="0.4">
      <c r="A103" s="862" t="s">
        <v>366</v>
      </c>
      <c r="B103" s="1380">
        <v>0</v>
      </c>
      <c r="C103" s="886" t="s">
        <v>551</v>
      </c>
      <c r="D103" s="952"/>
    </row>
    <row r="104" spans="1:4" hidden="1" x14ac:dyDescent="0.4">
      <c r="A104" s="1114" t="s">
        <v>232</v>
      </c>
      <c r="B104" s="1380">
        <v>0</v>
      </c>
      <c r="C104" s="978"/>
      <c r="D104" s="952"/>
    </row>
    <row r="105" spans="1:4" hidden="1" x14ac:dyDescent="0.4">
      <c r="A105" s="961"/>
      <c r="B105" s="1370"/>
      <c r="C105" s="962"/>
      <c r="D105" s="990"/>
    </row>
    <row r="106" spans="1:4" ht="15" hidden="1" customHeight="1" x14ac:dyDescent="0.4">
      <c r="A106" s="964">
        <v>2</v>
      </c>
      <c r="B106" s="1371">
        <f>SUM(B84:B104)</f>
        <v>0</v>
      </c>
      <c r="C106" s="965" t="s">
        <v>492</v>
      </c>
      <c r="D106" s="966"/>
    </row>
    <row r="107" spans="1:4" hidden="1" x14ac:dyDescent="0.4">
      <c r="A107" s="967"/>
      <c r="B107" s="1372"/>
      <c r="C107" s="968"/>
      <c r="D107" s="990"/>
    </row>
    <row r="108" spans="1:4" ht="13.2" hidden="1" customHeight="1" outlineLevel="1" x14ac:dyDescent="0.4">
      <c r="A108" s="1546" t="s">
        <v>57</v>
      </c>
      <c r="B108" s="1530"/>
      <c r="C108" s="1024"/>
      <c r="D108" s="1030"/>
    </row>
    <row r="109" spans="1:4" ht="51" hidden="1" customHeight="1" outlineLevel="1" x14ac:dyDescent="0.4">
      <c r="A109" s="862" t="s">
        <v>430</v>
      </c>
      <c r="B109" s="1380">
        <v>0</v>
      </c>
      <c r="C109" s="474" t="s">
        <v>511</v>
      </c>
      <c r="D109" s="1541" t="s">
        <v>480</v>
      </c>
    </row>
    <row r="110" spans="1:4" ht="51" hidden="1" customHeight="1" outlineLevel="1" x14ac:dyDescent="0.4">
      <c r="A110" s="862" t="s">
        <v>236</v>
      </c>
      <c r="B110" s="1380">
        <v>0</v>
      </c>
      <c r="C110" s="474"/>
      <c r="D110" s="1542"/>
    </row>
    <row r="111" spans="1:4" ht="45.6" hidden="1" customHeight="1" outlineLevel="1" x14ac:dyDescent="0.4">
      <c r="A111" s="862" t="s">
        <v>238</v>
      </c>
      <c r="B111" s="1380">
        <v>0</v>
      </c>
      <c r="C111" s="474" t="s">
        <v>1089</v>
      </c>
      <c r="D111" s="1542"/>
    </row>
    <row r="112" spans="1:4" ht="39.6" hidden="1" customHeight="1" outlineLevel="1" x14ac:dyDescent="0.4">
      <c r="A112" s="862" t="s">
        <v>240</v>
      </c>
      <c r="B112" s="1380">
        <v>0</v>
      </c>
      <c r="C112" s="474" t="s">
        <v>1066</v>
      </c>
      <c r="D112" s="1542"/>
    </row>
    <row r="113" spans="1:4" ht="67.5" hidden="1" customHeight="1" outlineLevel="1" x14ac:dyDescent="0.4">
      <c r="A113" s="862" t="s">
        <v>242</v>
      </c>
      <c r="B113" s="1380">
        <v>0</v>
      </c>
      <c r="C113" s="974" t="s">
        <v>1107</v>
      </c>
      <c r="D113" s="1542"/>
    </row>
    <row r="114" spans="1:4" ht="13.2" hidden="1" customHeight="1" outlineLevel="1" x14ac:dyDescent="0.4">
      <c r="A114" s="862" t="s">
        <v>244</v>
      </c>
      <c r="B114" s="1380">
        <v>0</v>
      </c>
      <c r="C114" s="974"/>
      <c r="D114" s="1542"/>
    </row>
    <row r="115" spans="1:4" ht="13.2" hidden="1" customHeight="1" outlineLevel="1" x14ac:dyDescent="0.4">
      <c r="A115" s="862" t="s">
        <v>246</v>
      </c>
      <c r="B115" s="1380">
        <v>0</v>
      </c>
      <c r="C115" s="974"/>
      <c r="D115" s="1542"/>
    </row>
    <row r="116" spans="1:4" ht="13.2" hidden="1" customHeight="1" outlineLevel="1" x14ac:dyDescent="0.4">
      <c r="A116" s="862" t="s">
        <v>248</v>
      </c>
      <c r="B116" s="1380">
        <v>0</v>
      </c>
      <c r="C116" s="974"/>
      <c r="D116" s="1542"/>
    </row>
    <row r="117" spans="1:4" ht="13.2" hidden="1" customHeight="1" outlineLevel="1" x14ac:dyDescent="0.4">
      <c r="A117" s="862" t="s">
        <v>411</v>
      </c>
      <c r="B117" s="1394">
        <v>0</v>
      </c>
      <c r="C117" s="974"/>
      <c r="D117" s="1542"/>
    </row>
    <row r="118" spans="1:4" ht="38.25" hidden="1" customHeight="1" outlineLevel="1" x14ac:dyDescent="0.4">
      <c r="A118" s="862" t="s">
        <v>246</v>
      </c>
      <c r="B118" s="1379"/>
      <c r="C118" s="974" t="s">
        <v>526</v>
      </c>
      <c r="D118" s="1543"/>
    </row>
    <row r="119" spans="1:4" ht="13.2" hidden="1" customHeight="1" outlineLevel="1" x14ac:dyDescent="0.4">
      <c r="A119" s="961"/>
      <c r="B119" s="1370"/>
      <c r="C119" s="997"/>
      <c r="D119" s="990"/>
    </row>
    <row r="120" spans="1:4" ht="15" hidden="1" customHeight="1" outlineLevel="1" x14ac:dyDescent="0.4">
      <c r="A120" s="964">
        <v>5</v>
      </c>
      <c r="B120" s="1371">
        <f>SUM(B109:B118)</f>
        <v>0</v>
      </c>
      <c r="C120" s="965" t="s">
        <v>492</v>
      </c>
      <c r="D120" s="966"/>
    </row>
    <row r="121" spans="1:4" ht="9" hidden="1" customHeight="1" collapsed="1" x14ac:dyDescent="0.4">
      <c r="A121" s="967"/>
      <c r="B121" s="1372"/>
      <c r="C121" s="968"/>
      <c r="D121" s="969"/>
    </row>
    <row r="122" spans="1:4" ht="12.75" hidden="1" customHeight="1" x14ac:dyDescent="0.4">
      <c r="A122" s="1539" t="s">
        <v>20</v>
      </c>
      <c r="B122" s="1540"/>
      <c r="C122" s="1031"/>
      <c r="D122" s="1032"/>
    </row>
    <row r="123" spans="1:4" ht="62.25" hidden="1" customHeight="1" x14ac:dyDescent="0.4">
      <c r="A123" s="1033" t="s">
        <v>353</v>
      </c>
      <c r="B123" s="1380">
        <v>0</v>
      </c>
      <c r="C123" s="987" t="s">
        <v>539</v>
      </c>
      <c r="D123" s="1544" t="s">
        <v>480</v>
      </c>
    </row>
    <row r="124" spans="1:4" ht="32.4" hidden="1" x14ac:dyDescent="0.4">
      <c r="A124" s="1033" t="s">
        <v>263</v>
      </c>
      <c r="B124" s="1380">
        <v>0</v>
      </c>
      <c r="C124" s="886" t="s">
        <v>509</v>
      </c>
      <c r="D124" s="1538"/>
    </row>
    <row r="125" spans="1:4" ht="30" hidden="1" customHeight="1" x14ac:dyDescent="0.4">
      <c r="A125" s="1033">
        <v>6.0301</v>
      </c>
      <c r="B125" s="1380">
        <v>0</v>
      </c>
      <c r="C125" s="886" t="s">
        <v>1094</v>
      </c>
      <c r="D125" s="1545"/>
    </row>
    <row r="126" spans="1:4" s="372" customFormat="1" ht="10.5" hidden="1" customHeight="1" outlineLevel="1" thickBot="1" x14ac:dyDescent="0.45">
      <c r="A126" s="1034"/>
      <c r="B126" s="1396"/>
      <c r="C126" s="1035"/>
      <c r="D126" s="952"/>
    </row>
    <row r="127" spans="1:4" ht="15" hidden="1" customHeight="1" collapsed="1" thickBot="1" x14ac:dyDescent="0.45">
      <c r="A127" s="1036">
        <v>6</v>
      </c>
      <c r="B127" s="1397">
        <f>SUM(B123:B125)</f>
        <v>0</v>
      </c>
      <c r="C127" s="1037" t="s">
        <v>492</v>
      </c>
      <c r="D127" s="1038"/>
    </row>
    <row r="128" spans="1:4" hidden="1" x14ac:dyDescent="0.4">
      <c r="A128" s="1039"/>
      <c r="B128" s="1398"/>
      <c r="C128" s="1040"/>
      <c r="D128" s="1041"/>
    </row>
    <row r="129" spans="1:4" ht="21" hidden="1" customHeight="1" outlineLevel="1" x14ac:dyDescent="0.4">
      <c r="A129" s="1351" t="s">
        <v>270</v>
      </c>
      <c r="B129" s="1399"/>
      <c r="C129" s="1042"/>
      <c r="D129" s="990"/>
    </row>
    <row r="130" spans="1:4" ht="356.4" hidden="1" outlineLevel="1" x14ac:dyDescent="0.4">
      <c r="A130" s="1128" t="s">
        <v>271</v>
      </c>
      <c r="B130" s="1400">
        <v>0</v>
      </c>
      <c r="C130" s="474" t="s">
        <v>1140</v>
      </c>
      <c r="D130" s="1010" t="s">
        <v>480</v>
      </c>
    </row>
    <row r="131" spans="1:4" ht="13.2" hidden="1" customHeight="1" outlineLevel="1" x14ac:dyDescent="0.4">
      <c r="A131" s="961"/>
      <c r="B131" s="1401"/>
      <c r="C131" s="1043"/>
      <c r="D131" s="990"/>
    </row>
    <row r="132" spans="1:4" ht="15" hidden="1" customHeight="1" outlineLevel="1" x14ac:dyDescent="0.4">
      <c r="A132" s="964">
        <v>9</v>
      </c>
      <c r="B132" s="1371">
        <f>SUM(B129:B130)</f>
        <v>0</v>
      </c>
      <c r="C132" s="965" t="s">
        <v>492</v>
      </c>
      <c r="D132" s="1012"/>
    </row>
    <row r="133" spans="1:4" ht="9.9" hidden="1" customHeight="1" outlineLevel="1" thickBot="1" x14ac:dyDescent="0.45">
      <c r="A133" s="925"/>
      <c r="B133" s="918"/>
      <c r="C133" s="1013"/>
      <c r="D133" s="1014"/>
    </row>
    <row r="134" spans="1:4" ht="18" hidden="1" customHeight="1" collapsed="1" thickBot="1" x14ac:dyDescent="0.45">
      <c r="A134" s="1015"/>
      <c r="B134" s="1391">
        <f>+B106+B81+B34+B120+B127+B132</f>
        <v>552019300</v>
      </c>
      <c r="C134" s="1016" t="s">
        <v>500</v>
      </c>
      <c r="D134" s="1017"/>
    </row>
    <row r="135" spans="1:4" ht="9" customHeight="1" thickBot="1" x14ac:dyDescent="0.45"/>
    <row r="136" spans="1:4" ht="19.95" customHeight="1" thickBot="1" x14ac:dyDescent="0.45">
      <c r="A136" s="1018"/>
      <c r="B136" s="1392">
        <f>+B127+B106+B81+B34+B120+B132</f>
        <v>552019300</v>
      </c>
      <c r="C136" s="1019" t="s">
        <v>502</v>
      </c>
      <c r="D136" s="1020"/>
    </row>
  </sheetData>
  <mergeCells count="14">
    <mergeCell ref="A83:C83"/>
    <mergeCell ref="C62:C63"/>
    <mergeCell ref="A2:D2"/>
    <mergeCell ref="A3:D3"/>
    <mergeCell ref="A4:D4"/>
    <mergeCell ref="A6:D6"/>
    <mergeCell ref="A12:C12"/>
    <mergeCell ref="D13:D31"/>
    <mergeCell ref="D62:D63"/>
    <mergeCell ref="D86:D91"/>
    <mergeCell ref="A122:B122"/>
    <mergeCell ref="D109:D118"/>
    <mergeCell ref="D123:D125"/>
    <mergeCell ref="A108:B108"/>
  </mergeCells>
  <printOptions horizontalCentered="1"/>
  <pageMargins left="0.78740157480314965" right="0.78740157480314965" top="0.59055118110236227" bottom="0.59055118110236227" header="0.59055118110236227" footer="0.59055118110236227"/>
  <pageSetup scale="78" firstPageNumber="31" orientation="portrait" useFirstPageNumber="1" r:id="rId1"/>
  <headerFooter>
    <oddFooter>&amp;C&amp;P</oddFooter>
  </headerFooter>
  <rowBreaks count="2" manualBreakCount="2">
    <brk id="35" max="16383" man="1"/>
    <brk id="61" max="1638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6">
    <tabColor theme="9" tint="-0.499984740745262"/>
  </sheetPr>
  <dimension ref="A2:H178"/>
  <sheetViews>
    <sheetView showGridLines="0" topLeftCell="A83" zoomScaleNormal="100" zoomScaleSheetLayoutView="100" workbookViewId="0">
      <selection activeCell="E62" sqref="E62"/>
    </sheetView>
  </sheetViews>
  <sheetFormatPr baseColWidth="10" defaultColWidth="11.44140625" defaultRowHeight="16.2" outlineLevelRow="1" outlineLevelCol="1" x14ac:dyDescent="0.4"/>
  <cols>
    <col min="1" max="1" width="10.6640625" style="1111" customWidth="1"/>
    <col min="2" max="2" width="18.88671875" style="1404" customWidth="1"/>
    <col min="3" max="3" width="76.33203125" style="362" customWidth="1"/>
    <col min="4" max="4" width="21.6640625" style="362" customWidth="1" outlineLevel="1"/>
    <col min="5" max="5" width="11.44140625" style="362" customWidth="1"/>
    <col min="6" max="7" width="11.44140625" style="362"/>
    <col min="8" max="8" width="11.88671875" style="362" bestFit="1" customWidth="1"/>
    <col min="9" max="16384" width="11.44140625" style="362"/>
  </cols>
  <sheetData>
    <row r="2" spans="1:4" x14ac:dyDescent="0.4">
      <c r="A2" s="1472" t="s">
        <v>0</v>
      </c>
      <c r="B2" s="1472"/>
      <c r="C2" s="1472"/>
      <c r="D2" s="1472"/>
    </row>
    <row r="3" spans="1:4" x14ac:dyDescent="0.4">
      <c r="A3" s="1472" t="s">
        <v>1276</v>
      </c>
      <c r="B3" s="1472"/>
      <c r="C3" s="1472"/>
      <c r="D3" s="1472"/>
    </row>
    <row r="4" spans="1:4" x14ac:dyDescent="0.4">
      <c r="A4" s="1472" t="s">
        <v>389</v>
      </c>
      <c r="B4" s="1472"/>
      <c r="C4" s="1472"/>
      <c r="D4" s="1472"/>
    </row>
    <row r="5" spans="1:4" ht="16.8" thickBot="1" x14ac:dyDescent="0.45">
      <c r="A5" s="941"/>
      <c r="B5" s="1402"/>
      <c r="C5" s="941"/>
      <c r="D5" s="942"/>
    </row>
    <row r="6" spans="1:4" ht="16.8" thickTop="1" x14ac:dyDescent="0.4">
      <c r="A6" s="1531" t="s">
        <v>475</v>
      </c>
      <c r="B6" s="1531"/>
      <c r="C6" s="1531"/>
      <c r="D6" s="1531"/>
    </row>
    <row r="7" spans="1:4" x14ac:dyDescent="0.4">
      <c r="A7" s="1123"/>
      <c r="B7" s="1403"/>
      <c r="C7" s="361"/>
      <c r="D7" s="435"/>
    </row>
    <row r="8" spans="1:4" x14ac:dyDescent="0.4">
      <c r="A8" s="1441" t="s">
        <v>503</v>
      </c>
      <c r="C8" s="361"/>
      <c r="D8" s="361"/>
    </row>
    <row r="9" spans="1:4" ht="16.8" thickBot="1" x14ac:dyDescent="0.45">
      <c r="A9" s="1123"/>
      <c r="C9" s="361"/>
      <c r="D9" s="361"/>
    </row>
    <row r="10" spans="1:4" ht="33" customHeight="1" thickBot="1" x14ac:dyDescent="0.45">
      <c r="A10" s="943" t="s">
        <v>476</v>
      </c>
      <c r="B10" s="1366" t="s">
        <v>477</v>
      </c>
      <c r="C10" s="944" t="s">
        <v>478</v>
      </c>
      <c r="D10" s="945" t="s">
        <v>479</v>
      </c>
    </row>
    <row r="11" spans="1:4" ht="9" customHeight="1" x14ac:dyDescent="0.4">
      <c r="A11" s="801"/>
      <c r="B11" s="1405"/>
      <c r="C11" s="946"/>
      <c r="D11" s="1044"/>
    </row>
    <row r="12" spans="1:4" x14ac:dyDescent="0.4">
      <c r="A12" s="1532" t="s">
        <v>53</v>
      </c>
      <c r="B12" s="1533"/>
      <c r="C12" s="1533"/>
      <c r="D12" s="1021"/>
    </row>
    <row r="13" spans="1:4" ht="113.4" x14ac:dyDescent="0.4">
      <c r="A13" s="949" t="s">
        <v>72</v>
      </c>
      <c r="B13" s="1378">
        <f>SUMIF(' CLASIFICACION DE GASTOS 2024'!$A$18:$A$220,$A13,' CLASIFICACION DE GASTOS 2024'!$E$18:$E$220)</f>
        <v>1814225000</v>
      </c>
      <c r="C13" s="950" t="s">
        <v>1315</v>
      </c>
      <c r="D13" s="1102" t="s">
        <v>480</v>
      </c>
    </row>
    <row r="14" spans="1:4" ht="77.099999999999994" customHeight="1" x14ac:dyDescent="0.4">
      <c r="A14" s="949" t="s">
        <v>73</v>
      </c>
      <c r="B14" s="1378">
        <f>SUMIF(' CLASIFICACION DE GASTOS 2024'!$A$18:$A$220,$A14,' CLASIFICACION DE GASTOS 2024'!$E$18:$E$220)</f>
        <v>1018754500</v>
      </c>
      <c r="C14" s="474" t="s">
        <v>1313</v>
      </c>
      <c r="D14" s="952"/>
    </row>
    <row r="15" spans="1:4" ht="53.25" hidden="1" customHeight="1" x14ac:dyDescent="0.4">
      <c r="A15" s="949" t="s">
        <v>391</v>
      </c>
      <c r="B15" s="1378">
        <f>SUMIF(' CLASIFICACION DE GASTOS 2024'!$A$18:$A$220,$A15,' CLASIFICACION DE GASTOS 2024'!$E$18:$E$220)</f>
        <v>0</v>
      </c>
      <c r="C15" s="474" t="s">
        <v>514</v>
      </c>
      <c r="D15" s="952"/>
    </row>
    <row r="16" spans="1:4" ht="55.5" customHeight="1" x14ac:dyDescent="0.4">
      <c r="A16" s="949" t="s">
        <v>76</v>
      </c>
      <c r="B16" s="1378">
        <f>SUMIF(' CLASIFICACION DE GASTOS 2024'!$A$18:$A$220,$A16,' CLASIFICACION DE GASTOS 2024'!$E$18:$E$220)</f>
        <v>162680000</v>
      </c>
      <c r="C16" s="886" t="s">
        <v>1056</v>
      </c>
      <c r="D16" s="953"/>
    </row>
    <row r="17" spans="1:4" ht="55.5" hidden="1" customHeight="1" x14ac:dyDescent="0.4">
      <c r="A17" s="949" t="s">
        <v>567</v>
      </c>
      <c r="B17" s="1378">
        <f>SUMIF(' CLASIFICACION DE GASTOS 2024'!$A$18:$A$220,$A17,' CLASIFICACION DE GASTOS 2024'!$E$18:$E$220)</f>
        <v>0</v>
      </c>
      <c r="C17" s="886" t="s">
        <v>1041</v>
      </c>
      <c r="D17" s="953"/>
    </row>
    <row r="18" spans="1:4" hidden="1" x14ac:dyDescent="0.4">
      <c r="A18" s="954" t="s">
        <v>77</v>
      </c>
      <c r="B18" s="1378">
        <f>SUMIF(' CLASIFICACION DE GASTOS 2024'!$A$18:$A$220,$A18,' CLASIFICACION DE GASTOS 2024'!$E$18:$E$220)</f>
        <v>0</v>
      </c>
      <c r="C18" s="886"/>
      <c r="D18" s="952"/>
    </row>
    <row r="19" spans="1:4" ht="46.2" customHeight="1" x14ac:dyDescent="0.4">
      <c r="A19" s="949" t="s">
        <v>80</v>
      </c>
      <c r="B19" s="1378">
        <f>SUMIF(' CLASIFICACION DE GASTOS 2024'!$A$18:$A$220,$A19,' CLASIFICACION DE GASTOS 2024'!$E$18:$E$220)</f>
        <v>269777500</v>
      </c>
      <c r="C19" s="886" t="s">
        <v>481</v>
      </c>
      <c r="D19" s="952"/>
    </row>
    <row r="20" spans="1:4" ht="39" customHeight="1" x14ac:dyDescent="0.4">
      <c r="A20" s="949" t="s">
        <v>82</v>
      </c>
      <c r="B20" s="1378">
        <f>SUMIF(' CLASIFICACION DE GASTOS 2024'!$A$18:$A$220,$A20,' CLASIFICACION DE GASTOS 2024'!$E$18:$E$220)</f>
        <v>247231000</v>
      </c>
      <c r="C20" s="474" t="s">
        <v>482</v>
      </c>
      <c r="D20" s="952"/>
    </row>
    <row r="21" spans="1:4" ht="35.25" customHeight="1" x14ac:dyDescent="0.4">
      <c r="A21" s="949" t="s">
        <v>84</v>
      </c>
      <c r="B21" s="1378">
        <f>SUMIF(' CLASIFICACION DE GASTOS 2024'!$A$18:$A$220,$A21,' CLASIFICACION DE GASTOS 2024'!$E$18:$E$220)</f>
        <v>320630500</v>
      </c>
      <c r="C21" s="474" t="s">
        <v>483</v>
      </c>
      <c r="D21" s="952"/>
    </row>
    <row r="22" spans="1:4" ht="33" customHeight="1" x14ac:dyDescent="0.4">
      <c r="A22" s="949" t="s">
        <v>86</v>
      </c>
      <c r="B22" s="1378">
        <f>SUMIF(' CLASIFICACION DE GASTOS 2024'!$A$18:$A$220,$A22,' CLASIFICACION DE GASTOS 2024'!$E$18:$E$220)</f>
        <v>280721000</v>
      </c>
      <c r="C22" s="474" t="s">
        <v>484</v>
      </c>
      <c r="D22" s="952"/>
    </row>
    <row r="23" spans="1:4" ht="63.75" customHeight="1" x14ac:dyDescent="0.4">
      <c r="A23" s="949" t="s">
        <v>87</v>
      </c>
      <c r="B23" s="1378">
        <f>SUMIF(' CLASIFICACION DE GASTOS 2024'!$A$18:$A$220,$A23,' CLASIFICACION DE GASTOS 2024'!$E$18:$E$220)</f>
        <v>54242000</v>
      </c>
      <c r="C23" s="886" t="s">
        <v>485</v>
      </c>
      <c r="D23" s="952"/>
    </row>
    <row r="24" spans="1:4" ht="27.75" customHeight="1" x14ac:dyDescent="0.4">
      <c r="A24" s="842" t="s">
        <v>90</v>
      </c>
      <c r="B24" s="1378">
        <f>SUMIF(' CLASIFICACION DE GASTOS 2024'!$A$18:$A$220,$A24,' CLASIFICACION DE GASTOS 2024'!$E$18:$E$220)</f>
        <v>355907000</v>
      </c>
      <c r="C24" s="474" t="s">
        <v>486</v>
      </c>
      <c r="D24" s="1022"/>
    </row>
    <row r="25" spans="1:4" ht="30" customHeight="1" x14ac:dyDescent="0.4">
      <c r="A25" s="842" t="s">
        <v>92</v>
      </c>
      <c r="B25" s="1378">
        <f>SUMIF(' CLASIFICACION DE GASTOS 2024'!$A$18:$A$220,$A25,' CLASIFICACION DE GASTOS 2024'!$E$18:$E$220)</f>
        <v>19238500</v>
      </c>
      <c r="C25" s="886" t="s">
        <v>487</v>
      </c>
      <c r="D25" s="1022"/>
    </row>
    <row r="26" spans="1:4" ht="28.5" customHeight="1" x14ac:dyDescent="0.4">
      <c r="A26" s="958" t="s">
        <v>93</v>
      </c>
      <c r="B26" s="1378">
        <f>SUMIF(' CLASIFICACION DE GASTOS 2024'!$A$18:$A$220,$A26,' CLASIFICACION DE GASTOS 2024'!$E$18:$E$220)</f>
        <v>57714500</v>
      </c>
      <c r="C26" s="956" t="s">
        <v>488</v>
      </c>
      <c r="D26" s="1022"/>
    </row>
    <row r="27" spans="1:4" ht="31.5" customHeight="1" x14ac:dyDescent="0.4">
      <c r="A27" s="842" t="s">
        <v>94</v>
      </c>
      <c r="B27" s="1378">
        <f>SUMIF(' CLASIFICACION DE GASTOS 2024'!$A$18:$A$220,$A27,' CLASIFICACION DE GASTOS 2024'!$E$18:$E$220)</f>
        <v>192382500</v>
      </c>
      <c r="C27" s="886" t="s">
        <v>489</v>
      </c>
      <c r="D27" s="1022"/>
    </row>
    <row r="28" spans="1:4" ht="29.25" customHeight="1" x14ac:dyDescent="0.4">
      <c r="A28" s="842" t="s">
        <v>96</v>
      </c>
      <c r="B28" s="1378">
        <f>SUMIF(' CLASIFICACION DE GASTOS 2024'!$A$18:$A$220,$A28,' CLASIFICACION DE GASTOS 2024'!$E$18:$E$220)</f>
        <v>19238500</v>
      </c>
      <c r="C28" s="886" t="s">
        <v>490</v>
      </c>
      <c r="D28" s="1022"/>
    </row>
    <row r="29" spans="1:4" ht="29.25" customHeight="1" x14ac:dyDescent="0.4">
      <c r="A29" s="842" t="s">
        <v>510</v>
      </c>
      <c r="B29" s="1378">
        <f>SUMIF(' CLASIFICACION DE GASTOS 2024'!$A$18:$A$220,$A29,' CLASIFICACION DE GASTOS 2024'!$E$18:$E$220)</f>
        <v>208541500</v>
      </c>
      <c r="C29" s="886" t="s">
        <v>1718</v>
      </c>
      <c r="D29" s="1022"/>
    </row>
    <row r="30" spans="1:4" ht="30.75" customHeight="1" x14ac:dyDescent="0.4">
      <c r="A30" s="958" t="s">
        <v>100</v>
      </c>
      <c r="B30" s="1378">
        <f>SUMIF(' CLASIFICACION DE GASTOS 2024'!$A$18:$A$220,$A30,' CLASIFICACION DE GASTOS 2024'!$E$18:$E$220)</f>
        <v>115429500</v>
      </c>
      <c r="C30" s="956" t="s">
        <v>491</v>
      </c>
      <c r="D30" s="1022"/>
    </row>
    <row r="31" spans="1:4" ht="64.8" x14ac:dyDescent="0.4">
      <c r="A31" s="958" t="s">
        <v>101</v>
      </c>
      <c r="B31" s="1378">
        <f>SUMIF(' CLASIFICACION DE GASTOS 2024'!$A$18:$A$220,$A31,' CLASIFICACION DE GASTOS 2024'!$E$18:$E$220)</f>
        <v>57714500</v>
      </c>
      <c r="C31" s="956" t="s">
        <v>1135</v>
      </c>
      <c r="D31" s="1022"/>
    </row>
    <row r="32" spans="1:4" ht="48.6" hidden="1" x14ac:dyDescent="0.4">
      <c r="A32" s="1045" t="s">
        <v>395</v>
      </c>
      <c r="B32" s="1406" t="e">
        <v>#REF!</v>
      </c>
      <c r="C32" s="1046" t="s">
        <v>540</v>
      </c>
      <c r="D32" s="1047"/>
    </row>
    <row r="33" spans="1:4" ht="9" customHeight="1" x14ac:dyDescent="0.4">
      <c r="A33" s="961"/>
      <c r="B33" s="1407"/>
      <c r="C33" s="962"/>
      <c r="D33" s="963"/>
    </row>
    <row r="34" spans="1:4" ht="15" customHeight="1" x14ac:dyDescent="0.4">
      <c r="A34" s="964">
        <v>0</v>
      </c>
      <c r="B34" s="1408">
        <f>SUM(B13:B31)</f>
        <v>5194428000</v>
      </c>
      <c r="C34" s="965" t="s">
        <v>492</v>
      </c>
      <c r="D34" s="966"/>
    </row>
    <row r="35" spans="1:4" ht="9" customHeight="1" x14ac:dyDescent="0.4">
      <c r="A35" s="967"/>
      <c r="B35" s="1383"/>
      <c r="C35" s="968"/>
      <c r="D35" s="969"/>
    </row>
    <row r="36" spans="1:4" ht="12" customHeight="1" x14ac:dyDescent="0.4">
      <c r="A36" s="1127" t="s">
        <v>54</v>
      </c>
      <c r="B36" s="1409"/>
      <c r="C36" s="1031"/>
      <c r="D36" s="1032"/>
    </row>
    <row r="37" spans="1:4" ht="63" customHeight="1" x14ac:dyDescent="0.4">
      <c r="A37" s="863" t="s">
        <v>106</v>
      </c>
      <c r="B37" s="1454">
        <f>SUMIF(' CLASIFICACION DE GASTOS 2024'!$A$18:$A$220,$A37,' CLASIFICACION DE GASTOS 2024'!$E$18:$E$220)</f>
        <v>124464900</v>
      </c>
      <c r="C37" s="474" t="s">
        <v>1248</v>
      </c>
      <c r="D37" s="1049" t="s">
        <v>480</v>
      </c>
    </row>
    <row r="38" spans="1:4" ht="56.25" customHeight="1" outlineLevel="1" x14ac:dyDescent="0.4">
      <c r="A38" s="863" t="s">
        <v>108</v>
      </c>
      <c r="B38" s="1454">
        <f>SUMIF(' CLASIFICACION DE GASTOS 2024'!$A$18:$A$220,$A38,' CLASIFICACION DE GASTOS 2024'!$E$18:$E$220)</f>
        <v>213880000</v>
      </c>
      <c r="C38" s="977" t="s">
        <v>1256</v>
      </c>
      <c r="D38" s="1049" t="s">
        <v>480</v>
      </c>
    </row>
    <row r="39" spans="1:4" ht="30" hidden="1" customHeight="1" outlineLevel="1" x14ac:dyDescent="0.4">
      <c r="A39" s="1025" t="s">
        <v>110</v>
      </c>
      <c r="B39" s="1467">
        <f>SUMIF(' CLASIFICACION DE GASTOS 2024'!$A$18:$A$220,$A39,' CLASIFICACION DE GASTOS 2024'!$E$18:$E$220)</f>
        <v>0</v>
      </c>
      <c r="C39" s="956" t="s">
        <v>1057</v>
      </c>
      <c r="D39" s="955"/>
    </row>
    <row r="40" spans="1:4" ht="12.75" hidden="1" customHeight="1" outlineLevel="1" x14ac:dyDescent="0.4">
      <c r="A40" s="863" t="s">
        <v>112</v>
      </c>
      <c r="B40" s="1454">
        <f>SUMIF(' CLASIFICACION DE GASTOS 2024'!$A$18:$A$220,$A40,' CLASIFICACION DE GASTOS 2024'!$E$18:$E$220)</f>
        <v>0</v>
      </c>
      <c r="C40" s="474"/>
      <c r="D40" s="955"/>
    </row>
    <row r="41" spans="1:4" ht="48" customHeight="1" outlineLevel="1" x14ac:dyDescent="0.4">
      <c r="A41" s="863" t="s">
        <v>116</v>
      </c>
      <c r="B41" s="1454">
        <f>SUMIF(' CLASIFICACION DE GASTOS 2024'!$A$18:$A$220,$A41,' CLASIFICACION DE GASTOS 2024'!$E$18:$E$220)</f>
        <v>5045900</v>
      </c>
      <c r="C41" s="474" t="s">
        <v>1053</v>
      </c>
      <c r="D41" s="955"/>
    </row>
    <row r="42" spans="1:4" s="372" customFormat="1" ht="51" customHeight="1" outlineLevel="1" x14ac:dyDescent="0.4">
      <c r="A42" s="863" t="s">
        <v>118</v>
      </c>
      <c r="B42" s="1454">
        <f>SUMIF(' CLASIFICACION DE GASTOS 2024'!$A$18:$A$220,$A42,' CLASIFICACION DE GASTOS 2024'!$E$18:$E$220)</f>
        <v>17846500</v>
      </c>
      <c r="C42" s="999" t="s">
        <v>1295</v>
      </c>
      <c r="D42" s="955"/>
    </row>
    <row r="43" spans="1:4" ht="42" hidden="1" customHeight="1" outlineLevel="1" x14ac:dyDescent="0.4">
      <c r="A43" s="863" t="s">
        <v>120</v>
      </c>
      <c r="B43" s="1454">
        <f>SUMIF(' CLASIFICACION DE GASTOS 2024'!$A$18:$A$220,$A43,' CLASIFICACION DE GASTOS 2024'!$E$18:$E$220)</f>
        <v>0</v>
      </c>
      <c r="C43" s="474" t="s">
        <v>1058</v>
      </c>
      <c r="D43" s="955"/>
    </row>
    <row r="44" spans="1:4" ht="139.5" customHeight="1" outlineLevel="1" x14ac:dyDescent="0.4">
      <c r="A44" s="863" t="s">
        <v>326</v>
      </c>
      <c r="B44" s="1454">
        <f>SUMIF(' CLASIFICACION DE GASTOS 2024'!$A$18:$A$220,$A44,' CLASIFICACION DE GASTOS 2024'!$E$18:$E$220)</f>
        <v>49072400</v>
      </c>
      <c r="C44" s="474" t="s">
        <v>1304</v>
      </c>
      <c r="D44" s="955"/>
    </row>
    <row r="45" spans="1:4" ht="12.75" hidden="1" customHeight="1" outlineLevel="1" x14ac:dyDescent="0.4">
      <c r="A45" s="1025" t="s">
        <v>123</v>
      </c>
      <c r="B45" s="1454">
        <f>SUMIF(' CLASIFICACION DE GASTOS 2024'!$A$18:$A$220,$A45,' CLASIFICACION DE GASTOS 2024'!$E$18:$E$220)</f>
        <v>0</v>
      </c>
      <c r="C45" s="974"/>
      <c r="D45" s="955"/>
    </row>
    <row r="46" spans="1:4" ht="24.75" hidden="1" customHeight="1" outlineLevel="1" x14ac:dyDescent="0.4">
      <c r="A46" s="863" t="s">
        <v>127</v>
      </c>
      <c r="B46" s="1454">
        <f>SUMIF(' CLASIFICACION DE GASTOS 2024'!$A$18:$A$220,$A46,' CLASIFICACION DE GASTOS 2024'!$E$18:$E$220)</f>
        <v>0</v>
      </c>
      <c r="C46" s="474" t="s">
        <v>1044</v>
      </c>
      <c r="D46" s="955"/>
    </row>
    <row r="47" spans="1:4" ht="48.75" hidden="1" customHeight="1" outlineLevel="1" x14ac:dyDescent="0.4">
      <c r="A47" s="1112" t="s">
        <v>129</v>
      </c>
      <c r="B47" s="1454">
        <f>SUMIF(' CLASIFICACION DE GASTOS 2024'!$A$18:$A$220,$A47,' CLASIFICACION DE GASTOS 2024'!$E$18:$E$220)</f>
        <v>0</v>
      </c>
      <c r="C47" s="988" t="s">
        <v>1257</v>
      </c>
      <c r="D47" s="955"/>
    </row>
    <row r="48" spans="1:4" ht="191.25" customHeight="1" outlineLevel="1" x14ac:dyDescent="0.4">
      <c r="A48" s="863" t="s">
        <v>131</v>
      </c>
      <c r="B48" s="1454">
        <f>SUMIF(' CLASIFICACION DE GASTOS 2024'!$A$18:$A$220,$A48,' CLASIFICACION DE GASTOS 2024'!$E$18:$E$220)</f>
        <v>9825000</v>
      </c>
      <c r="C48" s="474" t="s">
        <v>1126</v>
      </c>
      <c r="D48" s="955"/>
    </row>
    <row r="49" spans="1:4" ht="92.25" customHeight="1" outlineLevel="1" x14ac:dyDescent="0.4">
      <c r="A49" s="1025" t="s">
        <v>133</v>
      </c>
      <c r="B49" s="1454">
        <f>SUMIF(' CLASIFICACION DE GASTOS 2024'!$A$18:$A$220,$A49,' CLASIFICACION DE GASTOS 2024'!$E$18:$E$220)</f>
        <v>8810000</v>
      </c>
      <c r="C49" s="1427" t="s">
        <v>1127</v>
      </c>
      <c r="D49" s="955"/>
    </row>
    <row r="50" spans="1:4" ht="49.5" customHeight="1" outlineLevel="1" x14ac:dyDescent="0.4">
      <c r="A50" s="1025" t="s">
        <v>137</v>
      </c>
      <c r="B50" s="1454">
        <f>SUMIF(' CLASIFICACION DE GASTOS 2024'!$A$18:$A$220,$A50,' CLASIFICACION DE GASTOS 2024'!$E$18:$E$220)</f>
        <v>0</v>
      </c>
      <c r="C50" s="1427" t="s">
        <v>1045</v>
      </c>
      <c r="D50" s="955"/>
    </row>
    <row r="51" spans="1:4" ht="16.5" customHeight="1" outlineLevel="1" x14ac:dyDescent="0.4">
      <c r="A51" s="863" t="s">
        <v>397</v>
      </c>
      <c r="B51" s="1454">
        <f>SUMIF(' CLASIFICACION DE GASTOS 2024'!$A$18:$A$220,$A51,' CLASIFICACION DE GASTOS 2024'!$E$18:$E$220)</f>
        <v>0</v>
      </c>
      <c r="C51" s="474"/>
      <c r="D51" s="955"/>
    </row>
    <row r="52" spans="1:4" ht="113.25" customHeight="1" outlineLevel="1" x14ac:dyDescent="0.4">
      <c r="A52" s="863" t="s">
        <v>569</v>
      </c>
      <c r="B52" s="1454">
        <f>SUMIF(' CLASIFICACION DE GASTOS 2024'!$A$18:$A$220,$A52,' CLASIFICACION DE GASTOS 2024'!$E$18:$E$220)</f>
        <v>100000</v>
      </c>
      <c r="C52" s="474" t="s">
        <v>1059</v>
      </c>
      <c r="D52" s="957"/>
    </row>
    <row r="53" spans="1:4" ht="36" hidden="1" customHeight="1" outlineLevel="1" x14ac:dyDescent="0.4">
      <c r="A53" s="1025" t="s">
        <v>399</v>
      </c>
      <c r="B53" s="1467">
        <f>SUMIF(' CLASIFICACION DE GASTOS 2024'!$A$18:$A$220,$A53,' CLASIFICACION DE GASTOS 2024'!$E$18:$E$220)</f>
        <v>0</v>
      </c>
      <c r="C53" s="1466" t="s">
        <v>1067</v>
      </c>
      <c r="D53" s="955"/>
    </row>
    <row r="54" spans="1:4" ht="12.75" hidden="1" customHeight="1" outlineLevel="1" x14ac:dyDescent="0.4">
      <c r="A54" s="1025">
        <v>0</v>
      </c>
      <c r="B54" s="1454">
        <f>SUMIF(' CLASIFICACION DE GASTOS 2024'!$A$18:$A$220,$A54,' CLASIFICACION DE GASTOS 2024'!$E$18:$E$220)</f>
        <v>0</v>
      </c>
      <c r="C54" s="1427"/>
      <c r="D54" s="955"/>
    </row>
    <row r="55" spans="1:4" ht="12.75" hidden="1" customHeight="1" outlineLevel="1" x14ac:dyDescent="0.4">
      <c r="A55" s="1112" t="s">
        <v>343</v>
      </c>
      <c r="B55" s="1454">
        <f>SUMIF(' CLASIFICACION DE GASTOS 2024'!$A$18:$A$220,$A55,' CLASIFICACION DE GASTOS 2024'!$E$18:$E$220)</f>
        <v>0</v>
      </c>
      <c r="C55" s="1427"/>
      <c r="D55" s="955"/>
    </row>
    <row r="56" spans="1:4" ht="186" customHeight="1" outlineLevel="1" x14ac:dyDescent="0.4">
      <c r="A56" s="1025" t="s">
        <v>141</v>
      </c>
      <c r="B56" s="1454">
        <f>SUMIF(' CLASIFICACION DE GASTOS 2024'!$A$18:$A$220,$A56,' CLASIFICACION DE GASTOS 2024'!$E$18:$E$220)</f>
        <v>61000000</v>
      </c>
      <c r="C56" s="474" t="s">
        <v>1246</v>
      </c>
      <c r="D56" s="957" t="s">
        <v>480</v>
      </c>
    </row>
    <row r="57" spans="1:4" ht="66" customHeight="1" outlineLevel="1" x14ac:dyDescent="0.4">
      <c r="A57" s="1112" t="s">
        <v>143</v>
      </c>
      <c r="B57" s="1467">
        <f>SUMIF(' CLASIFICACION DE GASTOS 2024'!$A$18:$A$220,$A57,' CLASIFICACION DE GASTOS 2024'!$E$18:$E$220)</f>
        <v>0</v>
      </c>
      <c r="C57" s="1429" t="s">
        <v>1321</v>
      </c>
      <c r="D57" s="955"/>
    </row>
    <row r="58" spans="1:4" ht="201" customHeight="1" outlineLevel="1" x14ac:dyDescent="0.4">
      <c r="A58" s="863" t="s">
        <v>145</v>
      </c>
      <c r="B58" s="1454">
        <f>SUMIF(' CLASIFICACION DE GASTOS 2024'!$A$18:$A$220,$A58,' CLASIFICACION DE GASTOS 2024'!$E$18:$E$220)</f>
        <v>41140600</v>
      </c>
      <c r="C58" s="474" t="s">
        <v>1733</v>
      </c>
      <c r="D58" s="955"/>
    </row>
    <row r="59" spans="1:4" ht="189" customHeight="1" outlineLevel="1" x14ac:dyDescent="0.4">
      <c r="A59" s="863" t="s">
        <v>147</v>
      </c>
      <c r="B59" s="1454">
        <f>SUMIF(' CLASIFICACION DE GASTOS 2024'!$A$18:$A$220,$A59,' CLASIFICACION DE GASTOS 2024'!$E$18:$E$220)</f>
        <v>260000000</v>
      </c>
      <c r="C59" s="1048" t="s">
        <v>1738</v>
      </c>
      <c r="D59" s="955"/>
    </row>
    <row r="60" spans="1:4" ht="16.5" hidden="1" customHeight="1" outlineLevel="1" x14ac:dyDescent="0.4">
      <c r="A60" s="1352" t="s">
        <v>147</v>
      </c>
      <c r="B60" s="1454"/>
      <c r="C60" s="1427" t="s">
        <v>382</v>
      </c>
      <c r="D60" s="955"/>
    </row>
    <row r="61" spans="1:4" ht="44.25" customHeight="1" outlineLevel="1" x14ac:dyDescent="0.4">
      <c r="A61" s="863" t="s">
        <v>151</v>
      </c>
      <c r="B61" s="1454">
        <f>SUMIF(' CLASIFICACION DE GASTOS 2024'!$A$18:$A$220,$A61,' CLASIFICACION DE GASTOS 2024'!$E$18:$E$220)</f>
        <v>13547500</v>
      </c>
      <c r="C61" s="474" t="s">
        <v>1129</v>
      </c>
      <c r="D61" s="955"/>
    </row>
    <row r="62" spans="1:4" ht="66.75" customHeight="1" outlineLevel="1" x14ac:dyDescent="0.4">
      <c r="A62" s="863" t="s">
        <v>153</v>
      </c>
      <c r="B62" s="1454">
        <f>SUMIF(' CLASIFICACION DE GASTOS 2024'!$A$18:$A$220,$A62,' CLASIFICACION DE GASTOS 2024'!$E$18:$E$220)</f>
        <v>704437200</v>
      </c>
      <c r="C62" s="474" t="s">
        <v>1128</v>
      </c>
      <c r="D62" s="957"/>
    </row>
    <row r="63" spans="1:4" ht="243.75" customHeight="1" outlineLevel="1" x14ac:dyDescent="0.4">
      <c r="A63" s="863" t="s">
        <v>155</v>
      </c>
      <c r="B63" s="1454">
        <f>SUMIF(' CLASIFICACION DE GASTOS 2024'!$A$18:$A$220,$A63,' CLASIFICACION DE GASTOS 2024'!$E$18:$E$220)</f>
        <v>4800000</v>
      </c>
      <c r="C63" s="474" t="s">
        <v>1739</v>
      </c>
      <c r="D63" s="1049" t="s">
        <v>480</v>
      </c>
    </row>
    <row r="64" spans="1:4" ht="234" customHeight="1" outlineLevel="1" x14ac:dyDescent="0.4">
      <c r="A64" s="1025" t="s">
        <v>157</v>
      </c>
      <c r="B64" s="1467">
        <f>SUMIF(' CLASIFICACION DE GASTOS 2024'!$A$18:$A$220,$A64,' CLASIFICACION DE GASTOS 2024'!$E$18:$E$220)</f>
        <v>12380000</v>
      </c>
      <c r="C64" s="1468" t="s">
        <v>1743</v>
      </c>
      <c r="D64" s="955" t="s">
        <v>480</v>
      </c>
    </row>
    <row r="65" spans="1:4" ht="156" customHeight="1" outlineLevel="1" x14ac:dyDescent="0.4">
      <c r="A65" s="863" t="s">
        <v>160</v>
      </c>
      <c r="B65" s="1454">
        <f>SUMIF(' CLASIFICACION DE GASTOS 2024'!$A$18:$A$220,$A65,' CLASIFICACION DE GASTOS 2024'!$E$18:$E$220)</f>
        <v>78656600</v>
      </c>
      <c r="C65" s="1428" t="s">
        <v>1317</v>
      </c>
      <c r="D65" s="955"/>
    </row>
    <row r="66" spans="1:4" ht="48.6" outlineLevel="1" x14ac:dyDescent="0.4">
      <c r="A66" s="863" t="s">
        <v>164</v>
      </c>
      <c r="B66" s="1454">
        <f>SUMIF(' CLASIFICACION DE GASTOS 2024'!$A$18:$A$220,$A66,' CLASIFICACION DE GASTOS 2024'!$E$18:$E$220)</f>
        <v>23170000</v>
      </c>
      <c r="C66" s="474" t="s">
        <v>1130</v>
      </c>
      <c r="D66" s="955"/>
    </row>
    <row r="67" spans="1:4" ht="12.75" hidden="1" customHeight="1" outlineLevel="1" x14ac:dyDescent="0.4">
      <c r="A67" s="1025" t="s">
        <v>166</v>
      </c>
      <c r="B67" s="1454">
        <f>SUMIF(' CLASIFICACION DE GASTOS 2024'!$A$18:$A$220,$A67,' CLASIFICACION DE GASTOS 2024'!$E$18:$E$220)</f>
        <v>0</v>
      </c>
      <c r="C67" s="1428"/>
      <c r="D67" s="955"/>
    </row>
    <row r="68" spans="1:4" ht="12.75" hidden="1" customHeight="1" outlineLevel="1" x14ac:dyDescent="0.4">
      <c r="A68" s="863" t="s">
        <v>168</v>
      </c>
      <c r="B68" s="1454">
        <f>SUMIF(' CLASIFICACION DE GASTOS 2024'!$A$18:$A$220,$A68,' CLASIFICACION DE GASTOS 2024'!$E$18:$E$220)</f>
        <v>0</v>
      </c>
      <c r="C68" s="474"/>
      <c r="D68" s="955"/>
    </row>
    <row r="69" spans="1:4" ht="12.75" hidden="1" customHeight="1" outlineLevel="1" x14ac:dyDescent="0.4">
      <c r="A69" s="863" t="s">
        <v>172</v>
      </c>
      <c r="B69" s="1454">
        <f>SUMIF(' CLASIFICACION DE GASTOS 2024'!$A$18:$A$220,$A69,' CLASIFICACION DE GASTOS 2024'!$E$18:$E$220)</f>
        <v>0</v>
      </c>
      <c r="C69" s="474"/>
      <c r="D69" s="955"/>
    </row>
    <row r="70" spans="1:4" ht="12.75" hidden="1" customHeight="1" outlineLevel="1" x14ac:dyDescent="0.4">
      <c r="A70" s="863" t="s">
        <v>174</v>
      </c>
      <c r="B70" s="1454">
        <f>SUMIF(' CLASIFICACION DE GASTOS 2024'!$A$18:$A$220,$A70,' CLASIFICACION DE GASTOS 2024'!$E$18:$E$220)</f>
        <v>0</v>
      </c>
      <c r="C70" s="474"/>
      <c r="D70" s="955"/>
    </row>
    <row r="71" spans="1:4" ht="12.75" hidden="1" customHeight="1" outlineLevel="1" x14ac:dyDescent="0.4">
      <c r="A71" s="863" t="s">
        <v>402</v>
      </c>
      <c r="B71" s="1454">
        <f>SUMIF(' CLASIFICACION DE GASTOS 2024'!$A$18:$A$220,$A71,' CLASIFICACION DE GASTOS 2024'!$E$18:$E$220)</f>
        <v>0</v>
      </c>
      <c r="C71" s="474"/>
      <c r="D71" s="955"/>
    </row>
    <row r="72" spans="1:4" ht="48.75" customHeight="1" outlineLevel="1" x14ac:dyDescent="0.4">
      <c r="A72" s="863" t="s">
        <v>176</v>
      </c>
      <c r="B72" s="1454">
        <f>SUMIF(' CLASIFICACION DE GASTOS 2024'!$A$18:$A$220,$A72,' CLASIFICACION DE GASTOS 2024'!$E$18:$E$220)</f>
        <v>72860000</v>
      </c>
      <c r="C72" s="474" t="s">
        <v>1048</v>
      </c>
      <c r="D72" s="957"/>
    </row>
    <row r="73" spans="1:4" hidden="1" outlineLevel="1" x14ac:dyDescent="0.4">
      <c r="A73" s="863" t="s">
        <v>178</v>
      </c>
      <c r="B73" s="1374">
        <v>0</v>
      </c>
      <c r="C73" s="474"/>
      <c r="D73" s="952"/>
    </row>
    <row r="74" spans="1:4" hidden="1" outlineLevel="1" x14ac:dyDescent="0.4">
      <c r="A74" s="863" t="s">
        <v>180</v>
      </c>
      <c r="B74" s="1374">
        <v>0</v>
      </c>
      <c r="C74" s="474"/>
      <c r="D74" s="952"/>
    </row>
    <row r="75" spans="1:4" ht="53.25" hidden="1" customHeight="1" outlineLevel="1" x14ac:dyDescent="0.4">
      <c r="A75" s="863" t="s">
        <v>182</v>
      </c>
      <c r="B75" s="1374">
        <v>0</v>
      </c>
      <c r="C75" s="474" t="s">
        <v>1103</v>
      </c>
      <c r="D75" s="952"/>
    </row>
    <row r="76" spans="1:4" hidden="1" outlineLevel="1" x14ac:dyDescent="0.4">
      <c r="A76" s="863" t="s">
        <v>183</v>
      </c>
      <c r="B76" s="1374">
        <v>0</v>
      </c>
      <c r="C76" s="474"/>
      <c r="D76" s="952"/>
    </row>
    <row r="77" spans="1:4" hidden="1" outlineLevel="1" x14ac:dyDescent="0.4">
      <c r="A77" s="863" t="s">
        <v>406</v>
      </c>
      <c r="B77" s="1374">
        <v>0</v>
      </c>
      <c r="C77" s="474" t="s">
        <v>1049</v>
      </c>
      <c r="D77" s="975"/>
    </row>
    <row r="78" spans="1:4" hidden="1" outlineLevel="1" x14ac:dyDescent="0.4">
      <c r="A78" s="1025" t="s">
        <v>408</v>
      </c>
      <c r="B78" s="1375">
        <v>0</v>
      </c>
      <c r="C78" s="974"/>
      <c r="D78" s="952"/>
    </row>
    <row r="79" spans="1:4" ht="32.4" hidden="1" outlineLevel="1" x14ac:dyDescent="0.4">
      <c r="A79" s="863" t="s">
        <v>187</v>
      </c>
      <c r="B79" s="1374">
        <v>0</v>
      </c>
      <c r="C79" s="474" t="s">
        <v>1050</v>
      </c>
      <c r="D79" s="952"/>
    </row>
    <row r="80" spans="1:4" ht="18.75" hidden="1" customHeight="1" outlineLevel="1" x14ac:dyDescent="0.4">
      <c r="A80" s="863" t="s">
        <v>189</v>
      </c>
      <c r="B80" s="1374">
        <v>0</v>
      </c>
      <c r="C80" s="474" t="s">
        <v>1104</v>
      </c>
      <c r="D80" s="989"/>
    </row>
    <row r="81" spans="1:8" ht="8.1" hidden="1" customHeight="1" x14ac:dyDescent="0.4">
      <c r="A81" s="1025"/>
      <c r="B81" s="1410"/>
      <c r="C81" s="1050" t="s">
        <v>382</v>
      </c>
      <c r="D81" s="1051"/>
    </row>
    <row r="82" spans="1:8" ht="7.5" hidden="1" customHeight="1" outlineLevel="1" x14ac:dyDescent="0.4">
      <c r="A82" s="1025"/>
      <c r="B82" s="1410"/>
      <c r="C82" s="1052"/>
      <c r="D82" s="975"/>
    </row>
    <row r="83" spans="1:8" ht="9" customHeight="1" collapsed="1" x14ac:dyDescent="0.4">
      <c r="A83" s="1128"/>
      <c r="B83" s="1386"/>
      <c r="C83" s="983"/>
      <c r="D83" s="975"/>
    </row>
    <row r="84" spans="1:8" ht="15" customHeight="1" x14ac:dyDescent="0.4">
      <c r="A84" s="984">
        <v>1</v>
      </c>
      <c r="B84" s="1387">
        <f>SUM(B37:B72)</f>
        <v>1701036600</v>
      </c>
      <c r="C84" s="985" t="s">
        <v>492</v>
      </c>
      <c r="D84" s="966"/>
      <c r="H84" s="384"/>
    </row>
    <row r="85" spans="1:8" ht="9" customHeight="1" x14ac:dyDescent="0.4">
      <c r="A85" s="967"/>
      <c r="B85" s="1383"/>
      <c r="C85" s="968"/>
      <c r="D85" s="969"/>
    </row>
    <row r="86" spans="1:8" ht="12.75" customHeight="1" x14ac:dyDescent="0.4">
      <c r="A86" s="1529" t="s">
        <v>22</v>
      </c>
      <c r="B86" s="1547"/>
      <c r="C86" s="1547"/>
      <c r="D86" s="986"/>
    </row>
    <row r="87" spans="1:8" ht="48.6" x14ac:dyDescent="0.4">
      <c r="A87" s="862" t="s">
        <v>193</v>
      </c>
      <c r="B87" s="1378">
        <f>SUMIF(' CLASIFICACION DE GASTOS 2024'!$A$18:$A$220,$A87,' CLASIFICACION DE GASTOS 2024'!$E$18:$E$220)</f>
        <v>120500340.8</v>
      </c>
      <c r="C87" s="1053" t="s">
        <v>557</v>
      </c>
      <c r="D87" s="979" t="s">
        <v>480</v>
      </c>
    </row>
    <row r="88" spans="1:8" ht="48.6" x14ac:dyDescent="0.4">
      <c r="A88" s="862" t="s">
        <v>195</v>
      </c>
      <c r="B88" s="1378">
        <f>SUMIF(' CLASIFICACION DE GASTOS 2024'!$A$18:$A$220,$A88,' CLASIFICACION DE GASTOS 2024'!$E$18:$E$220)</f>
        <v>3652500</v>
      </c>
      <c r="C88" s="1053" t="s">
        <v>504</v>
      </c>
      <c r="D88" s="957"/>
    </row>
    <row r="89" spans="1:8" ht="49.5" customHeight="1" x14ac:dyDescent="0.4">
      <c r="A89" s="1113" t="s">
        <v>197</v>
      </c>
      <c r="B89" s="1379">
        <f>SUMIF(' CLASIFICACION DE GASTOS 2024'!$A$18:$A$220,$A89,' CLASIFICACION DE GASTOS 2024'!$E$18:$E$220)</f>
        <v>640000</v>
      </c>
      <c r="C89" s="1050" t="s">
        <v>508</v>
      </c>
      <c r="D89" s="1523" t="s">
        <v>480</v>
      </c>
    </row>
    <row r="90" spans="1:8" ht="12.75" hidden="1" customHeight="1" x14ac:dyDescent="0.4">
      <c r="A90" s="1113" t="s">
        <v>199</v>
      </c>
      <c r="B90" s="1378">
        <f>SUMIF(' CLASIFICACION DE GASTOS 2024'!$A$18:$A$220,$A90,' CLASIFICACION DE GASTOS 2024'!$E$18:$E$220)</f>
        <v>0</v>
      </c>
      <c r="C90" s="1050"/>
      <c r="D90" s="1523"/>
    </row>
    <row r="91" spans="1:8" ht="54" hidden="1" customHeight="1" outlineLevel="1" x14ac:dyDescent="0.4">
      <c r="A91" s="862" t="s">
        <v>351</v>
      </c>
      <c r="B91" s="1378">
        <f>SUMIF(' CLASIFICACION DE GASTOS 2024'!$A$18:$A$220,$A91,' CLASIFICACION DE GASTOS 2024'!$E$18:$E$220)</f>
        <v>0</v>
      </c>
      <c r="C91" s="1053" t="s">
        <v>1105</v>
      </c>
      <c r="D91" s="1523"/>
    </row>
    <row r="92" spans="1:8" ht="31.5" hidden="1" customHeight="1" outlineLevel="1" x14ac:dyDescent="0.4">
      <c r="A92" s="862" t="s">
        <v>202</v>
      </c>
      <c r="B92" s="1378">
        <f>SUMIF(' CLASIFICACION DE GASTOS 2024'!$A$18:$A$220,$A92,' CLASIFICACION DE GASTOS 2024'!$E$18:$E$220)</f>
        <v>0</v>
      </c>
      <c r="C92" s="1053" t="s">
        <v>515</v>
      </c>
      <c r="D92" s="1523"/>
    </row>
    <row r="93" spans="1:8" ht="12.75" hidden="1" customHeight="1" collapsed="1" x14ac:dyDescent="0.4">
      <c r="A93" s="862" t="s">
        <v>204</v>
      </c>
      <c r="B93" s="1378">
        <f>SUMIF(' CLASIFICACION DE GASTOS 2024'!$A$18:$A$220,$A93,' CLASIFICACION DE GASTOS 2024'!$E$18:$E$220)</f>
        <v>0</v>
      </c>
      <c r="C93" s="1053"/>
      <c r="D93" s="1523"/>
    </row>
    <row r="94" spans="1:8" ht="48.6" x14ac:dyDescent="0.4">
      <c r="A94" s="862" t="s">
        <v>206</v>
      </c>
      <c r="B94" s="1378">
        <f>SUMIF(' CLASIFICACION DE GASTOS 2024'!$A$18:$A$220,$A94,' CLASIFICACION DE GASTOS 2024'!$E$18:$E$220)</f>
        <v>8510000</v>
      </c>
      <c r="C94" s="1053" t="s">
        <v>558</v>
      </c>
      <c r="D94" s="1523"/>
    </row>
    <row r="95" spans="1:8" ht="12.75" hidden="1" customHeight="1" x14ac:dyDescent="0.4">
      <c r="A95" s="862" t="s">
        <v>208</v>
      </c>
      <c r="B95" s="1378">
        <f>SUMIF(' CLASIFICACION DE GASTOS 2024'!$A$18:$A$220,$A95,' CLASIFICACION DE GASTOS 2024'!$E$18:$E$220)</f>
        <v>0</v>
      </c>
      <c r="C95" s="1053"/>
      <c r="D95" s="955"/>
    </row>
    <row r="96" spans="1:8" ht="25.5" hidden="1" customHeight="1" x14ac:dyDescent="0.4">
      <c r="A96" s="862" t="s">
        <v>210</v>
      </c>
      <c r="B96" s="1378">
        <f>SUMIF(' CLASIFICACION DE GASTOS 2024'!$A$18:$A$220,$A96,' CLASIFICACION DE GASTOS 2024'!$E$18:$E$220)</f>
        <v>0</v>
      </c>
      <c r="C96" s="1053" t="s">
        <v>493</v>
      </c>
      <c r="D96" s="955"/>
    </row>
    <row r="97" spans="1:4" ht="12.75" hidden="1" customHeight="1" x14ac:dyDescent="0.4">
      <c r="A97" s="862" t="s">
        <v>212</v>
      </c>
      <c r="B97" s="1378">
        <f>SUMIF(' CLASIFICACION DE GASTOS 2024'!$A$18:$A$220,$A97,' CLASIFICACION DE GASTOS 2024'!$E$18:$E$220)</f>
        <v>0</v>
      </c>
      <c r="C97" s="1053"/>
      <c r="D97" s="955"/>
    </row>
    <row r="98" spans="1:4" ht="12.75" hidden="1" customHeight="1" x14ac:dyDescent="0.4">
      <c r="A98" s="862"/>
      <c r="B98" s="1378">
        <f>SUMIF(' CLASIFICACION DE GASTOS 2024'!$A$18:$A$220,$A98,' CLASIFICACION DE GASTOS 2024'!$E$18:$E$220)</f>
        <v>0</v>
      </c>
      <c r="C98" s="1053"/>
      <c r="D98" s="955"/>
    </row>
    <row r="99" spans="1:4" ht="12.75" hidden="1" customHeight="1" x14ac:dyDescent="0.4">
      <c r="A99" s="862" t="s">
        <v>216</v>
      </c>
      <c r="B99" s="1378">
        <f>SUMIF(' CLASIFICACION DE GASTOS 2024'!$A$18:$A$220,$A99,' CLASIFICACION DE GASTOS 2024'!$E$18:$E$220)</f>
        <v>0</v>
      </c>
      <c r="C99" s="1053"/>
      <c r="D99" s="955"/>
    </row>
    <row r="100" spans="1:4" ht="64.8" x14ac:dyDescent="0.4">
      <c r="A100" s="862" t="s">
        <v>218</v>
      </c>
      <c r="B100" s="1378">
        <f>SUMIF(' CLASIFICACION DE GASTOS 2024'!$A$18:$A$220,$A100,' CLASIFICACION DE GASTOS 2024'!$E$18:$E$220)</f>
        <v>14519000</v>
      </c>
      <c r="C100" s="1053" t="s">
        <v>494</v>
      </c>
      <c r="D100" s="955"/>
    </row>
    <row r="101" spans="1:4" ht="30.75" customHeight="1" x14ac:dyDescent="0.4">
      <c r="A101" s="862" t="s">
        <v>221</v>
      </c>
      <c r="B101" s="1378">
        <f>SUMIF(' CLASIFICACION DE GASTOS 2024'!$A$18:$A$220,$A101,' CLASIFICACION DE GASTOS 2024'!$E$18:$E$220)</f>
        <v>681050</v>
      </c>
      <c r="C101" s="1053" t="s">
        <v>1322</v>
      </c>
      <c r="D101" s="955"/>
    </row>
    <row r="102" spans="1:4" ht="44.25" hidden="1" customHeight="1" x14ac:dyDescent="0.4">
      <c r="A102" s="862" t="s">
        <v>223</v>
      </c>
      <c r="B102" s="1378">
        <f>SUMIF(' CLASIFICACION DE GASTOS 2024'!$A$18:$A$220,$A102,' CLASIFICACION DE GASTOS 2024'!$E$18:$E$220)</f>
        <v>0</v>
      </c>
      <c r="C102" s="1053" t="s">
        <v>496</v>
      </c>
      <c r="D102" s="955"/>
    </row>
    <row r="103" spans="1:4" ht="32.4" x14ac:dyDescent="0.4">
      <c r="A103" s="862" t="s">
        <v>224</v>
      </c>
      <c r="B103" s="1378">
        <f>SUMIF(' CLASIFICACION DE GASTOS 2024'!$A$18:$A$220,$A103,' CLASIFICACION DE GASTOS 2024'!$E$18:$E$220)</f>
        <v>395500</v>
      </c>
      <c r="C103" s="1053" t="s">
        <v>497</v>
      </c>
      <c r="D103" s="955"/>
    </row>
    <row r="104" spans="1:4" ht="48.6" x14ac:dyDescent="0.4">
      <c r="A104" s="862" t="s">
        <v>226</v>
      </c>
      <c r="B104" s="1378">
        <f>SUMIF(' CLASIFICACION DE GASTOS 2024'!$A$18:$A$220,$A104,' CLASIFICACION DE GASTOS 2024'!$E$18:$E$220)</f>
        <v>11362300</v>
      </c>
      <c r="C104" s="1053" t="s">
        <v>1734</v>
      </c>
      <c r="D104" s="957"/>
    </row>
    <row r="105" spans="1:4" ht="32.4" x14ac:dyDescent="0.4">
      <c r="A105" s="1113" t="s">
        <v>228</v>
      </c>
      <c r="B105" s="1379">
        <f>SUMIF(' CLASIFICACION DE GASTOS 2024'!$A$18:$A$220,$A105,' CLASIFICACION DE GASTOS 2024'!$E$18:$E$220)</f>
        <v>450540</v>
      </c>
      <c r="C105" s="1050" t="s">
        <v>1728</v>
      </c>
      <c r="D105" s="955"/>
    </row>
    <row r="106" spans="1:4" ht="19.5" hidden="1" customHeight="1" x14ac:dyDescent="0.4">
      <c r="A106" s="1113" t="s">
        <v>230</v>
      </c>
      <c r="B106" s="1378">
        <f>SUMIF(' CLASIFICACION DE GASTOS 2024'!$A$18:$A$220,$A106,' CLASIFICACION DE GASTOS 2024'!$E$18:$E$220)</f>
        <v>0</v>
      </c>
      <c r="C106" s="1050" t="s">
        <v>556</v>
      </c>
      <c r="D106" s="955"/>
    </row>
    <row r="107" spans="1:4" ht="8.25" hidden="1" customHeight="1" x14ac:dyDescent="0.4">
      <c r="A107" s="862" t="s">
        <v>366</v>
      </c>
      <c r="B107" s="1378">
        <f>SUMIF(' CLASIFICACION DE GASTOS 2024'!$A$18:$A$220,$A107,' CLASIFICACION DE GASTOS 2024'!$E$18:$E$220)</f>
        <v>0</v>
      </c>
      <c r="C107" s="1053"/>
      <c r="D107" s="955"/>
    </row>
    <row r="108" spans="1:4" ht="48.6" x14ac:dyDescent="0.4">
      <c r="A108" s="862" t="s">
        <v>232</v>
      </c>
      <c r="B108" s="1378">
        <f>SUMIF(' CLASIFICACION DE GASTOS 2024'!$A$18:$A$220,$A108,' CLASIFICACION DE GASTOS 2024'!$E$18:$E$220)</f>
        <v>420000</v>
      </c>
      <c r="C108" s="1053" t="s">
        <v>1306</v>
      </c>
      <c r="D108" s="957"/>
    </row>
    <row r="109" spans="1:4" ht="37.5" hidden="1" customHeight="1" x14ac:dyDescent="0.4">
      <c r="A109" s="1034">
        <v>0</v>
      </c>
      <c r="B109" s="1382"/>
      <c r="C109" s="1053"/>
      <c r="D109" s="952"/>
    </row>
    <row r="110" spans="1:4" ht="8.1" hidden="1" customHeight="1" x14ac:dyDescent="0.4">
      <c r="A110" s="1034"/>
      <c r="B110" s="1382"/>
      <c r="C110" s="1053"/>
      <c r="D110" s="952"/>
    </row>
    <row r="111" spans="1:4" ht="12.75" hidden="1" customHeight="1" x14ac:dyDescent="0.4">
      <c r="A111" s="1034"/>
      <c r="B111" s="1382"/>
      <c r="C111" s="1053"/>
      <c r="D111" s="952"/>
    </row>
    <row r="112" spans="1:4" ht="8.1" hidden="1" customHeight="1" x14ac:dyDescent="0.4">
      <c r="A112" s="1034"/>
      <c r="B112" s="1382"/>
      <c r="C112" s="1053" t="s">
        <v>382</v>
      </c>
      <c r="D112" s="952"/>
    </row>
    <row r="113" spans="1:4" ht="47.4" hidden="1" customHeight="1" x14ac:dyDescent="0.4">
      <c r="A113" s="1034"/>
      <c r="B113" s="1558"/>
      <c r="C113" s="1053"/>
      <c r="D113" s="952"/>
    </row>
    <row r="114" spans="1:4" ht="8.1" hidden="1" customHeight="1" x14ac:dyDescent="0.4">
      <c r="A114" s="1034"/>
      <c r="B114" s="1558"/>
      <c r="C114" s="1053"/>
      <c r="D114" s="952"/>
    </row>
    <row r="115" spans="1:4" ht="12.75" hidden="1" customHeight="1" x14ac:dyDescent="0.4">
      <c r="A115" s="1034"/>
      <c r="B115" s="1558"/>
      <c r="C115" s="1053"/>
      <c r="D115" s="952"/>
    </row>
    <row r="116" spans="1:4" ht="8.1" hidden="1" customHeight="1" x14ac:dyDescent="0.4">
      <c r="A116" s="1034"/>
      <c r="B116" s="1558"/>
      <c r="C116" s="1053"/>
      <c r="D116" s="952"/>
    </row>
    <row r="117" spans="1:4" ht="12.75" hidden="1" customHeight="1" x14ac:dyDescent="0.4">
      <c r="A117" s="1034"/>
      <c r="B117" s="1558"/>
      <c r="C117" s="1053"/>
      <c r="D117" s="952"/>
    </row>
    <row r="118" spans="1:4" ht="12.75" hidden="1" customHeight="1" x14ac:dyDescent="0.4">
      <c r="A118" s="1034"/>
      <c r="B118" s="1558"/>
      <c r="C118" s="1053"/>
      <c r="D118" s="952"/>
    </row>
    <row r="119" spans="1:4" hidden="1" x14ac:dyDescent="0.4">
      <c r="A119" s="1353"/>
      <c r="B119" s="1553"/>
      <c r="C119" s="1053"/>
      <c r="D119" s="975"/>
    </row>
    <row r="120" spans="1:4" ht="6" customHeight="1" x14ac:dyDescent="0.4">
      <c r="A120" s="1128"/>
      <c r="B120" s="1386"/>
      <c r="C120" s="1054"/>
      <c r="D120" s="975"/>
    </row>
    <row r="121" spans="1:4" ht="15" customHeight="1" x14ac:dyDescent="0.4">
      <c r="A121" s="984">
        <v>2</v>
      </c>
      <c r="B121" s="1387">
        <f>SUM(B87:B119)</f>
        <v>161131230.80000001</v>
      </c>
      <c r="C121" s="985" t="s">
        <v>492</v>
      </c>
      <c r="D121" s="966"/>
    </row>
    <row r="122" spans="1:4" hidden="1" outlineLevel="1" x14ac:dyDescent="0.4">
      <c r="A122" s="992"/>
      <c r="B122" s="1384"/>
      <c r="C122" s="993"/>
      <c r="D122" s="994"/>
    </row>
    <row r="123" spans="1:4" ht="13.2" hidden="1" customHeight="1" outlineLevel="1" x14ac:dyDescent="0.4">
      <c r="A123" s="1529" t="s">
        <v>950</v>
      </c>
      <c r="B123" s="1530"/>
      <c r="C123" s="1530"/>
      <c r="D123" s="991"/>
    </row>
    <row r="124" spans="1:4" hidden="1" outlineLevel="1" x14ac:dyDescent="0.4">
      <c r="A124" s="992"/>
      <c r="B124" s="1384"/>
      <c r="C124" s="993"/>
      <c r="D124" s="994"/>
    </row>
    <row r="125" spans="1:4" s="425" customFormat="1" ht="243" hidden="1" outlineLevel="1" x14ac:dyDescent="0.4">
      <c r="A125" s="1115" t="s">
        <v>1034</v>
      </c>
      <c r="B125" s="1385">
        <v>0</v>
      </c>
      <c r="C125" s="995" t="s">
        <v>1250</v>
      </c>
      <c r="D125" s="996" t="s">
        <v>480</v>
      </c>
    </row>
    <row r="126" spans="1:4" ht="6" hidden="1" customHeight="1" outlineLevel="1" x14ac:dyDescent="0.4">
      <c r="A126" s="1128"/>
      <c r="B126" s="1386"/>
      <c r="C126" s="997"/>
      <c r="D126" s="975"/>
    </row>
    <row r="127" spans="1:4" ht="12.75" hidden="1" customHeight="1" outlineLevel="1" x14ac:dyDescent="0.4">
      <c r="A127" s="992"/>
      <c r="B127" s="1384"/>
      <c r="C127" s="993"/>
      <c r="D127" s="998"/>
    </row>
    <row r="128" spans="1:4" hidden="1" outlineLevel="1" x14ac:dyDescent="0.4">
      <c r="A128" s="992"/>
      <c r="B128" s="1384"/>
      <c r="C128" s="993"/>
      <c r="D128" s="994"/>
    </row>
    <row r="129" spans="1:4" hidden="1" outlineLevel="1" x14ac:dyDescent="0.4">
      <c r="A129" s="992"/>
      <c r="B129" s="1384"/>
      <c r="C129" s="993"/>
      <c r="D129" s="994"/>
    </row>
    <row r="130" spans="1:4" hidden="1" outlineLevel="1" x14ac:dyDescent="0.4">
      <c r="A130" s="992"/>
      <c r="B130" s="1384"/>
      <c r="C130" s="993"/>
      <c r="D130" s="994"/>
    </row>
    <row r="131" spans="1:4" hidden="1" outlineLevel="1" x14ac:dyDescent="0.4">
      <c r="A131" s="992"/>
      <c r="B131" s="1384"/>
      <c r="C131" s="993"/>
      <c r="D131" s="994"/>
    </row>
    <row r="132" spans="1:4" hidden="1" outlineLevel="1" x14ac:dyDescent="0.4">
      <c r="A132" s="992"/>
      <c r="B132" s="1384"/>
      <c r="C132" s="993"/>
      <c r="D132" s="994"/>
    </row>
    <row r="133" spans="1:4" hidden="1" outlineLevel="1" x14ac:dyDescent="0.4">
      <c r="A133" s="992"/>
      <c r="B133" s="1384"/>
      <c r="C133" s="993"/>
      <c r="D133" s="994"/>
    </row>
    <row r="134" spans="1:4" hidden="1" outlineLevel="1" x14ac:dyDescent="0.4">
      <c r="A134" s="992"/>
      <c r="B134" s="1384"/>
      <c r="C134" s="993"/>
      <c r="D134" s="994"/>
    </row>
    <row r="135" spans="1:4" hidden="1" outlineLevel="1" x14ac:dyDescent="0.4">
      <c r="A135" s="992"/>
      <c r="B135" s="1384"/>
      <c r="C135" s="993"/>
      <c r="D135" s="994"/>
    </row>
    <row r="136" spans="1:4" hidden="1" outlineLevel="1" x14ac:dyDescent="0.4">
      <c r="A136" s="992"/>
      <c r="B136" s="1384"/>
      <c r="C136" s="993"/>
      <c r="D136" s="994"/>
    </row>
    <row r="137" spans="1:4" hidden="1" outlineLevel="1" x14ac:dyDescent="0.4">
      <c r="A137" s="992"/>
      <c r="B137" s="1384"/>
      <c r="C137" s="993"/>
      <c r="D137" s="994"/>
    </row>
    <row r="138" spans="1:4" hidden="1" outlineLevel="1" x14ac:dyDescent="0.4">
      <c r="A138" s="992"/>
      <c r="B138" s="1384"/>
      <c r="C138" s="993"/>
      <c r="D138" s="994"/>
    </row>
    <row r="139" spans="1:4" hidden="1" outlineLevel="1" x14ac:dyDescent="0.4">
      <c r="A139" s="992"/>
      <c r="B139" s="1384"/>
      <c r="C139" s="993"/>
      <c r="D139" s="994"/>
    </row>
    <row r="140" spans="1:4" ht="15" hidden="1" customHeight="1" outlineLevel="1" x14ac:dyDescent="0.4">
      <c r="A140" s="984">
        <v>4</v>
      </c>
      <c r="B140" s="1387">
        <f>+B125</f>
        <v>0</v>
      </c>
      <c r="C140" s="985" t="s">
        <v>492</v>
      </c>
      <c r="D140" s="966"/>
    </row>
    <row r="141" spans="1:4" ht="8.25" customHeight="1" outlineLevel="1" x14ac:dyDescent="0.4">
      <c r="A141" s="992"/>
      <c r="B141" s="1384"/>
      <c r="C141" s="993"/>
      <c r="D141" s="994"/>
    </row>
    <row r="142" spans="1:4" ht="13.2" customHeight="1" outlineLevel="1" x14ac:dyDescent="0.4">
      <c r="A142" s="1529" t="s">
        <v>57</v>
      </c>
      <c r="B142" s="1530"/>
      <c r="C142" s="1530"/>
      <c r="D142" s="991"/>
    </row>
    <row r="143" spans="1:4" s="425" customFormat="1" ht="97.2" hidden="1" outlineLevel="1" x14ac:dyDescent="0.4">
      <c r="A143" s="1115" t="s">
        <v>430</v>
      </c>
      <c r="B143" s="1385">
        <v>0</v>
      </c>
      <c r="C143" s="995" t="s">
        <v>559</v>
      </c>
      <c r="D143" s="951" t="s">
        <v>480</v>
      </c>
    </row>
    <row r="144" spans="1:4" s="425" customFormat="1" hidden="1" outlineLevel="1" x14ac:dyDescent="0.4">
      <c r="A144" s="1115" t="s">
        <v>236</v>
      </c>
      <c r="B144" s="1385">
        <v>0</v>
      </c>
      <c r="C144" s="1055"/>
      <c r="D144" s="1056"/>
    </row>
    <row r="145" spans="1:4" s="425" customFormat="1" ht="58.5" hidden="1" customHeight="1" outlineLevel="1" x14ac:dyDescent="0.4">
      <c r="A145" s="1115" t="s">
        <v>238</v>
      </c>
      <c r="B145" s="1385">
        <v>0</v>
      </c>
      <c r="C145" s="1057" t="s">
        <v>1131</v>
      </c>
      <c r="D145" s="1559" t="s">
        <v>480</v>
      </c>
    </row>
    <row r="146" spans="1:4" s="425" customFormat="1" ht="70.5" hidden="1" customHeight="1" outlineLevel="1" x14ac:dyDescent="0.4">
      <c r="A146" s="1115" t="s">
        <v>240</v>
      </c>
      <c r="B146" s="1385">
        <v>0</v>
      </c>
      <c r="C146" s="995" t="s">
        <v>565</v>
      </c>
      <c r="D146" s="1559"/>
    </row>
    <row r="147" spans="1:4" s="425" customFormat="1" ht="61.5" hidden="1" customHeight="1" outlineLevel="1" x14ac:dyDescent="0.4">
      <c r="A147" s="1115" t="s">
        <v>242</v>
      </c>
      <c r="B147" s="1385">
        <v>0</v>
      </c>
      <c r="C147" s="995" t="s">
        <v>1258</v>
      </c>
      <c r="D147" s="1560"/>
    </row>
    <row r="148" spans="1:4" s="402" customFormat="1" hidden="1" outlineLevel="1" x14ac:dyDescent="0.4">
      <c r="A148" s="1115" t="s">
        <v>244</v>
      </c>
      <c r="B148" s="1385">
        <v>0</v>
      </c>
      <c r="C148" s="1055"/>
      <c r="D148" s="1056"/>
    </row>
    <row r="149" spans="1:4" s="425" customFormat="1" hidden="1" outlineLevel="1" x14ac:dyDescent="0.4">
      <c r="A149" s="1115" t="s">
        <v>246</v>
      </c>
      <c r="B149" s="1385">
        <v>0</v>
      </c>
      <c r="C149" s="995"/>
      <c r="D149" s="1059"/>
    </row>
    <row r="150" spans="1:4" s="425" customFormat="1" ht="48.6" hidden="1" outlineLevel="1" x14ac:dyDescent="0.4">
      <c r="A150" s="1115" t="s">
        <v>248</v>
      </c>
      <c r="B150" s="1385">
        <v>0</v>
      </c>
      <c r="C150" s="995" t="s">
        <v>1068</v>
      </c>
      <c r="D150" s="1056"/>
    </row>
    <row r="151" spans="1:4" s="425" customFormat="1" ht="48.6" outlineLevel="1" x14ac:dyDescent="0.4">
      <c r="A151" s="1115" t="s">
        <v>411</v>
      </c>
      <c r="B151" s="1378">
        <f>SUMIF(' CLASIFICACION DE GASTOS 2024'!$A$18:$A$220,$A151,' CLASIFICACION DE GASTOS 2024'!$E$18:$E$220)</f>
        <v>9905264</v>
      </c>
      <c r="C151" s="995" t="s">
        <v>1307</v>
      </c>
      <c r="D151" s="1058" t="s">
        <v>480</v>
      </c>
    </row>
    <row r="152" spans="1:4" s="425" customFormat="1" hidden="1" outlineLevel="1" x14ac:dyDescent="0.4">
      <c r="A152" s="1115" t="s">
        <v>259</v>
      </c>
      <c r="B152" s="1385"/>
      <c r="C152" s="1055"/>
      <c r="D152" s="1056"/>
    </row>
    <row r="153" spans="1:4" s="425" customFormat="1" hidden="1" outlineLevel="1" x14ac:dyDescent="0.4">
      <c r="A153" s="1354"/>
      <c r="B153" s="1411"/>
      <c r="C153" s="1060"/>
      <c r="D153" s="1056"/>
    </row>
    <row r="154" spans="1:4" s="425" customFormat="1" hidden="1" outlineLevel="1" x14ac:dyDescent="0.4">
      <c r="A154" s="1354"/>
      <c r="B154" s="1411"/>
      <c r="C154" s="1003"/>
      <c r="D154" s="1056"/>
    </row>
    <row r="155" spans="1:4" s="425" customFormat="1" hidden="1" outlineLevel="1" x14ac:dyDescent="0.4">
      <c r="A155" s="1354"/>
      <c r="B155" s="1411"/>
      <c r="C155" s="1003"/>
      <c r="D155" s="1056"/>
    </row>
    <row r="156" spans="1:4" s="425" customFormat="1" hidden="1" outlineLevel="1" x14ac:dyDescent="0.4">
      <c r="A156" s="1355"/>
      <c r="B156" s="1412"/>
      <c r="C156" s="1001"/>
      <c r="D156" s="1061"/>
    </row>
    <row r="157" spans="1:4" ht="6" customHeight="1" outlineLevel="1" x14ac:dyDescent="0.4">
      <c r="A157" s="1128"/>
      <c r="B157" s="1386"/>
      <c r="C157" s="997"/>
      <c r="D157" s="975"/>
    </row>
    <row r="158" spans="1:4" ht="15" customHeight="1" outlineLevel="1" x14ac:dyDescent="0.4">
      <c r="A158" s="984">
        <v>5</v>
      </c>
      <c r="B158" s="1387">
        <f>SUM(B143:B156)</f>
        <v>9905264</v>
      </c>
      <c r="C158" s="985" t="s">
        <v>492</v>
      </c>
      <c r="D158" s="966"/>
    </row>
    <row r="159" spans="1:4" ht="6" customHeight="1" x14ac:dyDescent="0.4">
      <c r="A159" s="967"/>
      <c r="B159" s="1383"/>
      <c r="C159" s="968"/>
      <c r="D159" s="969"/>
    </row>
    <row r="160" spans="1:4" ht="12.75" customHeight="1" x14ac:dyDescent="0.4">
      <c r="A160" s="1526" t="s">
        <v>20</v>
      </c>
      <c r="B160" s="1527"/>
      <c r="C160" s="1527"/>
      <c r="D160" s="1005"/>
    </row>
    <row r="161" spans="1:4" ht="64.8" x14ac:dyDescent="0.4">
      <c r="A161" s="1033" t="s">
        <v>353</v>
      </c>
      <c r="B161" s="1378">
        <f>SUMIF(' CLASIFICACION DE GASTOS 2024'!$A$18:$A$220,$A161,' CLASIFICACION DE GASTOS 2024'!$E$18:$E$220)</f>
        <v>411894272</v>
      </c>
      <c r="C161" s="1062" t="s">
        <v>1309</v>
      </c>
      <c r="D161" s="1556" t="s">
        <v>480</v>
      </c>
    </row>
    <row r="162" spans="1:4" ht="45.75" hidden="1" customHeight="1" x14ac:dyDescent="0.4">
      <c r="A162" s="1033" t="s">
        <v>263</v>
      </c>
      <c r="B162" s="1378">
        <f>SUMIF(' CLASIFICACION DE GASTOS 2024'!$A$18:$A$220,$A162,' CLASIFICACION DE GASTOS 2024'!$E$18:$E$220)</f>
        <v>0</v>
      </c>
      <c r="C162" s="1063" t="s">
        <v>509</v>
      </c>
      <c r="D162" s="1557"/>
    </row>
    <row r="163" spans="1:4" ht="64.8" x14ac:dyDescent="0.4">
      <c r="A163" s="1033" t="s">
        <v>345</v>
      </c>
      <c r="B163" s="1378">
        <f>SUMIF(' CLASIFICACION DE GASTOS 2024'!$A$18:$A$220,$A163,' CLASIFICACION DE GASTOS 2024'!$E$18:$E$220)</f>
        <v>2103000</v>
      </c>
      <c r="C163" s="1053" t="s">
        <v>1060</v>
      </c>
      <c r="D163" s="1064"/>
    </row>
    <row r="164" spans="1:4" ht="71.25" hidden="1" customHeight="1" x14ac:dyDescent="0.4">
      <c r="A164" s="1033"/>
      <c r="B164" s="1380"/>
      <c r="C164" s="372"/>
      <c r="D164" s="975"/>
    </row>
    <row r="165" spans="1:4" ht="6" customHeight="1" x14ac:dyDescent="0.4">
      <c r="A165" s="1007"/>
      <c r="B165" s="1407"/>
      <c r="C165" s="1008"/>
      <c r="D165" s="990"/>
    </row>
    <row r="166" spans="1:4" ht="15" customHeight="1" x14ac:dyDescent="0.4">
      <c r="A166" s="964">
        <v>6</v>
      </c>
      <c r="B166" s="1408">
        <f>SUM(B161:B163)</f>
        <v>413997272</v>
      </c>
      <c r="C166" s="965" t="s">
        <v>492</v>
      </c>
      <c r="D166" s="966"/>
    </row>
    <row r="167" spans="1:4" ht="9" hidden="1" customHeight="1" x14ac:dyDescent="0.4">
      <c r="A167" s="1007"/>
      <c r="B167" s="1407"/>
      <c r="C167" s="1008"/>
      <c r="D167" s="990"/>
    </row>
    <row r="168" spans="1:4" hidden="1" x14ac:dyDescent="0.4">
      <c r="A168" s="1529" t="s">
        <v>58</v>
      </c>
      <c r="B168" s="1530"/>
      <c r="C168" s="1530"/>
      <c r="D168" s="972"/>
    </row>
    <row r="169" spans="1:4" ht="21" hidden="1" customHeight="1" outlineLevel="1" x14ac:dyDescent="0.4">
      <c r="A169" s="1351" t="s">
        <v>1206</v>
      </c>
      <c r="B169" s="1380">
        <f>+'[3]CLASIFICACION PRESUPUESTARIA'!AS212</f>
        <v>0</v>
      </c>
      <c r="C169" s="995"/>
      <c r="D169" s="990"/>
    </row>
    <row r="170" spans="1:4" ht="396" hidden="1" customHeight="1" outlineLevel="1" x14ac:dyDescent="0.4">
      <c r="A170" s="1550">
        <v>0</v>
      </c>
      <c r="B170" s="1552">
        <v>0</v>
      </c>
      <c r="C170" s="1554" t="s">
        <v>1143</v>
      </c>
      <c r="D170" s="1544" t="s">
        <v>480</v>
      </c>
    </row>
    <row r="171" spans="1:4" ht="71.400000000000006" hidden="1" customHeight="1" outlineLevel="1" x14ac:dyDescent="0.4">
      <c r="A171" s="1551"/>
      <c r="B171" s="1553"/>
      <c r="C171" s="1555"/>
      <c r="D171" s="1545"/>
    </row>
    <row r="172" spans="1:4" ht="13.2" hidden="1" customHeight="1" outlineLevel="1" x14ac:dyDescent="0.4">
      <c r="A172" s="961"/>
      <c r="B172" s="1413"/>
      <c r="C172" s="1043"/>
      <c r="D172" s="990"/>
    </row>
    <row r="173" spans="1:4" ht="15" hidden="1" customHeight="1" outlineLevel="1" x14ac:dyDescent="0.4">
      <c r="A173" s="964">
        <v>9</v>
      </c>
      <c r="B173" s="1408">
        <f>SUM(B169:B170)</f>
        <v>0</v>
      </c>
      <c r="C173" s="965" t="s">
        <v>492</v>
      </c>
      <c r="D173" s="1012"/>
    </row>
    <row r="174" spans="1:4" ht="6" customHeight="1" outlineLevel="1" x14ac:dyDescent="0.4">
      <c r="A174" s="1363"/>
      <c r="B174" s="1414"/>
      <c r="C174" s="1364"/>
      <c r="D174" s="1364"/>
    </row>
    <row r="175" spans="1:4" ht="18" hidden="1" customHeight="1" thickBot="1" x14ac:dyDescent="0.45">
      <c r="A175" s="1360"/>
      <c r="B175" s="1415">
        <f>+B166+B158+B121+B84+B34+B173+B140</f>
        <v>7480498366.8000002</v>
      </c>
      <c r="C175" s="1361" t="s">
        <v>500</v>
      </c>
      <c r="D175" s="1362"/>
    </row>
    <row r="176" spans="1:4" ht="6" customHeight="1" thickBot="1" x14ac:dyDescent="0.45">
      <c r="C176" s="372"/>
    </row>
    <row r="177" spans="1:4" ht="19.95" customHeight="1" thickBot="1" x14ac:dyDescent="0.45">
      <c r="A177" s="1018"/>
      <c r="B177" s="1416">
        <f>+B166+B158+B121+B84+B34+B173+B140</f>
        <v>7480498366.8000002</v>
      </c>
      <c r="C177" s="1019" t="s">
        <v>506</v>
      </c>
      <c r="D177" s="1065"/>
    </row>
    <row r="178" spans="1:4" x14ac:dyDescent="0.4">
      <c r="B178" s="1404" t="s">
        <v>382</v>
      </c>
    </row>
  </sheetData>
  <mergeCells count="18">
    <mergeCell ref="D161:D162"/>
    <mergeCell ref="A142:C142"/>
    <mergeCell ref="A86:C86"/>
    <mergeCell ref="B113:B119"/>
    <mergeCell ref="A123:C123"/>
    <mergeCell ref="A160:C160"/>
    <mergeCell ref="D145:D147"/>
    <mergeCell ref="D89:D94"/>
    <mergeCell ref="A2:D2"/>
    <mergeCell ref="A3:D3"/>
    <mergeCell ref="A4:D4"/>
    <mergeCell ref="A6:D6"/>
    <mergeCell ref="A12:C12"/>
    <mergeCell ref="A170:A171"/>
    <mergeCell ref="B170:B171"/>
    <mergeCell ref="C170:C171"/>
    <mergeCell ref="D170:D171"/>
    <mergeCell ref="A168:C168"/>
  </mergeCells>
  <printOptions horizontalCentered="1"/>
  <pageMargins left="0.39370078740157483" right="0.39370078740157483" top="0.59055118110236227" bottom="0.59055118110236227" header="0.59055118110236227" footer="0.59055118110236227"/>
  <pageSetup scale="65" firstPageNumber="34" orientation="portrait" useFirstPageNumber="1" r:id="rId1"/>
  <headerFooter>
    <oddFooter>&amp;C&amp;P</oddFooter>
  </headerFooter>
  <ignoredErrors>
    <ignoredError sqref="B81" unlockedFormula="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7">
    <tabColor theme="9" tint="-0.499984740745262"/>
  </sheetPr>
  <dimension ref="A1:I150"/>
  <sheetViews>
    <sheetView showGridLines="0" topLeftCell="A44" zoomScale="90" zoomScaleNormal="90" workbookViewId="0">
      <selection activeCell="E62" sqref="E62"/>
    </sheetView>
  </sheetViews>
  <sheetFormatPr baseColWidth="10" defaultColWidth="11.44140625" defaultRowHeight="16.2" outlineLevelRow="1" outlineLevelCol="1" x14ac:dyDescent="0.4"/>
  <cols>
    <col min="1" max="1" width="10.6640625" style="1111" customWidth="1"/>
    <col min="2" max="2" width="17.109375" style="384" customWidth="1"/>
    <col min="3" max="3" width="60.6640625" style="362" customWidth="1"/>
    <col min="4" max="4" width="18.44140625" style="362" customWidth="1" outlineLevel="1"/>
    <col min="5" max="5" width="11.44140625" style="362" customWidth="1"/>
    <col min="6" max="16384" width="11.44140625" style="362"/>
  </cols>
  <sheetData>
    <row r="1" spans="1:4" x14ac:dyDescent="0.4">
      <c r="B1" s="1185"/>
    </row>
    <row r="2" spans="1:4" x14ac:dyDescent="0.4">
      <c r="A2" s="1472" t="s">
        <v>0</v>
      </c>
      <c r="B2" s="1472"/>
      <c r="C2" s="1472"/>
      <c r="D2" s="1472"/>
    </row>
    <row r="3" spans="1:4" x14ac:dyDescent="0.4">
      <c r="A3" s="1472" t="s">
        <v>1276</v>
      </c>
      <c r="B3" s="1472"/>
      <c r="C3" s="1472"/>
      <c r="D3" s="1472"/>
    </row>
    <row r="4" spans="1:4" x14ac:dyDescent="0.4">
      <c r="A4" s="1472" t="s">
        <v>389</v>
      </c>
      <c r="B4" s="1472"/>
      <c r="C4" s="1472"/>
      <c r="D4" s="1472"/>
    </row>
    <row r="5" spans="1:4" ht="16.8" thickBot="1" x14ac:dyDescent="0.45">
      <c r="A5" s="941"/>
      <c r="B5" s="1365"/>
      <c r="C5" s="941"/>
      <c r="D5" s="942"/>
    </row>
    <row r="6" spans="1:4" ht="16.8" thickTop="1" x14ac:dyDescent="0.4">
      <c r="A6" s="1531" t="s">
        <v>475</v>
      </c>
      <c r="B6" s="1531"/>
      <c r="C6" s="1531"/>
      <c r="D6" s="1531"/>
    </row>
    <row r="7" spans="1:4" x14ac:dyDescent="0.4">
      <c r="A7" s="1123"/>
      <c r="B7" s="1184"/>
      <c r="C7" s="361"/>
      <c r="D7" s="435"/>
    </row>
    <row r="8" spans="1:4" x14ac:dyDescent="0.4">
      <c r="A8" s="1441" t="s">
        <v>517</v>
      </c>
      <c r="B8" s="1185"/>
      <c r="C8" s="361"/>
      <c r="D8" s="361"/>
    </row>
    <row r="9" spans="1:4" ht="16.8" thickBot="1" x14ac:dyDescent="0.45">
      <c r="A9" s="1123"/>
      <c r="B9" s="1185"/>
      <c r="C9" s="361"/>
      <c r="D9" s="361"/>
    </row>
    <row r="10" spans="1:4" ht="33" customHeight="1" thickBot="1" x14ac:dyDescent="0.45">
      <c r="A10" s="943" t="s">
        <v>476</v>
      </c>
      <c r="B10" s="1366" t="s">
        <v>477</v>
      </c>
      <c r="C10" s="944" t="s">
        <v>478</v>
      </c>
      <c r="D10" s="945" t="s">
        <v>479</v>
      </c>
    </row>
    <row r="11" spans="1:4" ht="9.9" customHeight="1" x14ac:dyDescent="0.4">
      <c r="A11" s="801"/>
      <c r="B11" s="1367"/>
      <c r="C11" s="946"/>
      <c r="D11" s="947"/>
    </row>
    <row r="12" spans="1:4" ht="18" customHeight="1" x14ac:dyDescent="0.4">
      <c r="A12" s="1532" t="s">
        <v>53</v>
      </c>
      <c r="B12" s="1533"/>
      <c r="C12" s="1533"/>
      <c r="D12" s="1021"/>
    </row>
    <row r="13" spans="1:4" ht="129.6" x14ac:dyDescent="0.4">
      <c r="A13" s="949" t="s">
        <v>72</v>
      </c>
      <c r="B13" s="1369">
        <f>SUMIF(' CLASIFICACION DE GASTOS 2024'!$A$18:$A$220,$A13,' CLASIFICACION DE GASTOS 2024'!$F$18:$F$220)</f>
        <v>174805500</v>
      </c>
      <c r="C13" s="950" t="s">
        <v>1315</v>
      </c>
      <c r="D13" s="1102" t="s">
        <v>480</v>
      </c>
    </row>
    <row r="14" spans="1:4" ht="64.8" x14ac:dyDescent="0.4">
      <c r="A14" s="949" t="s">
        <v>73</v>
      </c>
      <c r="B14" s="1369">
        <f>SUMIF(' CLASIFICACION DE GASTOS 2024'!$A$18:$A$220,$A14,' CLASIFICACION DE GASTOS 2024'!$F$18:$F$220)</f>
        <v>994000</v>
      </c>
      <c r="C14" s="1000" t="s">
        <v>1312</v>
      </c>
      <c r="D14" s="952"/>
    </row>
    <row r="15" spans="1:4" hidden="1" x14ac:dyDescent="0.4">
      <c r="A15" s="949" t="s">
        <v>391</v>
      </c>
      <c r="B15" s="1369">
        <f>SUMIF(' CLASIFICACION DE GASTOS 2024'!$A$18:$A$220,$A15,' CLASIFICACION DE GASTOS 2024'!$F$18:$F$220)</f>
        <v>0</v>
      </c>
      <c r="C15" s="474"/>
      <c r="D15" s="952"/>
    </row>
    <row r="16" spans="1:4" ht="45" customHeight="1" x14ac:dyDescent="0.4">
      <c r="A16" s="949" t="s">
        <v>76</v>
      </c>
      <c r="B16" s="1369">
        <f>SUMIF(' CLASIFICACION DE GASTOS 2024'!$A$18:$A$220,$A16,' CLASIFICACION DE GASTOS 2024'!$F$18:$F$220)</f>
        <v>2000000</v>
      </c>
      <c r="C16" s="886" t="s">
        <v>1080</v>
      </c>
      <c r="D16" s="953"/>
    </row>
    <row r="17" spans="1:4" ht="64.8" hidden="1" x14ac:dyDescent="0.4">
      <c r="A17" s="949" t="s">
        <v>567</v>
      </c>
      <c r="B17" s="1369">
        <f>SUMIF(' CLASIFICACION DE GASTOS 2024'!$A$18:$A$220,$A17,' CLASIFICACION DE GASTOS 2024'!$F$18:$F$220)</f>
        <v>0</v>
      </c>
      <c r="C17" s="886" t="s">
        <v>1041</v>
      </c>
      <c r="D17" s="953"/>
    </row>
    <row r="18" spans="1:4" hidden="1" x14ac:dyDescent="0.4">
      <c r="A18" s="954" t="s">
        <v>77</v>
      </c>
      <c r="B18" s="1369">
        <f>SUMIF(' CLASIFICACION DE GASTOS 2024'!$A$18:$A$220,$A18,' CLASIFICACION DE GASTOS 2024'!$F$18:$F$220)</f>
        <v>0</v>
      </c>
      <c r="C18" s="886"/>
      <c r="D18" s="952"/>
    </row>
    <row r="19" spans="1:4" ht="49.5" customHeight="1" x14ac:dyDescent="0.4">
      <c r="A19" s="949" t="s">
        <v>80</v>
      </c>
      <c r="B19" s="1369">
        <f>SUMIF(' CLASIFICACION DE GASTOS 2024'!$A$18:$A$220,$A19,' CLASIFICACION DE GASTOS 2024'!$F$18:$F$220)</f>
        <v>43045500</v>
      </c>
      <c r="C19" s="886" t="s">
        <v>481</v>
      </c>
      <c r="D19" s="952"/>
    </row>
    <row r="20" spans="1:4" ht="32.4" x14ac:dyDescent="0.4">
      <c r="A20" s="949" t="s">
        <v>82</v>
      </c>
      <c r="B20" s="1369">
        <f>SUMIF(' CLASIFICACION DE GASTOS 2024'!$A$18:$A$220,$A20,' CLASIFICACION DE GASTOS 2024'!$F$18:$F$220)</f>
        <v>37203000</v>
      </c>
      <c r="C20" s="474" t="s">
        <v>482</v>
      </c>
      <c r="D20" s="952"/>
    </row>
    <row r="21" spans="1:4" ht="31.5" customHeight="1" x14ac:dyDescent="0.4">
      <c r="A21" s="949" t="s">
        <v>84</v>
      </c>
      <c r="B21" s="1369">
        <f>SUMIF(' CLASIFICACION DE GASTOS 2024'!$A$18:$A$220,$A21,' CLASIFICACION DE GASTOS 2024'!$F$18:$F$220)</f>
        <v>23985000</v>
      </c>
      <c r="C21" s="474" t="s">
        <v>483</v>
      </c>
      <c r="D21" s="952"/>
    </row>
    <row r="22" spans="1:4" ht="32.4" x14ac:dyDescent="0.4">
      <c r="A22" s="949" t="s">
        <v>86</v>
      </c>
      <c r="B22" s="1369">
        <f>SUMIF(' CLASIFICACION DE GASTOS 2024'!$A$18:$A$220,$A22,' CLASIFICACION DE GASTOS 2024'!$F$18:$F$220)</f>
        <v>21596500</v>
      </c>
      <c r="C22" s="474" t="s">
        <v>484</v>
      </c>
      <c r="D22" s="952"/>
    </row>
    <row r="23" spans="1:4" ht="64.8" x14ac:dyDescent="0.4">
      <c r="A23" s="949" t="s">
        <v>87</v>
      </c>
      <c r="B23" s="1369">
        <f>SUMIF(' CLASIFICACION DE GASTOS 2024'!$A$18:$A$220,$A23,' CLASIFICACION DE GASTOS 2024'!$F$18:$F$220)</f>
        <v>8183500</v>
      </c>
      <c r="C23" s="886" t="s">
        <v>485</v>
      </c>
      <c r="D23" s="952"/>
    </row>
    <row r="24" spans="1:4" ht="29.25" customHeight="1" x14ac:dyDescent="0.4">
      <c r="A24" s="842" t="s">
        <v>90</v>
      </c>
      <c r="B24" s="1369">
        <f>SUMIF(' CLASIFICACION DE GASTOS 2024'!$A$18:$A$220,$A24,' CLASIFICACION DE GASTOS 2024'!$F$18:$F$220)</f>
        <v>26623500</v>
      </c>
      <c r="C24" s="474" t="s">
        <v>486</v>
      </c>
      <c r="D24" s="1022"/>
    </row>
    <row r="25" spans="1:4" ht="32.4" x14ac:dyDescent="0.4">
      <c r="A25" s="842" t="s">
        <v>92</v>
      </c>
      <c r="B25" s="1369">
        <f>SUMIF(' CLASIFICACION DE GASTOS 2024'!$A$18:$A$220,$A25,' CLASIFICACION DE GASTOS 2024'!$F$18:$F$220)</f>
        <v>1439000</v>
      </c>
      <c r="C25" s="956" t="s">
        <v>487</v>
      </c>
      <c r="D25" s="1023"/>
    </row>
    <row r="26" spans="1:4" ht="32.4" x14ac:dyDescent="0.4">
      <c r="A26" s="842" t="s">
        <v>93</v>
      </c>
      <c r="B26" s="1369">
        <f>SUMIF(' CLASIFICACION DE GASTOS 2024'!$A$18:$A$220,$A26,' CLASIFICACION DE GASTOS 2024'!$F$18:$F$220)</f>
        <v>4317500</v>
      </c>
      <c r="C26" s="886" t="s">
        <v>488</v>
      </c>
      <c r="D26" s="1022"/>
    </row>
    <row r="27" spans="1:4" ht="32.4" x14ac:dyDescent="0.4">
      <c r="A27" s="842" t="s">
        <v>94</v>
      </c>
      <c r="B27" s="1369">
        <f>SUMIF(' CLASIFICACION DE GASTOS 2024'!$A$18:$A$220,$A27,' CLASIFICACION DE GASTOS 2024'!$F$18:$F$220)</f>
        <v>14391000</v>
      </c>
      <c r="C27" s="886" t="s">
        <v>489</v>
      </c>
      <c r="D27" s="1022"/>
    </row>
    <row r="28" spans="1:4" ht="32.4" x14ac:dyDescent="0.4">
      <c r="A28" s="842" t="s">
        <v>96</v>
      </c>
      <c r="B28" s="1369">
        <f>SUMIF(' CLASIFICACION DE GASTOS 2024'!$A$18:$A$220,$A28,' CLASIFICACION DE GASTOS 2024'!$F$18:$F$220)</f>
        <v>1439000</v>
      </c>
      <c r="C28" s="886" t="s">
        <v>490</v>
      </c>
      <c r="D28" s="960"/>
    </row>
    <row r="29" spans="1:4" ht="48.6" x14ac:dyDescent="0.4">
      <c r="A29" s="842" t="s">
        <v>510</v>
      </c>
      <c r="B29" s="1369">
        <f>SUMIF(' CLASIFICACION DE GASTOS 2024'!$A$18:$A$220,$A29,' CLASIFICACION DE GASTOS 2024'!$F$18:$F$220)</f>
        <v>15600500</v>
      </c>
      <c r="C29" s="886" t="s">
        <v>1718</v>
      </c>
      <c r="D29" s="1535" t="s">
        <v>480</v>
      </c>
    </row>
    <row r="30" spans="1:4" ht="30.9" customHeight="1" x14ac:dyDescent="0.4">
      <c r="A30" s="842" t="s">
        <v>100</v>
      </c>
      <c r="B30" s="1369">
        <f>SUMIF(' CLASIFICACION DE GASTOS 2024'!$A$18:$A$220,$A30,' CLASIFICACION DE GASTOS 2024'!$F$18:$F$220)</f>
        <v>8635000</v>
      </c>
      <c r="C30" s="886" t="s">
        <v>491</v>
      </c>
      <c r="D30" s="1536"/>
    </row>
    <row r="31" spans="1:4" ht="64.8" x14ac:dyDescent="0.4">
      <c r="A31" s="958" t="s">
        <v>101</v>
      </c>
      <c r="B31" s="1369">
        <f>SUMIF(' CLASIFICACION DE GASTOS 2024'!$A$18:$A$220,$A31,' CLASIFICACION DE GASTOS 2024'!$F$18:$F$220)</f>
        <v>4317500</v>
      </c>
      <c r="C31" s="956" t="s">
        <v>1135</v>
      </c>
      <c r="D31" s="1537"/>
    </row>
    <row r="32" spans="1:4" ht="49.5" hidden="1" customHeight="1" x14ac:dyDescent="0.4">
      <c r="A32" s="846" t="s">
        <v>395</v>
      </c>
      <c r="B32" s="1369" t="e">
        <v>#REF!</v>
      </c>
      <c r="C32" s="886" t="s">
        <v>523</v>
      </c>
      <c r="D32" s="960"/>
    </row>
    <row r="33" spans="1:4" ht="9.9" customHeight="1" x14ac:dyDescent="0.4">
      <c r="A33" s="961"/>
      <c r="B33" s="1370"/>
      <c r="C33" s="962"/>
      <c r="D33" s="963"/>
    </row>
    <row r="34" spans="1:4" ht="18" customHeight="1" x14ac:dyDescent="0.4">
      <c r="A34" s="964">
        <v>0</v>
      </c>
      <c r="B34" s="1371">
        <f>SUM(B13:B31)</f>
        <v>388576000</v>
      </c>
      <c r="C34" s="965" t="s">
        <v>492</v>
      </c>
      <c r="D34" s="966"/>
    </row>
    <row r="35" spans="1:4" ht="9.9" customHeight="1" x14ac:dyDescent="0.4">
      <c r="A35" s="967"/>
      <c r="B35" s="1372"/>
      <c r="C35" s="968"/>
      <c r="D35" s="969"/>
    </row>
    <row r="36" spans="1:4" ht="18" customHeight="1" x14ac:dyDescent="0.4">
      <c r="A36" s="1127" t="s">
        <v>54</v>
      </c>
      <c r="B36" s="1393"/>
      <c r="C36" s="1024"/>
      <c r="D36" s="1032"/>
    </row>
    <row r="37" spans="1:4" ht="64.8" x14ac:dyDescent="0.4">
      <c r="A37" s="863" t="s">
        <v>106</v>
      </c>
      <c r="B37" s="1369">
        <f>SUMIF(' CLASIFICACION DE GASTOS 2024'!$A$18:$A$220,$A37,' CLASIFICACION DE GASTOS 2024'!$F$18:$F$220)</f>
        <v>35376600</v>
      </c>
      <c r="C37" s="474" t="s">
        <v>1248</v>
      </c>
      <c r="D37" s="979" t="s">
        <v>480</v>
      </c>
    </row>
    <row r="38" spans="1:4" ht="12.75" hidden="1" customHeight="1" x14ac:dyDescent="0.4">
      <c r="A38" s="1025" t="s">
        <v>108</v>
      </c>
      <c r="B38" s="1369">
        <f>SUMIF(' CLASIFICACION DE GASTOS 2024'!$A$18:$A$220,$A38,' CLASIFICACION DE GASTOS 2024'!$F$18:$F$220)</f>
        <v>0</v>
      </c>
      <c r="C38" s="956"/>
      <c r="D38" s="955"/>
    </row>
    <row r="39" spans="1:4" ht="12.75" hidden="1" customHeight="1" x14ac:dyDescent="0.4">
      <c r="A39" s="1025" t="s">
        <v>110</v>
      </c>
      <c r="B39" s="1369">
        <f>SUMIF(' CLASIFICACION DE GASTOS 2024'!$A$18:$A$220,$A39,' CLASIFICACION DE GASTOS 2024'!$F$18:$F$220)</f>
        <v>0</v>
      </c>
      <c r="C39" s="886"/>
      <c r="D39" s="955"/>
    </row>
    <row r="40" spans="1:4" ht="51" hidden="1" customHeight="1" x14ac:dyDescent="0.4">
      <c r="A40" s="1025" t="s">
        <v>112</v>
      </c>
      <c r="B40" s="1369">
        <f>SUMIF(' CLASIFICACION DE GASTOS 2024'!$A$18:$A$220,$A40,' CLASIFICACION DE GASTOS 2024'!$F$18:$F$220)</f>
        <v>0</v>
      </c>
      <c r="C40" s="886" t="s">
        <v>1061</v>
      </c>
      <c r="D40" s="955"/>
    </row>
    <row r="41" spans="1:4" ht="48.6" x14ac:dyDescent="0.4">
      <c r="A41" s="1025" t="s">
        <v>116</v>
      </c>
      <c r="B41" s="1369">
        <f>SUMIF(' CLASIFICACION DE GASTOS 2024'!$A$18:$A$220,$A41,' CLASIFICACION DE GASTOS 2024'!$F$18:$F$220)</f>
        <v>1434200</v>
      </c>
      <c r="C41" s="886" t="s">
        <v>1132</v>
      </c>
      <c r="D41" s="955"/>
    </row>
    <row r="42" spans="1:4" ht="48.6" x14ac:dyDescent="0.4">
      <c r="A42" s="863" t="s">
        <v>118</v>
      </c>
      <c r="B42" s="1369">
        <f>SUMIF(' CLASIFICACION DE GASTOS 2024'!$A$18:$A$220,$A42,' CLASIFICACION DE GASTOS 2024'!$F$18:$F$220)</f>
        <v>5072400</v>
      </c>
      <c r="C42" s="827" t="s">
        <v>1295</v>
      </c>
      <c r="D42" s="955"/>
    </row>
    <row r="43" spans="1:4" ht="16.5" hidden="1" customHeight="1" x14ac:dyDescent="0.4">
      <c r="A43" s="1025" t="s">
        <v>120</v>
      </c>
      <c r="B43" s="1369">
        <f>SUMIF(' CLASIFICACION DE GASTOS 2024'!$A$18:$A$220,$A43,' CLASIFICACION DE GASTOS 2024'!$F$18:$F$220)</f>
        <v>0</v>
      </c>
      <c r="C43" s="956"/>
      <c r="D43" s="955"/>
    </row>
    <row r="44" spans="1:4" ht="64.8" x14ac:dyDescent="0.4">
      <c r="A44" s="1025" t="s">
        <v>326</v>
      </c>
      <c r="B44" s="1369">
        <f>SUMIF(' CLASIFICACION DE GASTOS 2024'!$A$18:$A$220,$A44,' CLASIFICACION DE GASTOS 2024'!$F$18:$F$220)</f>
        <v>2195100</v>
      </c>
      <c r="C44" s="886" t="s">
        <v>1310</v>
      </c>
      <c r="D44" s="955"/>
    </row>
    <row r="45" spans="1:4" ht="12.75" hidden="1" customHeight="1" x14ac:dyDescent="0.4">
      <c r="A45" s="1025" t="s">
        <v>123</v>
      </c>
      <c r="B45" s="1369">
        <f>SUMIF(' CLASIFICACION DE GASTOS 2024'!$A$18:$A$220,$A45,' CLASIFICACION DE GASTOS 2024'!$F$18:$F$220)</f>
        <v>0</v>
      </c>
      <c r="C45" s="886"/>
      <c r="D45" s="955"/>
    </row>
    <row r="46" spans="1:4" ht="12.75" hidden="1" customHeight="1" x14ac:dyDescent="0.4">
      <c r="A46" s="1025" t="s">
        <v>127</v>
      </c>
      <c r="B46" s="1369">
        <f>SUMIF(' CLASIFICACION DE GASTOS 2024'!$A$18:$A$220,$A46,' CLASIFICACION DE GASTOS 2024'!$F$18:$F$220)</f>
        <v>0</v>
      </c>
      <c r="C46" s="886"/>
      <c r="D46" s="955"/>
    </row>
    <row r="47" spans="1:4" ht="113.4" x14ac:dyDescent="0.4">
      <c r="A47" s="1025" t="s">
        <v>129</v>
      </c>
      <c r="B47" s="1369">
        <f>SUMIF(' CLASIFICACION DE GASTOS 2024'!$A$18:$A$220,$A47,' CLASIFICACION DE GASTOS 2024'!$F$18:$F$220)</f>
        <v>42350000</v>
      </c>
      <c r="C47" s="886" t="s">
        <v>1323</v>
      </c>
      <c r="D47" s="957"/>
    </row>
    <row r="48" spans="1:4" ht="38.25" hidden="1" customHeight="1" x14ac:dyDescent="0.4">
      <c r="A48" s="1025" t="s">
        <v>131</v>
      </c>
      <c r="B48" s="1369">
        <f>SUMIF(' CLASIFICACION DE GASTOS 2024'!$A$18:$A$220,$A48,' CLASIFICACION DE GASTOS 2024'!$F$18:$F$220)</f>
        <v>0</v>
      </c>
      <c r="C48" s="956" t="s">
        <v>1062</v>
      </c>
      <c r="D48" s="955"/>
    </row>
    <row r="49" spans="1:4" ht="12.75" hidden="1" customHeight="1" x14ac:dyDescent="0.4">
      <c r="A49" s="1025" t="s">
        <v>133</v>
      </c>
      <c r="B49" s="1369">
        <f>SUMIF(' CLASIFICACION DE GASTOS 2024'!$A$18:$A$220,$A49,' CLASIFICACION DE GASTOS 2024'!$F$18:$F$220)</f>
        <v>0</v>
      </c>
      <c r="C49" s="886"/>
      <c r="D49" s="955"/>
    </row>
    <row r="50" spans="1:4" ht="12.75" hidden="1" customHeight="1" x14ac:dyDescent="0.4">
      <c r="A50" s="1025" t="s">
        <v>137</v>
      </c>
      <c r="B50" s="1369">
        <f>SUMIF(' CLASIFICACION DE GASTOS 2024'!$A$18:$A$220,$A50,' CLASIFICACION DE GASTOS 2024'!$F$18:$F$220)</f>
        <v>0</v>
      </c>
      <c r="C50" s="886"/>
      <c r="D50" s="955"/>
    </row>
    <row r="51" spans="1:4" ht="194.4" x14ac:dyDescent="0.4">
      <c r="A51" s="1025" t="s">
        <v>397</v>
      </c>
      <c r="B51" s="1369">
        <f>SUMIF(' CLASIFICACION DE GASTOS 2024'!$A$18:$A$220,$A51,' CLASIFICACION DE GASTOS 2024'!$F$18:$F$220)</f>
        <v>300000</v>
      </c>
      <c r="C51" s="886" t="s">
        <v>1133</v>
      </c>
      <c r="D51" s="1523" t="s">
        <v>480</v>
      </c>
    </row>
    <row r="52" spans="1:4" ht="12.75" hidden="1" customHeight="1" x14ac:dyDescent="0.4">
      <c r="A52" s="1025" t="s">
        <v>569</v>
      </c>
      <c r="B52" s="1369">
        <f>SUMIF(' CLASIFICACION DE GASTOS 2024'!$A$18:$A$220,$A52,' CLASIFICACION DE GASTOS 2024'!$F$18:$F$220)</f>
        <v>0</v>
      </c>
      <c r="C52" s="956"/>
      <c r="D52" s="1523"/>
    </row>
    <row r="53" spans="1:4" ht="12.75" hidden="1" customHeight="1" x14ac:dyDescent="0.4">
      <c r="A53" s="1025" t="s">
        <v>399</v>
      </c>
      <c r="B53" s="1369">
        <f>SUMIF(' CLASIFICACION DE GASTOS 2024'!$A$18:$A$220,$A53,' CLASIFICACION DE GASTOS 2024'!$F$18:$F$220)</f>
        <v>0</v>
      </c>
      <c r="C53" s="886"/>
      <c r="D53" s="1523"/>
    </row>
    <row r="54" spans="1:4" ht="12.75" hidden="1" customHeight="1" x14ac:dyDescent="0.4">
      <c r="A54" s="1025">
        <v>0</v>
      </c>
      <c r="B54" s="1369">
        <f>SUMIF(' CLASIFICACION DE GASTOS 2024'!$A$18:$A$220,$A54,' CLASIFICACION DE GASTOS 2024'!$F$18:$F$220)</f>
        <v>0</v>
      </c>
      <c r="C54" s="886"/>
      <c r="D54" s="1523"/>
    </row>
    <row r="55" spans="1:4" ht="12.75" hidden="1" customHeight="1" x14ac:dyDescent="0.4">
      <c r="A55" s="1025" t="s">
        <v>343</v>
      </c>
      <c r="B55" s="1369">
        <f>SUMIF(' CLASIFICACION DE GASTOS 2024'!$A$18:$A$220,$A55,' CLASIFICACION DE GASTOS 2024'!$F$18:$F$220)</f>
        <v>0</v>
      </c>
      <c r="C55" s="886"/>
      <c r="D55" s="1523"/>
    </row>
    <row r="56" spans="1:4" ht="12.75" hidden="1" customHeight="1" x14ac:dyDescent="0.4">
      <c r="A56" s="1025" t="s">
        <v>141</v>
      </c>
      <c r="B56" s="1369">
        <f>SUMIF(' CLASIFICACION DE GASTOS 2024'!$A$18:$A$220,$A56,' CLASIFICACION DE GASTOS 2024'!$F$18:$F$220)</f>
        <v>0</v>
      </c>
      <c r="C56" s="886"/>
      <c r="D56" s="1523"/>
    </row>
    <row r="57" spans="1:4" ht="140.25" hidden="1" customHeight="1" x14ac:dyDescent="0.4">
      <c r="A57" s="1112" t="s">
        <v>143</v>
      </c>
      <c r="B57" s="1369">
        <f>SUMIF(' CLASIFICACION DE GASTOS 2024'!$A$18:$A$220,$A57,' CLASIFICACION DE GASTOS 2024'!$F$18:$F$220)</f>
        <v>0</v>
      </c>
      <c r="C57" s="1096" t="s">
        <v>1134</v>
      </c>
      <c r="D57" s="1523"/>
    </row>
    <row r="58" spans="1:4" ht="129.6" x14ac:dyDescent="0.4">
      <c r="A58" s="863" t="s">
        <v>145</v>
      </c>
      <c r="B58" s="1369">
        <f>SUMIF(' CLASIFICACION DE GASTOS 2024'!$A$18:$A$220,$A58,' CLASIFICACION DE GASTOS 2024'!$F$18:$F$220)</f>
        <v>10407300</v>
      </c>
      <c r="C58" s="886" t="s">
        <v>1302</v>
      </c>
      <c r="D58" s="1523"/>
    </row>
    <row r="59" spans="1:4" ht="162" x14ac:dyDescent="0.4">
      <c r="A59" s="1025" t="s">
        <v>147</v>
      </c>
      <c r="B59" s="1369">
        <f>SUMIF(' CLASIFICACION DE GASTOS 2024'!$A$18:$A$220,$A59,' CLASIFICACION DE GASTOS 2024'!$F$18:$F$220)</f>
        <v>72100000</v>
      </c>
      <c r="C59" s="474" t="s">
        <v>1729</v>
      </c>
      <c r="D59" s="1523"/>
    </row>
    <row r="60" spans="1:4" ht="12.75" hidden="1" customHeight="1" x14ac:dyDescent="0.4">
      <c r="A60" s="1025" t="s">
        <v>151</v>
      </c>
      <c r="B60" s="1369">
        <f>SUMIF(' CLASIFICACION DE GASTOS 2024'!$A$18:$A$220,$A60,' CLASIFICACION DE GASTOS 2024'!$F$18:$F$220)</f>
        <v>0</v>
      </c>
      <c r="C60" s="956"/>
      <c r="D60" s="1523"/>
    </row>
    <row r="61" spans="1:4" ht="64.8" x14ac:dyDescent="0.4">
      <c r="A61" s="1025" t="s">
        <v>153</v>
      </c>
      <c r="B61" s="1369">
        <f>SUMIF(' CLASIFICACION DE GASTOS 2024'!$A$18:$A$220,$A61,' CLASIFICACION DE GASTOS 2024'!$F$18:$F$220)</f>
        <v>150000</v>
      </c>
      <c r="C61" s="886" t="s">
        <v>1311</v>
      </c>
      <c r="D61" s="1525"/>
    </row>
    <row r="62" spans="1:4" ht="12.75" hidden="1" customHeight="1" x14ac:dyDescent="0.4">
      <c r="A62" s="1025" t="s">
        <v>155</v>
      </c>
      <c r="B62" s="1369">
        <f>SUMIF(' CLASIFICACION DE GASTOS 2024'!$A$18:$A$220,$A62,' CLASIFICACION DE GASTOS 2024'!$F$18:$F$220)</f>
        <v>0</v>
      </c>
      <c r="C62" s="956"/>
      <c r="D62" s="955"/>
    </row>
    <row r="63" spans="1:4" ht="12.75" hidden="1" customHeight="1" x14ac:dyDescent="0.4">
      <c r="A63" s="1025" t="s">
        <v>157</v>
      </c>
      <c r="B63" s="1369">
        <f>SUMIF(' CLASIFICACION DE GASTOS 2024'!$A$18:$A$220,$A63,' CLASIFICACION DE GASTOS 2024'!$F$18:$F$220)</f>
        <v>0</v>
      </c>
      <c r="C63" s="886"/>
      <c r="D63" s="955"/>
    </row>
    <row r="64" spans="1:4" ht="145.80000000000001" x14ac:dyDescent="0.4">
      <c r="A64" s="1025" t="s">
        <v>160</v>
      </c>
      <c r="B64" s="1369">
        <f>SUMIF(' CLASIFICACION DE GASTOS 2024'!$A$18:$A$220,$A64,' CLASIFICACION DE GASTOS 2024'!$F$18:$F$220)</f>
        <v>1998000</v>
      </c>
      <c r="C64" s="886" t="s">
        <v>1317</v>
      </c>
      <c r="D64" s="955" t="s">
        <v>480</v>
      </c>
    </row>
    <row r="65" spans="1:4" ht="12.75" hidden="1" customHeight="1" x14ac:dyDescent="0.4">
      <c r="A65" s="1025" t="s">
        <v>164</v>
      </c>
      <c r="B65" s="1399">
        <v>0</v>
      </c>
      <c r="C65" s="886"/>
      <c r="D65" s="955"/>
    </row>
    <row r="66" spans="1:4" ht="204" hidden="1" customHeight="1" x14ac:dyDescent="0.4">
      <c r="A66" s="1025" t="s">
        <v>166</v>
      </c>
      <c r="B66" s="1399">
        <v>0</v>
      </c>
      <c r="C66" s="474" t="s">
        <v>1106</v>
      </c>
      <c r="D66" s="955"/>
    </row>
    <row r="67" spans="1:4" ht="12.75" hidden="1" customHeight="1" x14ac:dyDescent="0.4">
      <c r="A67" s="1025" t="s">
        <v>168</v>
      </c>
      <c r="B67" s="1399">
        <v>0</v>
      </c>
      <c r="C67" s="886"/>
      <c r="D67" s="955"/>
    </row>
    <row r="68" spans="1:4" ht="12.75" hidden="1" customHeight="1" x14ac:dyDescent="0.4">
      <c r="A68" s="1025" t="s">
        <v>172</v>
      </c>
      <c r="B68" s="1399">
        <v>0</v>
      </c>
      <c r="C68" s="886"/>
      <c r="D68" s="955"/>
    </row>
    <row r="69" spans="1:4" ht="12.75" hidden="1" customHeight="1" x14ac:dyDescent="0.4">
      <c r="A69" s="1025" t="s">
        <v>174</v>
      </c>
      <c r="B69" s="1399">
        <v>0</v>
      </c>
      <c r="C69" s="886"/>
      <c r="D69" s="955"/>
    </row>
    <row r="70" spans="1:4" ht="12.75" hidden="1" customHeight="1" x14ac:dyDescent="0.4">
      <c r="A70" s="1025" t="s">
        <v>402</v>
      </c>
      <c r="B70" s="1399">
        <v>0</v>
      </c>
      <c r="C70" s="886"/>
      <c r="D70" s="955"/>
    </row>
    <row r="71" spans="1:4" ht="12.75" hidden="1" customHeight="1" x14ac:dyDescent="0.4">
      <c r="A71" s="1025" t="s">
        <v>176</v>
      </c>
      <c r="B71" s="1399">
        <v>0</v>
      </c>
      <c r="C71" s="886"/>
      <c r="D71" s="955"/>
    </row>
    <row r="72" spans="1:4" ht="12.75" hidden="1" customHeight="1" x14ac:dyDescent="0.4">
      <c r="A72" s="1025" t="s">
        <v>178</v>
      </c>
      <c r="B72" s="1399">
        <v>0</v>
      </c>
      <c r="C72" s="886"/>
      <c r="D72" s="955"/>
    </row>
    <row r="73" spans="1:4" ht="82.5" hidden="1" customHeight="1" x14ac:dyDescent="0.4">
      <c r="A73" s="1025" t="s">
        <v>180</v>
      </c>
      <c r="B73" s="1399">
        <v>0</v>
      </c>
      <c r="C73" s="886" t="s">
        <v>1063</v>
      </c>
      <c r="D73" s="955"/>
    </row>
    <row r="74" spans="1:4" ht="81" hidden="1" x14ac:dyDescent="0.4">
      <c r="A74" s="1356" t="s">
        <v>182</v>
      </c>
      <c r="B74" s="1417">
        <v>0</v>
      </c>
      <c r="C74" s="1046" t="s">
        <v>1064</v>
      </c>
      <c r="D74" s="1066"/>
    </row>
    <row r="75" spans="1:4" hidden="1" x14ac:dyDescent="0.4">
      <c r="A75" s="1025" t="s">
        <v>183</v>
      </c>
      <c r="B75" s="1399">
        <v>0</v>
      </c>
      <c r="C75" s="978"/>
      <c r="D75" s="1026"/>
    </row>
    <row r="76" spans="1:4" hidden="1" x14ac:dyDescent="0.4">
      <c r="A76" s="1025" t="s">
        <v>406</v>
      </c>
      <c r="B76" s="1399">
        <v>0</v>
      </c>
      <c r="C76" s="978"/>
      <c r="D76" s="1026"/>
    </row>
    <row r="77" spans="1:4" hidden="1" x14ac:dyDescent="0.4">
      <c r="A77" s="1025" t="s">
        <v>408</v>
      </c>
      <c r="B77" s="1399">
        <v>0</v>
      </c>
      <c r="C77" s="978"/>
      <c r="D77" s="1026"/>
    </row>
    <row r="78" spans="1:4" hidden="1" x14ac:dyDescent="0.4">
      <c r="A78" s="1025" t="s">
        <v>187</v>
      </c>
      <c r="B78" s="1399">
        <v>0</v>
      </c>
      <c r="C78" s="978"/>
      <c r="D78" s="1026"/>
    </row>
    <row r="79" spans="1:4" hidden="1" x14ac:dyDescent="0.4">
      <c r="A79" s="1025" t="s">
        <v>189</v>
      </c>
      <c r="B79" s="1399">
        <v>0</v>
      </c>
      <c r="C79" s="978"/>
      <c r="D79" s="1026"/>
    </row>
    <row r="80" spans="1:4" ht="9.9" customHeight="1" x14ac:dyDescent="0.4">
      <c r="A80" s="961"/>
      <c r="B80" s="1370"/>
      <c r="C80" s="1008"/>
      <c r="D80" s="990"/>
    </row>
    <row r="81" spans="1:4" ht="18" customHeight="1" x14ac:dyDescent="0.4">
      <c r="A81" s="984">
        <v>1</v>
      </c>
      <c r="B81" s="1377">
        <f>SUM(B37:B79)</f>
        <v>171383600</v>
      </c>
      <c r="C81" s="985" t="s">
        <v>492</v>
      </c>
      <c r="D81" s="966"/>
    </row>
    <row r="82" spans="1:4" ht="9.9" customHeight="1" x14ac:dyDescent="0.4">
      <c r="A82" s="967"/>
      <c r="B82" s="1372"/>
      <c r="C82" s="968"/>
      <c r="D82" s="969"/>
    </row>
    <row r="83" spans="1:4" ht="18" customHeight="1" x14ac:dyDescent="0.4">
      <c r="A83" s="1529" t="s">
        <v>22</v>
      </c>
      <c r="B83" s="1530"/>
      <c r="C83" s="1530"/>
      <c r="D83" s="1005"/>
    </row>
    <row r="84" spans="1:4" ht="48.6" hidden="1" x14ac:dyDescent="0.4">
      <c r="A84" s="1350" t="s">
        <v>193</v>
      </c>
      <c r="B84" s="1399">
        <v>0</v>
      </c>
      <c r="C84" s="978" t="s">
        <v>508</v>
      </c>
      <c r="D84" s="1028" t="s">
        <v>480</v>
      </c>
    </row>
    <row r="85" spans="1:4" ht="32.4" hidden="1" x14ac:dyDescent="0.4">
      <c r="A85" s="862" t="s">
        <v>195</v>
      </c>
      <c r="B85" s="1380">
        <v>0</v>
      </c>
      <c r="C85" s="886" t="s">
        <v>560</v>
      </c>
      <c r="D85" s="1028"/>
    </row>
    <row r="86" spans="1:4" ht="32.4" hidden="1" x14ac:dyDescent="0.4">
      <c r="A86" s="862" t="s">
        <v>197</v>
      </c>
      <c r="B86" s="1380">
        <v>0</v>
      </c>
      <c r="C86" s="886" t="s">
        <v>508</v>
      </c>
      <c r="D86" s="1028"/>
    </row>
    <row r="87" spans="1:4" ht="8.1" hidden="1" customHeight="1" x14ac:dyDescent="0.4">
      <c r="A87" s="862" t="s">
        <v>199</v>
      </c>
      <c r="B87" s="1380">
        <v>0</v>
      </c>
      <c r="C87" s="886"/>
      <c r="D87" s="1028"/>
    </row>
    <row r="88" spans="1:4" ht="48.6" hidden="1" x14ac:dyDescent="0.4">
      <c r="A88" s="862" t="s">
        <v>351</v>
      </c>
      <c r="B88" s="1380">
        <v>0</v>
      </c>
      <c r="C88" s="886" t="s">
        <v>528</v>
      </c>
      <c r="D88" s="952"/>
    </row>
    <row r="89" spans="1:4" ht="20.100000000000001" hidden="1" customHeight="1" x14ac:dyDescent="0.4">
      <c r="A89" s="862" t="s">
        <v>202</v>
      </c>
      <c r="B89" s="1380">
        <v>0</v>
      </c>
      <c r="C89" s="886" t="s">
        <v>1093</v>
      </c>
      <c r="D89" s="952"/>
    </row>
    <row r="90" spans="1:4" hidden="1" x14ac:dyDescent="0.4">
      <c r="A90" s="862" t="s">
        <v>204</v>
      </c>
      <c r="B90" s="1380">
        <v>0</v>
      </c>
      <c r="C90" s="1029"/>
      <c r="D90" s="952"/>
    </row>
    <row r="91" spans="1:4" ht="111.75" customHeight="1" x14ac:dyDescent="0.4">
      <c r="A91" s="862" t="s">
        <v>206</v>
      </c>
      <c r="B91" s="1369">
        <f>SUMIF(' CLASIFICACION DE GASTOS 2024'!$A$18:$A$220,$A91,' CLASIFICACION DE GASTOS 2024'!$F$18:$F$220)</f>
        <v>350000</v>
      </c>
      <c r="C91" s="1000" t="s">
        <v>1735</v>
      </c>
      <c r="D91" s="1103" t="s">
        <v>480</v>
      </c>
    </row>
    <row r="92" spans="1:4" ht="47.4" hidden="1" customHeight="1" x14ac:dyDescent="0.4">
      <c r="A92" s="862" t="s">
        <v>208</v>
      </c>
      <c r="B92" s="1380">
        <v>0</v>
      </c>
      <c r="C92" s="1029"/>
      <c r="D92" s="952"/>
    </row>
    <row r="93" spans="1:4" ht="8.1" hidden="1" customHeight="1" x14ac:dyDescent="0.4">
      <c r="A93" s="862" t="s">
        <v>210</v>
      </c>
      <c r="B93" s="1380">
        <v>0</v>
      </c>
      <c r="C93" s="886"/>
      <c r="D93" s="952"/>
    </row>
    <row r="94" spans="1:4" hidden="1" x14ac:dyDescent="0.4">
      <c r="A94" s="862" t="s">
        <v>212</v>
      </c>
      <c r="B94" s="1380">
        <v>0</v>
      </c>
      <c r="C94" s="1029"/>
      <c r="D94" s="952"/>
    </row>
    <row r="95" spans="1:4" ht="8.1" hidden="1" customHeight="1" x14ac:dyDescent="0.4">
      <c r="A95" s="862" t="s">
        <v>216</v>
      </c>
      <c r="B95" s="1380">
        <v>0</v>
      </c>
      <c r="C95" s="886"/>
      <c r="D95" s="952"/>
    </row>
    <row r="96" spans="1:4" ht="64.8" hidden="1" x14ac:dyDescent="0.4">
      <c r="A96" s="862" t="s">
        <v>218</v>
      </c>
      <c r="B96" s="1380">
        <v>0</v>
      </c>
      <c r="C96" s="886" t="s">
        <v>561</v>
      </c>
      <c r="D96" s="952"/>
    </row>
    <row r="97" spans="1:4" ht="81" hidden="1" x14ac:dyDescent="0.4">
      <c r="A97" s="862" t="s">
        <v>221</v>
      </c>
      <c r="B97" s="1380">
        <v>0</v>
      </c>
      <c r="C97" s="886" t="s">
        <v>495</v>
      </c>
      <c r="D97" s="952"/>
    </row>
    <row r="98" spans="1:4" ht="47.4" hidden="1" customHeight="1" x14ac:dyDescent="0.4">
      <c r="A98" s="862" t="s">
        <v>223</v>
      </c>
      <c r="B98" s="1380">
        <v>0</v>
      </c>
      <c r="C98" s="886"/>
      <c r="D98" s="952"/>
    </row>
    <row r="99" spans="1:4" ht="54.6" hidden="1" customHeight="1" x14ac:dyDescent="0.4">
      <c r="A99" s="862" t="s">
        <v>224</v>
      </c>
      <c r="B99" s="1380">
        <v>0</v>
      </c>
      <c r="C99" s="886" t="s">
        <v>1109</v>
      </c>
      <c r="D99" s="952"/>
    </row>
    <row r="100" spans="1:4" ht="64.8" hidden="1" x14ac:dyDescent="0.4">
      <c r="A100" s="862" t="s">
        <v>226</v>
      </c>
      <c r="B100" s="1380">
        <v>0</v>
      </c>
      <c r="C100" s="886" t="s">
        <v>531</v>
      </c>
      <c r="D100" s="975"/>
    </row>
    <row r="101" spans="1:4" ht="47.4" hidden="1" customHeight="1" x14ac:dyDescent="0.4">
      <c r="A101" s="1113" t="s">
        <v>228</v>
      </c>
      <c r="B101" s="1381">
        <v>0</v>
      </c>
      <c r="C101" s="956" t="s">
        <v>498</v>
      </c>
      <c r="D101" s="952"/>
    </row>
    <row r="102" spans="1:4" ht="47.4" hidden="1" customHeight="1" x14ac:dyDescent="0.4">
      <c r="A102" s="862" t="s">
        <v>230</v>
      </c>
      <c r="B102" s="1380">
        <v>0</v>
      </c>
      <c r="C102" s="886"/>
      <c r="D102" s="952"/>
    </row>
    <row r="103" spans="1:4" ht="47.4" hidden="1" customHeight="1" x14ac:dyDescent="0.4">
      <c r="A103" s="862" t="s">
        <v>366</v>
      </c>
      <c r="B103" s="1380">
        <v>0</v>
      </c>
      <c r="C103" s="886" t="s">
        <v>562</v>
      </c>
      <c r="D103" s="952"/>
    </row>
    <row r="104" spans="1:4" ht="47.4" hidden="1" customHeight="1" x14ac:dyDescent="0.4">
      <c r="A104" s="1114" t="s">
        <v>232</v>
      </c>
      <c r="B104" s="1382">
        <v>0</v>
      </c>
      <c r="C104" s="978"/>
      <c r="D104" s="952"/>
    </row>
    <row r="105" spans="1:4" ht="9.9" customHeight="1" x14ac:dyDescent="0.4">
      <c r="A105" s="961"/>
      <c r="B105" s="1370"/>
      <c r="C105" s="962"/>
      <c r="D105" s="990"/>
    </row>
    <row r="106" spans="1:4" ht="18" customHeight="1" x14ac:dyDescent="0.4">
      <c r="A106" s="964">
        <v>2</v>
      </c>
      <c r="B106" s="1371">
        <f>SUM(B84:B104)</f>
        <v>350000</v>
      </c>
      <c r="C106" s="965" t="s">
        <v>492</v>
      </c>
      <c r="D106" s="966"/>
    </row>
    <row r="107" spans="1:4" ht="9" hidden="1" customHeight="1" outlineLevel="1" x14ac:dyDescent="0.4">
      <c r="A107" s="967"/>
      <c r="B107" s="1372"/>
      <c r="C107" s="968"/>
      <c r="D107" s="969"/>
    </row>
    <row r="108" spans="1:4" ht="13.2" hidden="1" customHeight="1" outlineLevel="1" x14ac:dyDescent="0.4">
      <c r="A108" s="1529" t="s">
        <v>57</v>
      </c>
      <c r="B108" s="1530"/>
      <c r="C108" s="1530"/>
      <c r="D108" s="1005"/>
    </row>
    <row r="109" spans="1:4" hidden="1" outlineLevel="1" x14ac:dyDescent="0.4">
      <c r="A109" s="862" t="s">
        <v>430</v>
      </c>
      <c r="B109" s="1380">
        <v>0</v>
      </c>
      <c r="C109" s="372"/>
      <c r="D109" s="1049"/>
    </row>
    <row r="110" spans="1:4" hidden="1" outlineLevel="1" x14ac:dyDescent="0.4">
      <c r="A110" s="862" t="s">
        <v>236</v>
      </c>
      <c r="B110" s="1380">
        <v>0</v>
      </c>
      <c r="C110" s="886"/>
      <c r="D110" s="955"/>
    </row>
    <row r="111" spans="1:4" ht="243" hidden="1" outlineLevel="1" x14ac:dyDescent="0.4">
      <c r="A111" s="862" t="s">
        <v>238</v>
      </c>
      <c r="B111" s="1380">
        <v>0</v>
      </c>
      <c r="C111" s="474" t="s">
        <v>1249</v>
      </c>
      <c r="D111" s="1523" t="s">
        <v>480</v>
      </c>
    </row>
    <row r="112" spans="1:4" ht="39.6" hidden="1" customHeight="1" outlineLevel="1" x14ac:dyDescent="0.4">
      <c r="A112" s="862" t="s">
        <v>240</v>
      </c>
      <c r="B112" s="1380">
        <v>0</v>
      </c>
      <c r="C112" s="886" t="s">
        <v>563</v>
      </c>
      <c r="D112" s="1523"/>
    </row>
    <row r="113" spans="1:4" ht="32.4" hidden="1" outlineLevel="1" x14ac:dyDescent="0.4">
      <c r="A113" s="862" t="s">
        <v>242</v>
      </c>
      <c r="B113" s="1380">
        <v>0</v>
      </c>
      <c r="C113" s="886" t="s">
        <v>1107</v>
      </c>
      <c r="D113" s="1523"/>
    </row>
    <row r="114" spans="1:4" ht="13.2" hidden="1" customHeight="1" outlineLevel="1" x14ac:dyDescent="0.4">
      <c r="A114" s="862" t="s">
        <v>244</v>
      </c>
      <c r="B114" s="1380">
        <v>0</v>
      </c>
      <c r="C114" s="886"/>
      <c r="D114" s="1523"/>
    </row>
    <row r="115" spans="1:4" ht="13.2" hidden="1" customHeight="1" outlineLevel="1" x14ac:dyDescent="0.4">
      <c r="A115" s="862" t="s">
        <v>246</v>
      </c>
      <c r="B115" s="1380">
        <v>0</v>
      </c>
      <c r="C115" s="886"/>
      <c r="D115" s="1523"/>
    </row>
    <row r="116" spans="1:4" ht="13.2" hidden="1" customHeight="1" outlineLevel="1" x14ac:dyDescent="0.4">
      <c r="A116" s="862" t="s">
        <v>248</v>
      </c>
      <c r="B116" s="1380">
        <v>0</v>
      </c>
      <c r="C116" s="886"/>
      <c r="D116" s="1523"/>
    </row>
    <row r="117" spans="1:4" ht="32.4" hidden="1" outlineLevel="1" x14ac:dyDescent="0.4">
      <c r="A117" s="862" t="s">
        <v>411</v>
      </c>
      <c r="B117" s="1380">
        <v>0</v>
      </c>
      <c r="C117" s="886" t="s">
        <v>530</v>
      </c>
      <c r="D117" s="1523"/>
    </row>
    <row r="118" spans="1:4" ht="6.75" hidden="1" customHeight="1" outlineLevel="1" x14ac:dyDescent="0.4">
      <c r="A118" s="862"/>
      <c r="B118" s="1380"/>
      <c r="C118" s="886"/>
      <c r="D118" s="955"/>
    </row>
    <row r="119" spans="1:4" ht="48.6" hidden="1" outlineLevel="1" x14ac:dyDescent="0.4">
      <c r="A119" s="862">
        <v>5</v>
      </c>
      <c r="B119" s="1380"/>
      <c r="C119" s="886" t="s">
        <v>529</v>
      </c>
      <c r="D119" s="955" t="s">
        <v>480</v>
      </c>
    </row>
    <row r="120" spans="1:4" ht="12.75" hidden="1" customHeight="1" outlineLevel="1" x14ac:dyDescent="0.4">
      <c r="A120" s="862"/>
      <c r="B120" s="1380"/>
      <c r="C120" s="886"/>
      <c r="D120" s="955"/>
    </row>
    <row r="121" spans="1:4" ht="64.8" hidden="1" outlineLevel="1" x14ac:dyDescent="0.4">
      <c r="A121" s="862"/>
      <c r="B121" s="1380"/>
      <c r="C121" s="886" t="s">
        <v>524</v>
      </c>
      <c r="D121" s="955"/>
    </row>
    <row r="122" spans="1:4" ht="12.75" hidden="1" customHeight="1" outlineLevel="1" x14ac:dyDescent="0.4">
      <c r="A122" s="862"/>
      <c r="B122" s="1380"/>
      <c r="C122" s="886"/>
      <c r="D122" s="955"/>
    </row>
    <row r="123" spans="1:4" ht="32.4" hidden="1" outlineLevel="1" x14ac:dyDescent="0.4">
      <c r="A123" s="862"/>
      <c r="B123" s="1380"/>
      <c r="C123" s="886" t="s">
        <v>530</v>
      </c>
      <c r="D123" s="955"/>
    </row>
    <row r="124" spans="1:4" ht="5.25" hidden="1" customHeight="1" outlineLevel="1" x14ac:dyDescent="0.4">
      <c r="A124" s="1114"/>
      <c r="B124" s="1382"/>
      <c r="C124" s="978"/>
      <c r="D124" s="955"/>
    </row>
    <row r="125" spans="1:4" ht="13.2" hidden="1" customHeight="1" outlineLevel="1" x14ac:dyDescent="0.4">
      <c r="A125" s="961"/>
      <c r="B125" s="1370"/>
      <c r="C125" s="1067"/>
      <c r="D125" s="990"/>
    </row>
    <row r="126" spans="1:4" ht="15" hidden="1" customHeight="1" outlineLevel="1" x14ac:dyDescent="0.4">
      <c r="A126" s="964">
        <v>5</v>
      </c>
      <c r="B126" s="1371">
        <f>SUM(B109:B123)</f>
        <v>0</v>
      </c>
      <c r="C126" s="965" t="s">
        <v>492</v>
      </c>
      <c r="D126" s="966"/>
    </row>
    <row r="127" spans="1:4" ht="9.9" customHeight="1" collapsed="1" x14ac:dyDescent="0.4">
      <c r="A127" s="967"/>
      <c r="B127" s="1372"/>
      <c r="C127" s="968"/>
      <c r="D127" s="969"/>
    </row>
    <row r="128" spans="1:4" ht="18" customHeight="1" x14ac:dyDescent="0.4">
      <c r="A128" s="1526" t="s">
        <v>20</v>
      </c>
      <c r="B128" s="1527"/>
      <c r="C128" s="1561"/>
      <c r="D128" s="1005"/>
    </row>
    <row r="129" spans="1:4" ht="50.4" hidden="1" customHeight="1" x14ac:dyDescent="0.4">
      <c r="A129" s="1033" t="s">
        <v>353</v>
      </c>
      <c r="B129" s="1380">
        <v>0</v>
      </c>
      <c r="C129" s="987" t="s">
        <v>1108</v>
      </c>
      <c r="D129" s="1104" t="s">
        <v>480</v>
      </c>
    </row>
    <row r="130" spans="1:4" ht="66" hidden="1" customHeight="1" x14ac:dyDescent="0.4">
      <c r="A130" s="1033" t="s">
        <v>263</v>
      </c>
      <c r="B130" s="1380">
        <v>0</v>
      </c>
      <c r="C130" s="987" t="s">
        <v>499</v>
      </c>
      <c r="D130" s="1097"/>
    </row>
    <row r="131" spans="1:4" ht="51" hidden="1" customHeight="1" x14ac:dyDescent="0.4">
      <c r="A131" s="1033"/>
      <c r="B131" s="1380"/>
      <c r="C131" s="987" t="s">
        <v>499</v>
      </c>
      <c r="D131" s="1097"/>
    </row>
    <row r="132" spans="1:4" ht="12.75" hidden="1" customHeight="1" x14ac:dyDescent="0.4">
      <c r="A132" s="1033"/>
      <c r="B132" s="1380"/>
      <c r="C132" s="886"/>
      <c r="D132" s="1097"/>
    </row>
    <row r="133" spans="1:4" ht="49.5" customHeight="1" x14ac:dyDescent="0.4">
      <c r="A133" s="863" t="s">
        <v>359</v>
      </c>
      <c r="B133" s="1369">
        <f>SUMIF(' CLASIFICACION DE GASTOS 2024'!$A$18:$A$220,$A133,' CLASIFICACION DE GASTOS 2024'!$F$18:$F$220)</f>
        <v>1200000</v>
      </c>
      <c r="C133" s="886" t="s">
        <v>525</v>
      </c>
      <c r="D133" s="1097" t="s">
        <v>480</v>
      </c>
    </row>
    <row r="134" spans="1:4" ht="8.1" hidden="1" customHeight="1" x14ac:dyDescent="0.4">
      <c r="A134" s="1033"/>
      <c r="B134" s="1380"/>
      <c r="C134" s="886"/>
      <c r="D134" s="1097"/>
    </row>
    <row r="135" spans="1:4" ht="25.5" hidden="1" customHeight="1" x14ac:dyDescent="0.4">
      <c r="A135" s="1033"/>
      <c r="B135" s="1380"/>
      <c r="C135" s="886" t="s">
        <v>532</v>
      </c>
      <c r="D135" s="1097"/>
    </row>
    <row r="136" spans="1:4" ht="13.5" hidden="1" customHeight="1" x14ac:dyDescent="0.4">
      <c r="A136" s="1116"/>
      <c r="B136" s="1394"/>
      <c r="C136" s="1068"/>
      <c r="D136" s="1097"/>
    </row>
    <row r="137" spans="1:4" ht="9.9" customHeight="1" x14ac:dyDescent="0.4">
      <c r="A137" s="1007"/>
      <c r="B137" s="1370"/>
      <c r="C137" s="983"/>
      <c r="D137" s="990"/>
    </row>
    <row r="138" spans="1:4" ht="18" customHeight="1" x14ac:dyDescent="0.4">
      <c r="A138" s="964">
        <v>6</v>
      </c>
      <c r="B138" s="1371">
        <f>SUM(B129:B136)</f>
        <v>1200000</v>
      </c>
      <c r="C138" s="965" t="s">
        <v>492</v>
      </c>
      <c r="D138" s="966"/>
    </row>
    <row r="139" spans="1:4" hidden="1" x14ac:dyDescent="0.4">
      <c r="A139" s="1007"/>
      <c r="B139" s="1370"/>
      <c r="C139" s="1008"/>
      <c r="D139" s="990"/>
    </row>
    <row r="140" spans="1:4" hidden="1" x14ac:dyDescent="0.4">
      <c r="A140" s="1529" t="s">
        <v>58</v>
      </c>
      <c r="B140" s="1530"/>
      <c r="C140" s="1530"/>
      <c r="D140" s="1005"/>
    </row>
    <row r="141" spans="1:4" ht="21" hidden="1" customHeight="1" outlineLevel="1" x14ac:dyDescent="0.4">
      <c r="A141" s="1351" t="str">
        <f>+'[4]PRESUPUESTO 2012'!A195</f>
        <v>9.02.01</v>
      </c>
      <c r="B141" s="1399">
        <f>+'[3]CLASIFICACION PRESUPUESTARIA'!AZ212</f>
        <v>0</v>
      </c>
      <c r="C141" s="1042"/>
      <c r="D141" s="990"/>
    </row>
    <row r="142" spans="1:4" ht="405" hidden="1" outlineLevel="1" x14ac:dyDescent="0.4">
      <c r="A142" s="1357" t="s">
        <v>271</v>
      </c>
      <c r="B142" s="1381">
        <v>0</v>
      </c>
      <c r="C142" s="1069" t="s">
        <v>1140</v>
      </c>
      <c r="D142" s="1099" t="s">
        <v>480</v>
      </c>
    </row>
    <row r="143" spans="1:4" ht="13.2" hidden="1" customHeight="1" outlineLevel="1" x14ac:dyDescent="0.4">
      <c r="A143" s="961"/>
      <c r="B143" s="1401"/>
      <c r="C143" s="1043"/>
      <c r="D143" s="990"/>
    </row>
    <row r="144" spans="1:4" ht="15" hidden="1" customHeight="1" outlineLevel="1" x14ac:dyDescent="0.4">
      <c r="A144" s="964">
        <v>9</v>
      </c>
      <c r="B144" s="1371">
        <f>SUM(B141:B142)</f>
        <v>0</v>
      </c>
      <c r="C144" s="965" t="s">
        <v>492</v>
      </c>
      <c r="D144" s="1012"/>
    </row>
    <row r="145" spans="1:9" ht="9.9" customHeight="1" outlineLevel="1" thickBot="1" x14ac:dyDescent="0.45">
      <c r="A145" s="925"/>
      <c r="B145" s="918"/>
      <c r="C145" s="1013"/>
      <c r="D145" s="1014"/>
    </row>
    <row r="146" spans="1:9" ht="18" customHeight="1" thickBot="1" x14ac:dyDescent="0.45">
      <c r="A146" s="1015"/>
      <c r="B146" s="1391">
        <f>+B106+B81+B34+B138+B126+B144</f>
        <v>561509600</v>
      </c>
      <c r="C146" s="1016" t="s">
        <v>500</v>
      </c>
      <c r="D146" s="1017"/>
      <c r="I146" s="384"/>
    </row>
    <row r="147" spans="1:9" ht="9.9" customHeight="1" thickBot="1" x14ac:dyDescent="0.45">
      <c r="A147" s="1358"/>
      <c r="B147" s="712"/>
      <c r="C147" s="372"/>
    </row>
    <row r="148" spans="1:9" ht="19.95" customHeight="1" thickBot="1" x14ac:dyDescent="0.45">
      <c r="A148" s="1018"/>
      <c r="B148" s="1392">
        <f>+B138+B126+B106+B81+B34+B144</f>
        <v>561509600</v>
      </c>
      <c r="C148" s="1019" t="s">
        <v>507</v>
      </c>
      <c r="D148" s="1065"/>
    </row>
    <row r="149" spans="1:9" ht="8.25" customHeight="1" thickBot="1" x14ac:dyDescent="0.45">
      <c r="A149" s="1358"/>
      <c r="B149" s="712"/>
      <c r="C149" s="372"/>
    </row>
    <row r="150" spans="1:9" ht="19.95" customHeight="1" thickBot="1" x14ac:dyDescent="0.45">
      <c r="A150" s="1070"/>
      <c r="B150" s="1418">
        <f>+B148+'JUST. PROG.03'!B177+'JUST. PROG.02'!B136+'JUST. PROG.01'!B175</f>
        <v>15002038951.449999</v>
      </c>
      <c r="C150" s="1071" t="s">
        <v>1740</v>
      </c>
      <c r="D150" s="1072"/>
    </row>
  </sheetData>
  <mergeCells count="12">
    <mergeCell ref="A108:C108"/>
    <mergeCell ref="D111:D117"/>
    <mergeCell ref="A128:C128"/>
    <mergeCell ref="A140:C140"/>
    <mergeCell ref="A83:C83"/>
    <mergeCell ref="D29:D31"/>
    <mergeCell ref="D51:D61"/>
    <mergeCell ref="A2:D2"/>
    <mergeCell ref="A3:D3"/>
    <mergeCell ref="A4:D4"/>
    <mergeCell ref="A6:D6"/>
    <mergeCell ref="A12:C12"/>
  </mergeCells>
  <phoneticPr fontId="2" type="noConversion"/>
  <printOptions horizontalCentered="1"/>
  <pageMargins left="0.78740157480314965" right="0.78740157480314965" top="0.78740157480314965" bottom="0.78740157480314965" header="0.59055118110236227" footer="0.59055118110236227"/>
  <pageSetup scale="78" firstPageNumber="39" orientation="portrait" useFirstPageNumber="1" r:id="rId1"/>
  <headerFooter>
    <oddFooter>&amp;C&amp;P</oddFooter>
  </headerFooter>
  <rowBreaks count="3" manualBreakCount="3">
    <brk id="28" max="16383" man="1"/>
    <brk id="50" max="3" man="1"/>
    <brk id="63"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0">
    <tabColor rgb="FFFF0000"/>
  </sheetPr>
  <dimension ref="A1:BK155"/>
  <sheetViews>
    <sheetView showGridLines="0" zoomScale="80" zoomScaleNormal="80" workbookViewId="0">
      <pane xSplit="2" ySplit="9" topLeftCell="BD127" activePane="bottomRight" state="frozen"/>
      <selection activeCell="A153" sqref="A1:IV65536"/>
      <selection pane="topRight" activeCell="A153" sqref="A1:IV65536"/>
      <selection pane="bottomLeft" activeCell="A153" sqref="A1:IV65536"/>
      <selection pane="bottomRight" activeCell="BE140" sqref="BE140"/>
    </sheetView>
  </sheetViews>
  <sheetFormatPr baseColWidth="10" defaultColWidth="11.44140625" defaultRowHeight="13.8" outlineLevelRow="1" x14ac:dyDescent="0.25"/>
  <cols>
    <col min="1" max="1" width="13.109375" style="85" customWidth="1"/>
    <col min="2" max="2" width="58.6640625" style="85" bestFit="1" customWidth="1"/>
    <col min="3" max="17" width="22.109375" style="85" customWidth="1"/>
    <col min="18" max="18" width="18.5546875" style="85" bestFit="1" customWidth="1"/>
    <col min="19" max="19" width="17.109375" style="85" customWidth="1"/>
    <col min="20" max="20" width="17.109375" style="85" bestFit="1" customWidth="1"/>
    <col min="21" max="21" width="22.109375" style="85" customWidth="1"/>
    <col min="22" max="22" width="17.44140625" style="85" customWidth="1"/>
    <col min="23" max="44" width="22.109375" style="85" customWidth="1"/>
    <col min="45" max="45" width="19.5546875" style="85" customWidth="1"/>
    <col min="46" max="47" width="15.33203125" style="85" customWidth="1"/>
    <col min="48" max="48" width="18.5546875" style="85" bestFit="1" customWidth="1"/>
    <col min="49" max="52" width="22.109375" style="85" customWidth="1"/>
    <col min="53" max="54" width="22.33203125" style="85" customWidth="1"/>
    <col min="55" max="55" width="22.109375" style="85" customWidth="1"/>
    <col min="56" max="56" width="17.109375" style="85" bestFit="1" customWidth="1"/>
    <col min="57" max="59" width="19.88671875" style="85" bestFit="1" customWidth="1"/>
    <col min="60" max="62" width="11.44140625" style="85"/>
    <col min="63" max="63" width="14.6640625" style="85" bestFit="1" customWidth="1"/>
    <col min="64" max="16384" width="11.44140625" style="85"/>
  </cols>
  <sheetData>
    <row r="1" spans="1:63" x14ac:dyDescent="0.25">
      <c r="B1" s="339" t="s">
        <v>1237</v>
      </c>
    </row>
    <row r="2" spans="1:63" x14ac:dyDescent="0.25">
      <c r="B2" s="339" t="s">
        <v>6</v>
      </c>
    </row>
    <row r="3" spans="1:63" x14ac:dyDescent="0.25">
      <c r="B3" s="340" t="s">
        <v>1268</v>
      </c>
    </row>
    <row r="4" spans="1:63" x14ac:dyDescent="0.25">
      <c r="B4" s="340" t="s">
        <v>1238</v>
      </c>
    </row>
    <row r="5" spans="1:63" x14ac:dyDescent="0.25">
      <c r="B5" s="340" t="s">
        <v>1269</v>
      </c>
    </row>
    <row r="7" spans="1:63" x14ac:dyDescent="0.25">
      <c r="B7" s="341" t="s">
        <v>1239</v>
      </c>
    </row>
    <row r="8" spans="1:63" s="91" customFormat="1" ht="45.6" x14ac:dyDescent="0.25">
      <c r="A8" s="85"/>
      <c r="B8" s="340" t="s">
        <v>1270</v>
      </c>
      <c r="C8" s="1457" t="s">
        <v>1145</v>
      </c>
      <c r="D8" s="1457" t="s">
        <v>1146</v>
      </c>
      <c r="E8" s="1457" t="s">
        <v>1147</v>
      </c>
      <c r="F8" s="1457" t="s">
        <v>1148</v>
      </c>
      <c r="G8" s="1457" t="s">
        <v>1149</v>
      </c>
      <c r="H8" s="1457" t="s">
        <v>1150</v>
      </c>
      <c r="I8" s="1457" t="s">
        <v>1151</v>
      </c>
      <c r="J8" s="1457" t="s">
        <v>1152</v>
      </c>
      <c r="K8" s="1457" t="s">
        <v>1153</v>
      </c>
      <c r="L8" s="1457" t="s">
        <v>1154</v>
      </c>
      <c r="M8" s="1457" t="s">
        <v>1155</v>
      </c>
      <c r="N8" s="1457" t="s">
        <v>1156</v>
      </c>
      <c r="O8" s="1457" t="s">
        <v>1157</v>
      </c>
      <c r="P8" s="1457" t="s">
        <v>1158</v>
      </c>
      <c r="Q8" s="1457" t="s">
        <v>1159</v>
      </c>
      <c r="R8" s="85"/>
      <c r="S8" s="85"/>
      <c r="T8" s="85"/>
      <c r="U8" s="85"/>
      <c r="V8" s="85"/>
      <c r="W8" s="85"/>
      <c r="X8" s="85"/>
      <c r="Y8" s="85"/>
      <c r="Z8" s="85"/>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D8" s="85"/>
      <c r="BE8" s="85"/>
      <c r="BF8" s="85"/>
      <c r="BG8" s="85"/>
    </row>
    <row r="9" spans="1:63" s="350" customFormat="1" ht="69" x14ac:dyDescent="0.25">
      <c r="A9" s="348" t="s">
        <v>1144</v>
      </c>
      <c r="B9" s="348" t="s">
        <v>47</v>
      </c>
      <c r="C9" s="348" t="s">
        <v>1145</v>
      </c>
      <c r="D9" s="348" t="s">
        <v>1146</v>
      </c>
      <c r="E9" s="348" t="s">
        <v>1147</v>
      </c>
      <c r="F9" s="348" t="s">
        <v>1148</v>
      </c>
      <c r="G9" s="348" t="s">
        <v>1149</v>
      </c>
      <c r="H9" s="348" t="s">
        <v>1150</v>
      </c>
      <c r="I9" s="348" t="s">
        <v>1151</v>
      </c>
      <c r="J9" s="348" t="s">
        <v>1152</v>
      </c>
      <c r="K9" s="348" t="s">
        <v>1153</v>
      </c>
      <c r="L9" s="348" t="s">
        <v>1154</v>
      </c>
      <c r="M9" s="348" t="s">
        <v>1155</v>
      </c>
      <c r="N9" s="348" t="s">
        <v>1156</v>
      </c>
      <c r="O9" s="348" t="s">
        <v>1157</v>
      </c>
      <c r="P9" s="348" t="s">
        <v>1158</v>
      </c>
      <c r="Q9" s="348" t="s">
        <v>1159</v>
      </c>
      <c r="R9" s="349" t="s">
        <v>1160</v>
      </c>
      <c r="S9" s="348" t="s">
        <v>1259</v>
      </c>
      <c r="T9" s="349" t="s">
        <v>1161</v>
      </c>
      <c r="U9" s="348" t="s">
        <v>1162</v>
      </c>
      <c r="V9" s="348" t="s">
        <v>1163</v>
      </c>
      <c r="W9" s="348" t="s">
        <v>1164</v>
      </c>
      <c r="X9" s="348" t="s">
        <v>1165</v>
      </c>
      <c r="Y9" s="348" t="s">
        <v>1166</v>
      </c>
      <c r="Z9" s="348" t="s">
        <v>1167</v>
      </c>
      <c r="AA9" s="348" t="s">
        <v>1168</v>
      </c>
      <c r="AB9" s="348" t="s">
        <v>1169</v>
      </c>
      <c r="AC9" s="356" t="s">
        <v>1260</v>
      </c>
      <c r="AD9" s="348" t="s">
        <v>1170</v>
      </c>
      <c r="AE9" s="348" t="s">
        <v>1171</v>
      </c>
      <c r="AF9" s="348" t="s">
        <v>1172</v>
      </c>
      <c r="AG9" s="348" t="s">
        <v>1173</v>
      </c>
      <c r="AH9" s="348" t="s">
        <v>1174</v>
      </c>
      <c r="AI9" s="357" t="s">
        <v>1261</v>
      </c>
      <c r="AJ9" s="348" t="s">
        <v>1175</v>
      </c>
      <c r="AK9" s="357" t="s">
        <v>1291</v>
      </c>
      <c r="AL9" s="348" t="s">
        <v>1262</v>
      </c>
      <c r="AM9" s="357" t="s">
        <v>1292</v>
      </c>
      <c r="AN9" s="348" t="s">
        <v>1176</v>
      </c>
      <c r="AO9" s="357" t="s">
        <v>1263</v>
      </c>
      <c r="AP9" s="348" t="s">
        <v>1264</v>
      </c>
      <c r="AQ9" s="356" t="s">
        <v>1265</v>
      </c>
      <c r="AR9" s="356" t="s">
        <v>1293</v>
      </c>
      <c r="AS9" s="356" t="s">
        <v>1294</v>
      </c>
      <c r="AT9" s="356" t="s">
        <v>1281</v>
      </c>
      <c r="AU9" s="348" t="s">
        <v>1266</v>
      </c>
      <c r="AV9" s="349" t="s">
        <v>1177</v>
      </c>
      <c r="AW9" s="348" t="s">
        <v>1178</v>
      </c>
      <c r="AX9" s="348" t="s">
        <v>1179</v>
      </c>
      <c r="AY9" s="348" t="s">
        <v>1180</v>
      </c>
      <c r="AZ9" s="348" t="s">
        <v>1181</v>
      </c>
      <c r="BA9" s="348" t="s">
        <v>1182</v>
      </c>
      <c r="BB9" s="348" t="s">
        <v>1183</v>
      </c>
      <c r="BC9" s="348" t="s">
        <v>1184</v>
      </c>
      <c r="BD9" s="349" t="s">
        <v>1185</v>
      </c>
      <c r="BE9" s="351" t="s">
        <v>21</v>
      </c>
      <c r="BF9" s="356" t="s">
        <v>1279</v>
      </c>
      <c r="BG9" s="356" t="s">
        <v>1280</v>
      </c>
    </row>
    <row r="10" spans="1:63" s="346" customFormat="1" outlineLevel="1" x14ac:dyDescent="0.25">
      <c r="A10" s="340" t="s">
        <v>72</v>
      </c>
      <c r="B10" s="340" t="s">
        <v>1186</v>
      </c>
      <c r="C10" s="342">
        <v>96402500</v>
      </c>
      <c r="D10" s="342">
        <v>4626500</v>
      </c>
      <c r="E10" s="342">
        <v>76289000</v>
      </c>
      <c r="F10" s="342">
        <v>119939500</v>
      </c>
      <c r="G10" s="342">
        <v>35271500</v>
      </c>
      <c r="H10" s="342">
        <v>53685500</v>
      </c>
      <c r="I10" s="342">
        <v>90814500</v>
      </c>
      <c r="J10" s="342">
        <v>72591000</v>
      </c>
      <c r="K10" s="342">
        <v>118010000</v>
      </c>
      <c r="L10" s="342">
        <v>25242000</v>
      </c>
      <c r="M10" s="342">
        <v>18379000</v>
      </c>
      <c r="N10" s="342">
        <v>29195000</v>
      </c>
      <c r="O10" s="342">
        <v>29997500</v>
      </c>
      <c r="P10" s="342">
        <v>285276000</v>
      </c>
      <c r="Q10" s="342"/>
      <c r="R10" s="1121">
        <f>SUM(C10:Q10)</f>
        <v>1055719500</v>
      </c>
      <c r="S10" s="342">
        <v>222821000</v>
      </c>
      <c r="T10" s="342">
        <f>+S10</f>
        <v>222821000</v>
      </c>
      <c r="U10" s="342">
        <v>102581000</v>
      </c>
      <c r="V10" s="342">
        <v>28722500</v>
      </c>
      <c r="W10" s="342">
        <v>80909500</v>
      </c>
      <c r="X10" s="342">
        <v>289005000</v>
      </c>
      <c r="Y10" s="342">
        <v>25156500</v>
      </c>
      <c r="Z10" s="342">
        <v>125123500</v>
      </c>
      <c r="AA10" s="342">
        <v>155846499.99999997</v>
      </c>
      <c r="AB10" s="342">
        <v>56201000</v>
      </c>
      <c r="AC10" s="342"/>
      <c r="AD10" s="342">
        <v>41027000</v>
      </c>
      <c r="AE10" s="342">
        <v>231208499.99999997</v>
      </c>
      <c r="AF10" s="342">
        <v>202626499.99999997</v>
      </c>
      <c r="AG10" s="342">
        <v>73714000</v>
      </c>
      <c r="AH10" s="342">
        <v>68510000</v>
      </c>
      <c r="AI10" s="342">
        <v>46548500</v>
      </c>
      <c r="AJ10" s="342"/>
      <c r="AK10" s="342">
        <v>71868000</v>
      </c>
      <c r="AL10" s="342">
        <v>288000</v>
      </c>
      <c r="AM10" s="342"/>
      <c r="AN10" s="342"/>
      <c r="AO10" s="342">
        <v>105691000</v>
      </c>
      <c r="AP10" s="342">
        <v>41382500</v>
      </c>
      <c r="AQ10" s="342"/>
      <c r="AR10" s="342"/>
      <c r="AS10" s="342"/>
      <c r="AT10" s="342"/>
      <c r="AU10" s="342">
        <v>67815500</v>
      </c>
      <c r="AV10" s="342">
        <f>SUM(U10:AU10)</f>
        <v>1814225000</v>
      </c>
      <c r="AW10" s="342">
        <v>35117500</v>
      </c>
      <c r="AX10" s="342">
        <v>58233000</v>
      </c>
      <c r="AY10" s="342">
        <v>23887500</v>
      </c>
      <c r="AZ10" s="342">
        <v>22940000</v>
      </c>
      <c r="BA10" s="342">
        <v>34627500</v>
      </c>
      <c r="BB10" s="342"/>
      <c r="BC10" s="342"/>
      <c r="BD10" s="342">
        <f>SUM(AW10:BC10)</f>
        <v>174805500</v>
      </c>
      <c r="BE10" s="342">
        <f>+BD10+AV10+T10+R10</f>
        <v>3267571000</v>
      </c>
      <c r="BF10" s="342">
        <f>+AC10+AS10+AT10+AR10+AQ10</f>
        <v>0</v>
      </c>
      <c r="BG10" s="342">
        <f>+BE10-BF10</f>
        <v>3267571000</v>
      </c>
      <c r="BH10" s="346" t="s">
        <v>72</v>
      </c>
      <c r="BI10" s="346" t="str">
        <f>+B10</f>
        <v>Sueldos para Cargos Fijos</v>
      </c>
      <c r="BJ10" s="346">
        <v>1</v>
      </c>
      <c r="BK10" s="1120">
        <f>+R10</f>
        <v>1055719500</v>
      </c>
    </row>
    <row r="11" spans="1:63" s="347" customFormat="1" outlineLevel="1" x14ac:dyDescent="0.25">
      <c r="A11" s="340" t="s">
        <v>73</v>
      </c>
      <c r="B11" s="340" t="s">
        <v>442</v>
      </c>
      <c r="C11" s="342"/>
      <c r="D11" s="342"/>
      <c r="E11" s="342"/>
      <c r="F11" s="342"/>
      <c r="G11" s="342"/>
      <c r="H11" s="342"/>
      <c r="I11" s="342"/>
      <c r="J11" s="342"/>
      <c r="K11" s="342"/>
      <c r="L11" s="342"/>
      <c r="M11" s="342"/>
      <c r="N11" s="342"/>
      <c r="O11" s="342"/>
      <c r="P11" s="342"/>
      <c r="Q11" s="342"/>
      <c r="R11" s="1121">
        <f t="shared" ref="R11:R74" si="0">SUM(C11:Q11)</f>
        <v>0</v>
      </c>
      <c r="S11" s="342">
        <v>3400500</v>
      </c>
      <c r="T11" s="342">
        <f t="shared" ref="T11:T74" si="1">+S11</f>
        <v>3400500</v>
      </c>
      <c r="U11" s="342"/>
      <c r="V11" s="342">
        <v>190680000</v>
      </c>
      <c r="W11" s="342"/>
      <c r="X11" s="342">
        <v>29788000</v>
      </c>
      <c r="Y11" s="342">
        <v>60229000</v>
      </c>
      <c r="Z11" s="342"/>
      <c r="AA11" s="342">
        <v>69327000</v>
      </c>
      <c r="AB11" s="342"/>
      <c r="AC11" s="342">
        <v>3624000</v>
      </c>
      <c r="AD11" s="342"/>
      <c r="AE11" s="342"/>
      <c r="AF11" s="342">
        <v>24440000</v>
      </c>
      <c r="AG11" s="342">
        <v>2114000</v>
      </c>
      <c r="AH11" s="342"/>
      <c r="AI11" s="342"/>
      <c r="AJ11" s="342"/>
      <c r="AK11" s="342"/>
      <c r="AL11" s="342">
        <v>45428500</v>
      </c>
      <c r="AM11" s="342"/>
      <c r="AN11" s="342">
        <v>151500</v>
      </c>
      <c r="AO11" s="342"/>
      <c r="AP11" s="342"/>
      <c r="AQ11" s="342">
        <v>1591500</v>
      </c>
      <c r="AR11" s="342"/>
      <c r="AS11" s="342">
        <v>574564000</v>
      </c>
      <c r="AT11" s="342">
        <v>16817000</v>
      </c>
      <c r="AU11" s="342"/>
      <c r="AV11" s="342">
        <f t="shared" ref="AV11:AV74" si="2">SUM(U11:AU11)</f>
        <v>1018754500</v>
      </c>
      <c r="AW11" s="342">
        <v>994000</v>
      </c>
      <c r="AX11" s="342"/>
      <c r="AY11" s="342"/>
      <c r="AZ11" s="342"/>
      <c r="BA11" s="342"/>
      <c r="BB11" s="342"/>
      <c r="BC11" s="342"/>
      <c r="BD11" s="342">
        <f t="shared" ref="BD11:BD74" si="3">SUM(AW11:BC11)</f>
        <v>994000</v>
      </c>
      <c r="BE11" s="342">
        <f t="shared" ref="BE11:BE74" si="4">+BD11+AV11+T11+R11</f>
        <v>1023149000</v>
      </c>
      <c r="BF11" s="342">
        <f t="shared" ref="BF11:BF74" si="5">+AC11+AS11+AT11+AR11+AQ11</f>
        <v>596596500</v>
      </c>
      <c r="BG11" s="342">
        <f t="shared" ref="BG11:BG74" si="6">+BE11-BF11</f>
        <v>426552500</v>
      </c>
      <c r="BH11" s="346" t="s">
        <v>73</v>
      </c>
      <c r="BI11" s="346" t="str">
        <f t="shared" ref="BI11:BI74" si="7">+B11</f>
        <v>Servicios Especiales</v>
      </c>
      <c r="BJ11" s="346">
        <v>1</v>
      </c>
      <c r="BK11" s="1120">
        <f t="shared" ref="BK11:BK74" si="8">+R11</f>
        <v>0</v>
      </c>
    </row>
    <row r="12" spans="1:63" s="346" customFormat="1" outlineLevel="1" x14ac:dyDescent="0.25">
      <c r="A12" s="340" t="s">
        <v>391</v>
      </c>
      <c r="B12" s="340" t="s">
        <v>374</v>
      </c>
      <c r="C12" s="342"/>
      <c r="D12" s="342"/>
      <c r="E12" s="342"/>
      <c r="F12" s="342"/>
      <c r="G12" s="342"/>
      <c r="H12" s="342"/>
      <c r="I12" s="342"/>
      <c r="J12" s="342"/>
      <c r="K12" s="342">
        <v>5000000</v>
      </c>
      <c r="L12" s="342"/>
      <c r="M12" s="342"/>
      <c r="N12" s="342"/>
      <c r="O12" s="342"/>
      <c r="P12" s="342"/>
      <c r="Q12" s="342"/>
      <c r="R12" s="1121">
        <f t="shared" si="0"/>
        <v>5000000</v>
      </c>
      <c r="S12" s="342"/>
      <c r="T12" s="342">
        <f t="shared" si="1"/>
        <v>0</v>
      </c>
      <c r="U12" s="342"/>
      <c r="V12" s="342"/>
      <c r="W12" s="342"/>
      <c r="X12" s="342"/>
      <c r="Y12" s="342"/>
      <c r="Z12" s="342"/>
      <c r="AA12" s="342"/>
      <c r="AB12" s="342"/>
      <c r="AC12" s="342"/>
      <c r="AD12" s="342"/>
      <c r="AE12" s="342"/>
      <c r="AF12" s="342"/>
      <c r="AG12" s="342"/>
      <c r="AH12" s="342"/>
      <c r="AI12" s="342"/>
      <c r="AJ12" s="342"/>
      <c r="AK12" s="342"/>
      <c r="AL12" s="342"/>
      <c r="AM12" s="342"/>
      <c r="AN12" s="342"/>
      <c r="AO12" s="342"/>
      <c r="AP12" s="342"/>
      <c r="AQ12" s="342"/>
      <c r="AR12" s="342"/>
      <c r="AS12" s="342"/>
      <c r="AT12" s="342"/>
      <c r="AU12" s="342"/>
      <c r="AV12" s="342">
        <f t="shared" si="2"/>
        <v>0</v>
      </c>
      <c r="AW12" s="342"/>
      <c r="AX12" s="342"/>
      <c r="AY12" s="342"/>
      <c r="AZ12" s="342"/>
      <c r="BA12" s="342"/>
      <c r="BB12" s="342"/>
      <c r="BC12" s="342"/>
      <c r="BD12" s="342">
        <f t="shared" si="3"/>
        <v>0</v>
      </c>
      <c r="BE12" s="342">
        <f t="shared" si="4"/>
        <v>5000000</v>
      </c>
      <c r="BF12" s="342">
        <f t="shared" si="5"/>
        <v>0</v>
      </c>
      <c r="BG12" s="342">
        <f t="shared" si="6"/>
        <v>5000000</v>
      </c>
      <c r="BH12" s="346" t="s">
        <v>391</v>
      </c>
      <c r="BI12" s="346" t="str">
        <f t="shared" si="7"/>
        <v>Suplencias</v>
      </c>
      <c r="BJ12" s="346">
        <v>1</v>
      </c>
      <c r="BK12" s="1120">
        <f t="shared" si="8"/>
        <v>5000000</v>
      </c>
    </row>
    <row r="13" spans="1:63" s="347" customFormat="1" outlineLevel="1" x14ac:dyDescent="0.25">
      <c r="A13" s="340"/>
      <c r="B13" s="341" t="s">
        <v>1187</v>
      </c>
      <c r="C13" s="343">
        <f>SUM(C10:C12)</f>
        <v>96402500</v>
      </c>
      <c r="D13" s="343">
        <f t="shared" ref="D13:BC13" si="9">SUM(D10:D12)</f>
        <v>4626500</v>
      </c>
      <c r="E13" s="343">
        <f t="shared" si="9"/>
        <v>76289000</v>
      </c>
      <c r="F13" s="343">
        <f t="shared" si="9"/>
        <v>119939500</v>
      </c>
      <c r="G13" s="343">
        <f t="shared" si="9"/>
        <v>35271500</v>
      </c>
      <c r="H13" s="343">
        <f t="shared" si="9"/>
        <v>53685500</v>
      </c>
      <c r="I13" s="343">
        <f t="shared" si="9"/>
        <v>90814500</v>
      </c>
      <c r="J13" s="343">
        <f t="shared" si="9"/>
        <v>72591000</v>
      </c>
      <c r="K13" s="343">
        <f t="shared" si="9"/>
        <v>123010000</v>
      </c>
      <c r="L13" s="343">
        <f t="shared" si="9"/>
        <v>25242000</v>
      </c>
      <c r="M13" s="343">
        <f t="shared" si="9"/>
        <v>18379000</v>
      </c>
      <c r="N13" s="343">
        <f t="shared" si="9"/>
        <v>29195000</v>
      </c>
      <c r="O13" s="343">
        <f t="shared" si="9"/>
        <v>29997500</v>
      </c>
      <c r="P13" s="343">
        <f t="shared" si="9"/>
        <v>285276000</v>
      </c>
      <c r="Q13" s="343">
        <f t="shared" si="9"/>
        <v>0</v>
      </c>
      <c r="R13" s="343">
        <f t="shared" si="0"/>
        <v>1060719500</v>
      </c>
      <c r="S13" s="343">
        <f t="shared" si="9"/>
        <v>226221500</v>
      </c>
      <c r="T13" s="343">
        <f t="shared" si="1"/>
        <v>226221500</v>
      </c>
      <c r="U13" s="343">
        <f t="shared" si="9"/>
        <v>102581000</v>
      </c>
      <c r="V13" s="343">
        <f t="shared" si="9"/>
        <v>219402500</v>
      </c>
      <c r="W13" s="343">
        <f t="shared" si="9"/>
        <v>80909500</v>
      </c>
      <c r="X13" s="343">
        <f t="shared" si="9"/>
        <v>318793000</v>
      </c>
      <c r="Y13" s="343">
        <f t="shared" si="9"/>
        <v>85385500</v>
      </c>
      <c r="Z13" s="343">
        <f t="shared" si="9"/>
        <v>125123500</v>
      </c>
      <c r="AA13" s="343">
        <f t="shared" si="9"/>
        <v>225173499.99999997</v>
      </c>
      <c r="AB13" s="343">
        <f t="shared" si="9"/>
        <v>56201000</v>
      </c>
      <c r="AC13" s="343">
        <f t="shared" si="9"/>
        <v>3624000</v>
      </c>
      <c r="AD13" s="343">
        <f t="shared" si="9"/>
        <v>41027000</v>
      </c>
      <c r="AE13" s="343">
        <f t="shared" si="9"/>
        <v>231208499.99999997</v>
      </c>
      <c r="AF13" s="343">
        <f t="shared" si="9"/>
        <v>227066499.99999997</v>
      </c>
      <c r="AG13" s="343">
        <f t="shared" si="9"/>
        <v>75828000</v>
      </c>
      <c r="AH13" s="343">
        <f t="shared" si="9"/>
        <v>68510000</v>
      </c>
      <c r="AI13" s="343">
        <f t="shared" si="9"/>
        <v>46548500</v>
      </c>
      <c r="AJ13" s="343">
        <f t="shared" si="9"/>
        <v>0</v>
      </c>
      <c r="AK13" s="343">
        <f t="shared" si="9"/>
        <v>71868000</v>
      </c>
      <c r="AL13" s="343">
        <f t="shared" si="9"/>
        <v>45716500</v>
      </c>
      <c r="AM13" s="343">
        <f t="shared" si="9"/>
        <v>0</v>
      </c>
      <c r="AN13" s="343">
        <f t="shared" si="9"/>
        <v>151500</v>
      </c>
      <c r="AO13" s="343">
        <f t="shared" si="9"/>
        <v>105691000</v>
      </c>
      <c r="AP13" s="343">
        <f t="shared" si="9"/>
        <v>41382500</v>
      </c>
      <c r="AQ13" s="343">
        <f t="shared" si="9"/>
        <v>1591500</v>
      </c>
      <c r="AR13" s="343">
        <f t="shared" si="9"/>
        <v>0</v>
      </c>
      <c r="AS13" s="343">
        <f t="shared" si="9"/>
        <v>574564000</v>
      </c>
      <c r="AT13" s="343">
        <f t="shared" si="9"/>
        <v>16817000</v>
      </c>
      <c r="AU13" s="343">
        <f t="shared" si="9"/>
        <v>67815500</v>
      </c>
      <c r="AV13" s="343">
        <f t="shared" si="2"/>
        <v>2832979500</v>
      </c>
      <c r="AW13" s="343">
        <f t="shared" si="9"/>
        <v>36111500</v>
      </c>
      <c r="AX13" s="343">
        <f t="shared" si="9"/>
        <v>58233000</v>
      </c>
      <c r="AY13" s="343">
        <f t="shared" si="9"/>
        <v>23887500</v>
      </c>
      <c r="AZ13" s="343">
        <f t="shared" si="9"/>
        <v>22940000</v>
      </c>
      <c r="BA13" s="343">
        <f t="shared" si="9"/>
        <v>34627500</v>
      </c>
      <c r="BB13" s="343">
        <f t="shared" si="9"/>
        <v>0</v>
      </c>
      <c r="BC13" s="343">
        <f t="shared" si="9"/>
        <v>0</v>
      </c>
      <c r="BD13" s="343">
        <f t="shared" si="3"/>
        <v>175799500</v>
      </c>
      <c r="BE13" s="343">
        <f t="shared" si="4"/>
        <v>4295720000</v>
      </c>
      <c r="BF13" s="343">
        <f t="shared" si="5"/>
        <v>596596500</v>
      </c>
      <c r="BG13" s="343">
        <f t="shared" si="6"/>
        <v>3699123500</v>
      </c>
      <c r="BI13" s="346" t="str">
        <f t="shared" si="7"/>
        <v>0.01 - REMUNERACIONES BASICAS</v>
      </c>
      <c r="BJ13" s="346">
        <v>1</v>
      </c>
      <c r="BK13" s="1120">
        <f t="shared" si="8"/>
        <v>1060719500</v>
      </c>
    </row>
    <row r="14" spans="1:63" s="346" customFormat="1" outlineLevel="1" x14ac:dyDescent="0.25">
      <c r="A14" s="340" t="s">
        <v>76</v>
      </c>
      <c r="B14" s="340" t="s">
        <v>35</v>
      </c>
      <c r="C14" s="342">
        <v>1000000</v>
      </c>
      <c r="D14" s="342">
        <v>750000</v>
      </c>
      <c r="E14" s="342"/>
      <c r="F14" s="342"/>
      <c r="G14" s="342">
        <v>100000</v>
      </c>
      <c r="H14" s="342">
        <v>3000000</v>
      </c>
      <c r="I14" s="342"/>
      <c r="J14" s="342"/>
      <c r="K14" s="342"/>
      <c r="L14" s="342"/>
      <c r="M14" s="342"/>
      <c r="N14" s="342"/>
      <c r="O14" s="342"/>
      <c r="P14" s="342">
        <v>901500</v>
      </c>
      <c r="Q14" s="342"/>
      <c r="R14" s="1121">
        <f t="shared" si="0"/>
        <v>5751500</v>
      </c>
      <c r="S14" s="342"/>
      <c r="T14" s="342">
        <f t="shared" si="1"/>
        <v>0</v>
      </c>
      <c r="U14" s="342"/>
      <c r="V14" s="342">
        <v>44000000</v>
      </c>
      <c r="W14" s="342">
        <v>3500000</v>
      </c>
      <c r="X14" s="342">
        <v>13500000</v>
      </c>
      <c r="Y14" s="342">
        <v>14500000</v>
      </c>
      <c r="Z14" s="342"/>
      <c r="AA14" s="342">
        <v>9525000</v>
      </c>
      <c r="AB14" s="342">
        <v>1700000</v>
      </c>
      <c r="AC14" s="342"/>
      <c r="AD14" s="342"/>
      <c r="AE14" s="342">
        <v>2500000</v>
      </c>
      <c r="AF14" s="342">
        <v>5000000</v>
      </c>
      <c r="AG14" s="342">
        <v>2300000</v>
      </c>
      <c r="AH14" s="342"/>
      <c r="AI14" s="342"/>
      <c r="AJ14" s="342"/>
      <c r="AK14" s="342"/>
      <c r="AL14" s="342">
        <v>2000000</v>
      </c>
      <c r="AM14" s="342"/>
      <c r="AN14" s="342"/>
      <c r="AO14" s="342"/>
      <c r="AP14" s="342"/>
      <c r="AQ14" s="342">
        <v>5969500</v>
      </c>
      <c r="AR14" s="342"/>
      <c r="AS14" s="342">
        <v>48500000</v>
      </c>
      <c r="AT14" s="342">
        <v>5100000</v>
      </c>
      <c r="AU14" s="342">
        <v>4585500</v>
      </c>
      <c r="AV14" s="342">
        <f t="shared" si="2"/>
        <v>162680000</v>
      </c>
      <c r="AW14" s="342">
        <v>2000000</v>
      </c>
      <c r="AX14" s="342"/>
      <c r="AY14" s="342"/>
      <c r="AZ14" s="342"/>
      <c r="BA14" s="342"/>
      <c r="BB14" s="342"/>
      <c r="BC14" s="342"/>
      <c r="BD14" s="342">
        <f t="shared" si="3"/>
        <v>2000000</v>
      </c>
      <c r="BE14" s="342">
        <f t="shared" si="4"/>
        <v>170431500</v>
      </c>
      <c r="BF14" s="342">
        <f t="shared" si="5"/>
        <v>59569500</v>
      </c>
      <c r="BG14" s="342">
        <f t="shared" si="6"/>
        <v>110862000</v>
      </c>
      <c r="BH14" s="346" t="s">
        <v>76</v>
      </c>
      <c r="BI14" s="346" t="str">
        <f t="shared" si="7"/>
        <v>Tiempo Extraordinario</v>
      </c>
      <c r="BJ14" s="346">
        <v>1</v>
      </c>
      <c r="BK14" s="1120">
        <f t="shared" si="8"/>
        <v>5751500</v>
      </c>
    </row>
    <row r="15" spans="1:63" s="347" customFormat="1" outlineLevel="1" x14ac:dyDescent="0.25">
      <c r="A15" s="340" t="s">
        <v>567</v>
      </c>
      <c r="B15" s="340" t="s">
        <v>568</v>
      </c>
      <c r="C15" s="342"/>
      <c r="D15" s="342"/>
      <c r="E15" s="342"/>
      <c r="F15" s="342"/>
      <c r="G15" s="342"/>
      <c r="H15" s="342"/>
      <c r="I15" s="342"/>
      <c r="J15" s="342"/>
      <c r="K15" s="342">
        <v>1000000</v>
      </c>
      <c r="L15" s="342"/>
      <c r="M15" s="342"/>
      <c r="N15" s="342"/>
      <c r="O15" s="342"/>
      <c r="P15" s="342"/>
      <c r="Q15" s="342"/>
      <c r="R15" s="1121">
        <f t="shared" si="0"/>
        <v>1000000</v>
      </c>
      <c r="S15" s="342"/>
      <c r="T15" s="342">
        <f t="shared" si="1"/>
        <v>0</v>
      </c>
      <c r="U15" s="342"/>
      <c r="V15" s="342"/>
      <c r="W15" s="342"/>
      <c r="X15" s="342"/>
      <c r="Y15" s="342"/>
      <c r="Z15" s="342"/>
      <c r="AA15" s="342"/>
      <c r="AB15" s="342"/>
      <c r="AC15" s="342"/>
      <c r="AD15" s="342"/>
      <c r="AE15" s="342"/>
      <c r="AF15" s="342"/>
      <c r="AG15" s="342"/>
      <c r="AH15" s="342"/>
      <c r="AI15" s="342"/>
      <c r="AJ15" s="342"/>
      <c r="AK15" s="342"/>
      <c r="AL15" s="342"/>
      <c r="AM15" s="342"/>
      <c r="AN15" s="342"/>
      <c r="AO15" s="342"/>
      <c r="AP15" s="342"/>
      <c r="AQ15" s="342"/>
      <c r="AR15" s="342"/>
      <c r="AS15" s="342"/>
      <c r="AT15" s="342"/>
      <c r="AU15" s="342"/>
      <c r="AV15" s="342">
        <f t="shared" si="2"/>
        <v>0</v>
      </c>
      <c r="AW15" s="342"/>
      <c r="AX15" s="342"/>
      <c r="AY15" s="342"/>
      <c r="AZ15" s="342"/>
      <c r="BA15" s="342"/>
      <c r="BB15" s="342"/>
      <c r="BC15" s="342"/>
      <c r="BD15" s="342">
        <f t="shared" si="3"/>
        <v>0</v>
      </c>
      <c r="BE15" s="342">
        <f t="shared" si="4"/>
        <v>1000000</v>
      </c>
      <c r="BF15" s="342">
        <f t="shared" si="5"/>
        <v>0</v>
      </c>
      <c r="BG15" s="342">
        <f t="shared" si="6"/>
        <v>1000000</v>
      </c>
      <c r="BH15" s="346" t="s">
        <v>567</v>
      </c>
      <c r="BI15" s="346" t="str">
        <f t="shared" si="7"/>
        <v>Recargo de funciones</v>
      </c>
      <c r="BJ15" s="346">
        <v>1</v>
      </c>
      <c r="BK15" s="1120">
        <f t="shared" si="8"/>
        <v>1000000</v>
      </c>
    </row>
    <row r="16" spans="1:63" s="346" customFormat="1" x14ac:dyDescent="0.25">
      <c r="A16" s="340" t="s">
        <v>77</v>
      </c>
      <c r="B16" s="340" t="s">
        <v>17</v>
      </c>
      <c r="C16" s="342"/>
      <c r="D16" s="342">
        <v>13685280</v>
      </c>
      <c r="E16" s="342"/>
      <c r="F16" s="342"/>
      <c r="G16" s="342"/>
      <c r="H16" s="342"/>
      <c r="I16" s="342"/>
      <c r="J16" s="342"/>
      <c r="K16" s="342"/>
      <c r="L16" s="342"/>
      <c r="M16" s="342"/>
      <c r="N16" s="342"/>
      <c r="O16" s="342"/>
      <c r="P16" s="342"/>
      <c r="Q16" s="342"/>
      <c r="R16" s="1121">
        <f t="shared" si="0"/>
        <v>13685280</v>
      </c>
      <c r="S16" s="342"/>
      <c r="T16" s="342">
        <f t="shared" si="1"/>
        <v>0</v>
      </c>
      <c r="U16" s="342"/>
      <c r="V16" s="342"/>
      <c r="W16" s="342"/>
      <c r="X16" s="342"/>
      <c r="Y16" s="342"/>
      <c r="Z16" s="342"/>
      <c r="AA16" s="342"/>
      <c r="AB16" s="342"/>
      <c r="AC16" s="342"/>
      <c r="AD16" s="342"/>
      <c r="AE16" s="342"/>
      <c r="AF16" s="342"/>
      <c r="AG16" s="342"/>
      <c r="AH16" s="342"/>
      <c r="AI16" s="342"/>
      <c r="AJ16" s="342"/>
      <c r="AK16" s="342"/>
      <c r="AL16" s="342"/>
      <c r="AM16" s="342"/>
      <c r="AN16" s="342"/>
      <c r="AO16" s="342"/>
      <c r="AP16" s="342"/>
      <c r="AQ16" s="342"/>
      <c r="AR16" s="342"/>
      <c r="AS16" s="342"/>
      <c r="AT16" s="342"/>
      <c r="AU16" s="342"/>
      <c r="AV16" s="342">
        <f t="shared" si="2"/>
        <v>0</v>
      </c>
      <c r="AW16" s="342"/>
      <c r="AX16" s="342"/>
      <c r="AY16" s="342"/>
      <c r="AZ16" s="342"/>
      <c r="BA16" s="342"/>
      <c r="BB16" s="342"/>
      <c r="BC16" s="342"/>
      <c r="BD16" s="342">
        <f t="shared" si="3"/>
        <v>0</v>
      </c>
      <c r="BE16" s="342">
        <f t="shared" si="4"/>
        <v>13685280</v>
      </c>
      <c r="BF16" s="342">
        <f t="shared" si="5"/>
        <v>0</v>
      </c>
      <c r="BG16" s="342">
        <f t="shared" si="6"/>
        <v>13685280</v>
      </c>
      <c r="BH16" s="346" t="s">
        <v>77</v>
      </c>
      <c r="BI16" s="346" t="str">
        <f t="shared" si="7"/>
        <v>Dietas</v>
      </c>
      <c r="BJ16" s="346">
        <v>1</v>
      </c>
      <c r="BK16" s="1120">
        <f t="shared" si="8"/>
        <v>13685280</v>
      </c>
    </row>
    <row r="17" spans="1:63" s="346" customFormat="1" x14ac:dyDescent="0.25">
      <c r="A17" s="340"/>
      <c r="B17" s="341" t="s">
        <v>1188</v>
      </c>
      <c r="C17" s="343">
        <f>SUM(C14:C16)</f>
        <v>1000000</v>
      </c>
      <c r="D17" s="343">
        <f t="shared" ref="D17:BC17" si="10">SUM(D14:D16)</f>
        <v>14435280</v>
      </c>
      <c r="E17" s="343">
        <f t="shared" si="10"/>
        <v>0</v>
      </c>
      <c r="F17" s="343">
        <f t="shared" si="10"/>
        <v>0</v>
      </c>
      <c r="G17" s="343">
        <f t="shared" si="10"/>
        <v>100000</v>
      </c>
      <c r="H17" s="343">
        <f t="shared" si="10"/>
        <v>3000000</v>
      </c>
      <c r="I17" s="343">
        <f t="shared" si="10"/>
        <v>0</v>
      </c>
      <c r="J17" s="343">
        <f t="shared" si="10"/>
        <v>0</v>
      </c>
      <c r="K17" s="343">
        <f t="shared" si="10"/>
        <v>1000000</v>
      </c>
      <c r="L17" s="343">
        <f t="shared" si="10"/>
        <v>0</v>
      </c>
      <c r="M17" s="343">
        <f t="shared" si="10"/>
        <v>0</v>
      </c>
      <c r="N17" s="343">
        <f t="shared" si="10"/>
        <v>0</v>
      </c>
      <c r="O17" s="343">
        <f t="shared" si="10"/>
        <v>0</v>
      </c>
      <c r="P17" s="343">
        <f t="shared" si="10"/>
        <v>901500</v>
      </c>
      <c r="Q17" s="343">
        <f t="shared" si="10"/>
        <v>0</v>
      </c>
      <c r="R17" s="343">
        <f t="shared" si="0"/>
        <v>20436780</v>
      </c>
      <c r="S17" s="343">
        <f t="shared" si="10"/>
        <v>0</v>
      </c>
      <c r="T17" s="343">
        <f t="shared" si="1"/>
        <v>0</v>
      </c>
      <c r="U17" s="343">
        <f t="shared" si="10"/>
        <v>0</v>
      </c>
      <c r="V17" s="343">
        <f t="shared" si="10"/>
        <v>44000000</v>
      </c>
      <c r="W17" s="343">
        <f t="shared" si="10"/>
        <v>3500000</v>
      </c>
      <c r="X17" s="343">
        <f t="shared" si="10"/>
        <v>13500000</v>
      </c>
      <c r="Y17" s="343">
        <f t="shared" si="10"/>
        <v>14500000</v>
      </c>
      <c r="Z17" s="343">
        <f t="shared" si="10"/>
        <v>0</v>
      </c>
      <c r="AA17" s="343">
        <f t="shared" si="10"/>
        <v>9525000</v>
      </c>
      <c r="AB17" s="343">
        <f t="shared" si="10"/>
        <v>1700000</v>
      </c>
      <c r="AC17" s="343">
        <f t="shared" si="10"/>
        <v>0</v>
      </c>
      <c r="AD17" s="343">
        <f t="shared" si="10"/>
        <v>0</v>
      </c>
      <c r="AE17" s="343">
        <f t="shared" si="10"/>
        <v>2500000</v>
      </c>
      <c r="AF17" s="343">
        <f t="shared" si="10"/>
        <v>5000000</v>
      </c>
      <c r="AG17" s="343">
        <f t="shared" si="10"/>
        <v>2300000</v>
      </c>
      <c r="AH17" s="343">
        <f t="shared" si="10"/>
        <v>0</v>
      </c>
      <c r="AI17" s="343">
        <f t="shared" si="10"/>
        <v>0</v>
      </c>
      <c r="AJ17" s="343">
        <f t="shared" si="10"/>
        <v>0</v>
      </c>
      <c r="AK17" s="343">
        <f t="shared" si="10"/>
        <v>0</v>
      </c>
      <c r="AL17" s="343">
        <f t="shared" si="10"/>
        <v>2000000</v>
      </c>
      <c r="AM17" s="343">
        <f t="shared" si="10"/>
        <v>0</v>
      </c>
      <c r="AN17" s="343">
        <f t="shared" si="10"/>
        <v>0</v>
      </c>
      <c r="AO17" s="343">
        <f t="shared" si="10"/>
        <v>0</v>
      </c>
      <c r="AP17" s="343">
        <f t="shared" si="10"/>
        <v>0</v>
      </c>
      <c r="AQ17" s="343">
        <f t="shared" si="10"/>
        <v>5969500</v>
      </c>
      <c r="AR17" s="343">
        <f t="shared" si="10"/>
        <v>0</v>
      </c>
      <c r="AS17" s="343">
        <f t="shared" si="10"/>
        <v>48500000</v>
      </c>
      <c r="AT17" s="343">
        <f t="shared" si="10"/>
        <v>5100000</v>
      </c>
      <c r="AU17" s="343">
        <f t="shared" si="10"/>
        <v>4585500</v>
      </c>
      <c r="AV17" s="343">
        <f t="shared" si="2"/>
        <v>162680000</v>
      </c>
      <c r="AW17" s="343">
        <f t="shared" si="10"/>
        <v>2000000</v>
      </c>
      <c r="AX17" s="343">
        <f t="shared" si="10"/>
        <v>0</v>
      </c>
      <c r="AY17" s="343">
        <f t="shared" si="10"/>
        <v>0</v>
      </c>
      <c r="AZ17" s="343">
        <f t="shared" si="10"/>
        <v>0</v>
      </c>
      <c r="BA17" s="343">
        <f t="shared" si="10"/>
        <v>0</v>
      </c>
      <c r="BB17" s="343">
        <f t="shared" si="10"/>
        <v>0</v>
      </c>
      <c r="BC17" s="343">
        <f t="shared" si="10"/>
        <v>0</v>
      </c>
      <c r="BD17" s="343">
        <f t="shared" si="3"/>
        <v>2000000</v>
      </c>
      <c r="BE17" s="343">
        <f t="shared" si="4"/>
        <v>185116780</v>
      </c>
      <c r="BF17" s="343">
        <f t="shared" si="5"/>
        <v>59569500</v>
      </c>
      <c r="BG17" s="343">
        <f t="shared" si="6"/>
        <v>125547280</v>
      </c>
      <c r="BI17" s="346" t="str">
        <f t="shared" si="7"/>
        <v>0.02 - REMUNERACIONES EVENTUALES</v>
      </c>
      <c r="BJ17" s="346">
        <v>1</v>
      </c>
      <c r="BK17" s="1120">
        <f t="shared" si="8"/>
        <v>20436780</v>
      </c>
    </row>
    <row r="18" spans="1:63" s="346" customFormat="1" ht="55.2" outlineLevel="1" x14ac:dyDescent="0.25">
      <c r="A18" s="340" t="s">
        <v>1332</v>
      </c>
      <c r="B18" s="340" t="s">
        <v>465</v>
      </c>
      <c r="C18" s="342">
        <v>4839000</v>
      </c>
      <c r="D18" s="342">
        <v>2364500</v>
      </c>
      <c r="E18" s="342">
        <v>10433000</v>
      </c>
      <c r="F18" s="342">
        <v>11647000</v>
      </c>
      <c r="G18" s="342">
        <v>9537000</v>
      </c>
      <c r="H18" s="342">
        <v>6519500</v>
      </c>
      <c r="I18" s="342">
        <v>22733000</v>
      </c>
      <c r="J18" s="342">
        <v>15983000</v>
      </c>
      <c r="K18" s="342">
        <v>33269500</v>
      </c>
      <c r="L18" s="342">
        <v>6282000</v>
      </c>
      <c r="M18" s="342">
        <v>4287000</v>
      </c>
      <c r="N18" s="342">
        <v>980000</v>
      </c>
      <c r="O18" s="342">
        <v>4131000</v>
      </c>
      <c r="P18" s="342">
        <v>58079000</v>
      </c>
      <c r="Q18" s="342"/>
      <c r="R18" s="342">
        <f t="shared" si="0"/>
        <v>191084500</v>
      </c>
      <c r="S18" s="342">
        <v>32431000</v>
      </c>
      <c r="T18" s="342">
        <f t="shared" si="1"/>
        <v>32431000</v>
      </c>
      <c r="U18" s="342">
        <v>10042500</v>
      </c>
      <c r="V18" s="342">
        <v>7213000</v>
      </c>
      <c r="W18" s="342">
        <v>16726000</v>
      </c>
      <c r="X18" s="342">
        <v>36697000</v>
      </c>
      <c r="Y18" s="342">
        <v>2219500</v>
      </c>
      <c r="Z18" s="342">
        <v>31488500</v>
      </c>
      <c r="AA18" s="342">
        <v>41594000</v>
      </c>
      <c r="AB18" s="342">
        <v>9445500</v>
      </c>
      <c r="AC18" s="342"/>
      <c r="AD18" s="342">
        <v>9942500</v>
      </c>
      <c r="AE18" s="342">
        <v>25982500</v>
      </c>
      <c r="AF18" s="342">
        <v>25302500</v>
      </c>
      <c r="AG18" s="342">
        <v>8370000</v>
      </c>
      <c r="AH18" s="342">
        <v>10574500</v>
      </c>
      <c r="AI18" s="342">
        <v>4061500</v>
      </c>
      <c r="AJ18" s="342"/>
      <c r="AK18" s="342">
        <v>6455000</v>
      </c>
      <c r="AL18" s="342">
        <v>2498500</v>
      </c>
      <c r="AM18" s="342"/>
      <c r="AN18" s="342"/>
      <c r="AO18" s="342">
        <v>4622000</v>
      </c>
      <c r="AP18" s="342">
        <v>3230000</v>
      </c>
      <c r="AQ18" s="342"/>
      <c r="AR18" s="342"/>
      <c r="AS18" s="342">
        <v>4416500</v>
      </c>
      <c r="AT18" s="342">
        <v>4416500</v>
      </c>
      <c r="AU18" s="342">
        <v>4479500</v>
      </c>
      <c r="AV18" s="342">
        <f t="shared" si="2"/>
        <v>269777500</v>
      </c>
      <c r="AW18" s="342">
        <v>7698000</v>
      </c>
      <c r="AX18" s="342">
        <v>16705500</v>
      </c>
      <c r="AY18" s="342">
        <v>9537500</v>
      </c>
      <c r="AZ18" s="342">
        <v>3748500</v>
      </c>
      <c r="BA18" s="342">
        <v>5356000</v>
      </c>
      <c r="BB18" s="342"/>
      <c r="BC18" s="342"/>
      <c r="BD18" s="342">
        <f t="shared" si="3"/>
        <v>43045500</v>
      </c>
      <c r="BE18" s="342">
        <f t="shared" si="4"/>
        <v>536338500</v>
      </c>
      <c r="BF18" s="342">
        <f t="shared" si="5"/>
        <v>8833000</v>
      </c>
      <c r="BG18" s="342">
        <f t="shared" si="6"/>
        <v>527505500</v>
      </c>
      <c r="BH18" s="346" t="s">
        <v>80</v>
      </c>
      <c r="BI18" s="346" t="str">
        <f t="shared" si="7"/>
        <v>Otros incentivos Salariales</v>
      </c>
      <c r="BJ18" s="346">
        <v>1</v>
      </c>
      <c r="BK18" s="1120">
        <f t="shared" si="8"/>
        <v>191084500</v>
      </c>
    </row>
    <row r="19" spans="1:63" s="346" customFormat="1" ht="69" outlineLevel="1" x14ac:dyDescent="0.25">
      <c r="A19" s="340" t="s">
        <v>1333</v>
      </c>
      <c r="B19" s="340" t="s">
        <v>465</v>
      </c>
      <c r="C19" s="342">
        <v>6394000</v>
      </c>
      <c r="D19" s="342"/>
      <c r="E19" s="342">
        <v>18473500</v>
      </c>
      <c r="F19" s="342">
        <v>26641500</v>
      </c>
      <c r="G19" s="342">
        <v>9744500</v>
      </c>
      <c r="H19" s="342">
        <v>9457000</v>
      </c>
      <c r="I19" s="342">
        <v>31247000</v>
      </c>
      <c r="J19" s="342">
        <v>20055000</v>
      </c>
      <c r="K19" s="342">
        <v>29045000</v>
      </c>
      <c r="L19" s="342">
        <v>3577500</v>
      </c>
      <c r="M19" s="342">
        <v>3577500</v>
      </c>
      <c r="N19" s="342">
        <v>144500</v>
      </c>
      <c r="O19" s="342">
        <v>5949000</v>
      </c>
      <c r="P19" s="342">
        <v>74317500</v>
      </c>
      <c r="Q19" s="342"/>
      <c r="R19" s="342">
        <f t="shared" si="0"/>
        <v>238623500</v>
      </c>
      <c r="S19" s="342">
        <v>51115000</v>
      </c>
      <c r="T19" s="342">
        <f t="shared" si="1"/>
        <v>51115000</v>
      </c>
      <c r="U19" s="342">
        <v>10283500</v>
      </c>
      <c r="V19" s="342">
        <v>11494000</v>
      </c>
      <c r="W19" s="342">
        <v>14241500</v>
      </c>
      <c r="X19" s="342">
        <v>12144000</v>
      </c>
      <c r="Y19" s="342">
        <v>3385500</v>
      </c>
      <c r="Z19" s="342">
        <v>19815000</v>
      </c>
      <c r="AA19" s="342">
        <v>27931500</v>
      </c>
      <c r="AB19" s="342">
        <v>10475500</v>
      </c>
      <c r="AC19" s="342">
        <v>343000</v>
      </c>
      <c r="AD19" s="342">
        <v>9759500</v>
      </c>
      <c r="AE19" s="342">
        <v>21563500</v>
      </c>
      <c r="AF19" s="342">
        <v>21187500</v>
      </c>
      <c r="AG19" s="342">
        <v>12341500</v>
      </c>
      <c r="AH19" s="342">
        <v>7263000</v>
      </c>
      <c r="AI19" s="342">
        <v>2642000</v>
      </c>
      <c r="AJ19" s="342"/>
      <c r="AK19" s="342">
        <v>16286500</v>
      </c>
      <c r="AL19" s="342">
        <v>8972000</v>
      </c>
      <c r="AM19" s="342"/>
      <c r="AN19" s="342">
        <v>7500</v>
      </c>
      <c r="AO19" s="342">
        <v>6286000</v>
      </c>
      <c r="AP19" s="342">
        <v>5706000</v>
      </c>
      <c r="AQ19" s="342"/>
      <c r="AR19" s="342"/>
      <c r="AS19" s="342">
        <v>5563500</v>
      </c>
      <c r="AT19" s="342">
        <v>5563500</v>
      </c>
      <c r="AU19" s="342">
        <v>13975500</v>
      </c>
      <c r="AV19" s="342">
        <f t="shared" si="2"/>
        <v>247231000</v>
      </c>
      <c r="AW19" s="342">
        <v>6768500</v>
      </c>
      <c r="AX19" s="342">
        <v>13688500</v>
      </c>
      <c r="AY19" s="342">
        <v>5263000</v>
      </c>
      <c r="AZ19" s="342">
        <v>7532000</v>
      </c>
      <c r="BA19" s="342">
        <v>3951000</v>
      </c>
      <c r="BB19" s="342"/>
      <c r="BC19" s="342"/>
      <c r="BD19" s="342">
        <f t="shared" si="3"/>
        <v>37203000</v>
      </c>
      <c r="BE19" s="342">
        <f t="shared" si="4"/>
        <v>574172500</v>
      </c>
      <c r="BF19" s="342">
        <f t="shared" si="5"/>
        <v>11470000</v>
      </c>
      <c r="BG19" s="342">
        <f t="shared" si="6"/>
        <v>562702500</v>
      </c>
      <c r="BH19" s="346" t="s">
        <v>82</v>
      </c>
      <c r="BI19" s="346" t="str">
        <f t="shared" si="7"/>
        <v>Otros incentivos Salariales</v>
      </c>
      <c r="BJ19" s="346">
        <v>1</v>
      </c>
      <c r="BK19" s="1120">
        <f t="shared" si="8"/>
        <v>238623500</v>
      </c>
    </row>
    <row r="20" spans="1:63" s="346" customFormat="1" outlineLevel="1" x14ac:dyDescent="0.25">
      <c r="A20" s="340" t="s">
        <v>84</v>
      </c>
      <c r="B20" s="340" t="s">
        <v>1189</v>
      </c>
      <c r="C20" s="342">
        <v>9620000</v>
      </c>
      <c r="D20" s="342">
        <v>702000</v>
      </c>
      <c r="E20" s="342">
        <v>9723500</v>
      </c>
      <c r="F20" s="342">
        <v>14723000</v>
      </c>
      <c r="G20" s="342">
        <v>5161000</v>
      </c>
      <c r="H20" s="342">
        <v>6706500</v>
      </c>
      <c r="I20" s="342">
        <v>13655000</v>
      </c>
      <c r="J20" s="342">
        <v>10217500</v>
      </c>
      <c r="K20" s="342">
        <v>16808000</v>
      </c>
      <c r="L20" s="342">
        <v>3196000</v>
      </c>
      <c r="M20" s="342">
        <v>2480500</v>
      </c>
      <c r="N20" s="342">
        <v>2732500</v>
      </c>
      <c r="O20" s="342">
        <v>4328000</v>
      </c>
      <c r="P20" s="342">
        <v>38989000</v>
      </c>
      <c r="Q20" s="342"/>
      <c r="R20" s="342">
        <f t="shared" si="0"/>
        <v>139042500</v>
      </c>
      <c r="S20" s="342">
        <v>29182500</v>
      </c>
      <c r="T20" s="342">
        <f t="shared" si="1"/>
        <v>29182500</v>
      </c>
      <c r="U20" s="342">
        <v>11385500</v>
      </c>
      <c r="V20" s="342">
        <v>25813000</v>
      </c>
      <c r="W20" s="342">
        <v>10617500</v>
      </c>
      <c r="X20" s="342">
        <v>35031000</v>
      </c>
      <c r="Y20" s="342">
        <v>9630500</v>
      </c>
      <c r="Z20" s="342">
        <v>16136000</v>
      </c>
      <c r="AA20" s="342">
        <v>27891500</v>
      </c>
      <c r="AB20" s="342">
        <v>7587500</v>
      </c>
      <c r="AC20" s="342">
        <v>358000</v>
      </c>
      <c r="AD20" s="342">
        <v>5489500</v>
      </c>
      <c r="AE20" s="342">
        <v>25515000</v>
      </c>
      <c r="AF20" s="342">
        <v>25420500</v>
      </c>
      <c r="AG20" s="342">
        <v>8994000</v>
      </c>
      <c r="AH20" s="342">
        <v>8165000</v>
      </c>
      <c r="AI20" s="342">
        <v>4845500</v>
      </c>
      <c r="AJ20" s="342"/>
      <c r="AK20" s="342">
        <v>8586500</v>
      </c>
      <c r="AL20" s="342">
        <v>5340500</v>
      </c>
      <c r="AM20" s="342"/>
      <c r="AN20" s="342">
        <v>14500</v>
      </c>
      <c r="AO20" s="342">
        <v>10585000</v>
      </c>
      <c r="AP20" s="342">
        <v>4544500</v>
      </c>
      <c r="AQ20" s="342">
        <v>661500</v>
      </c>
      <c r="AR20" s="342"/>
      <c r="AS20" s="342">
        <v>56961000</v>
      </c>
      <c r="AT20" s="342">
        <v>2871000</v>
      </c>
      <c r="AU20" s="342">
        <v>8186000</v>
      </c>
      <c r="AV20" s="342">
        <f t="shared" si="2"/>
        <v>320630500</v>
      </c>
      <c r="AW20" s="342">
        <v>4751500</v>
      </c>
      <c r="AX20" s="342">
        <v>8470500</v>
      </c>
      <c r="AY20" s="342">
        <v>3563500</v>
      </c>
      <c r="AZ20" s="342">
        <v>3091500</v>
      </c>
      <c r="BA20" s="342">
        <v>4108000</v>
      </c>
      <c r="BB20" s="342"/>
      <c r="BC20" s="342"/>
      <c r="BD20" s="342">
        <f t="shared" si="3"/>
        <v>23985000</v>
      </c>
      <c r="BE20" s="342">
        <f t="shared" si="4"/>
        <v>512840500</v>
      </c>
      <c r="BF20" s="342">
        <f t="shared" si="5"/>
        <v>60851500</v>
      </c>
      <c r="BG20" s="342">
        <f t="shared" si="6"/>
        <v>451989000</v>
      </c>
      <c r="BH20" s="346" t="s">
        <v>84</v>
      </c>
      <c r="BI20" s="346" t="str">
        <f t="shared" si="7"/>
        <v>Decimotercer Mes</v>
      </c>
      <c r="BJ20" s="346">
        <v>1</v>
      </c>
      <c r="BK20" s="1120">
        <f t="shared" si="8"/>
        <v>139042500</v>
      </c>
    </row>
    <row r="21" spans="1:63" s="346" customFormat="1" outlineLevel="1" x14ac:dyDescent="0.25">
      <c r="A21" s="340" t="s">
        <v>86</v>
      </c>
      <c r="B21" s="340" t="s">
        <v>18</v>
      </c>
      <c r="C21" s="342">
        <v>6476500</v>
      </c>
      <c r="D21" s="342">
        <v>680500</v>
      </c>
      <c r="E21" s="342">
        <v>8802000</v>
      </c>
      <c r="F21" s="342">
        <v>13281000</v>
      </c>
      <c r="G21" s="342">
        <v>4649000</v>
      </c>
      <c r="H21" s="342">
        <v>5337500</v>
      </c>
      <c r="I21" s="342">
        <v>12069500</v>
      </c>
      <c r="J21" s="342">
        <v>9274500</v>
      </c>
      <c r="K21" s="342">
        <v>15043000</v>
      </c>
      <c r="L21" s="342">
        <v>2840500</v>
      </c>
      <c r="M21" s="342">
        <v>2076500</v>
      </c>
      <c r="N21" s="342">
        <v>2472500</v>
      </c>
      <c r="O21" s="342">
        <v>3876500</v>
      </c>
      <c r="P21" s="342">
        <v>34895000</v>
      </c>
      <c r="Q21" s="342"/>
      <c r="R21" s="342">
        <f t="shared" si="0"/>
        <v>121774500</v>
      </c>
      <c r="S21" s="342">
        <v>26112500</v>
      </c>
      <c r="T21" s="342">
        <f t="shared" si="1"/>
        <v>26112500</v>
      </c>
      <c r="U21" s="342">
        <v>10433500</v>
      </c>
      <c r="V21" s="342">
        <v>22067500</v>
      </c>
      <c r="W21" s="342">
        <v>8895500</v>
      </c>
      <c r="X21" s="342">
        <v>29960000</v>
      </c>
      <c r="Y21" s="342">
        <v>8063500</v>
      </c>
      <c r="Z21" s="342">
        <v>14396000</v>
      </c>
      <c r="AA21" s="342">
        <v>24788000</v>
      </c>
      <c r="AB21" s="342">
        <v>6511500</v>
      </c>
      <c r="AC21" s="342">
        <v>330500</v>
      </c>
      <c r="AD21" s="342">
        <v>5009000</v>
      </c>
      <c r="AE21" s="342">
        <v>21654500</v>
      </c>
      <c r="AF21" s="342">
        <v>21823500</v>
      </c>
      <c r="AG21" s="342">
        <v>7644000</v>
      </c>
      <c r="AH21" s="342">
        <v>7416500</v>
      </c>
      <c r="AI21" s="342">
        <v>4373500</v>
      </c>
      <c r="AJ21" s="342"/>
      <c r="AK21" s="342">
        <v>7856000</v>
      </c>
      <c r="AL21" s="342">
        <v>4898000</v>
      </c>
      <c r="AM21" s="342"/>
      <c r="AN21" s="342">
        <v>13000</v>
      </c>
      <c r="AO21" s="342">
        <v>9547500</v>
      </c>
      <c r="AP21" s="342">
        <v>4218500</v>
      </c>
      <c r="AQ21" s="342">
        <v>381000</v>
      </c>
      <c r="AR21" s="342"/>
      <c r="AS21" s="342">
        <v>50505000</v>
      </c>
      <c r="AT21" s="342">
        <v>2558500</v>
      </c>
      <c r="AU21" s="342">
        <v>7376500</v>
      </c>
      <c r="AV21" s="342">
        <f t="shared" si="2"/>
        <v>280721000</v>
      </c>
      <c r="AW21" s="342">
        <v>4443000</v>
      </c>
      <c r="AX21" s="342">
        <v>7370500</v>
      </c>
      <c r="AY21" s="342">
        <v>3189500</v>
      </c>
      <c r="AZ21" s="342">
        <v>2879500</v>
      </c>
      <c r="BA21" s="342">
        <v>3714000</v>
      </c>
      <c r="BB21" s="342"/>
      <c r="BC21" s="342"/>
      <c r="BD21" s="342">
        <f t="shared" si="3"/>
        <v>21596500</v>
      </c>
      <c r="BE21" s="342">
        <f t="shared" si="4"/>
        <v>450204500</v>
      </c>
      <c r="BF21" s="342">
        <f t="shared" si="5"/>
        <v>53775000</v>
      </c>
      <c r="BG21" s="342">
        <f t="shared" si="6"/>
        <v>396429500</v>
      </c>
      <c r="BH21" s="346" t="s">
        <v>86</v>
      </c>
      <c r="BI21" s="346" t="str">
        <f t="shared" si="7"/>
        <v>Salario Escolar</v>
      </c>
      <c r="BJ21" s="346">
        <v>1</v>
      </c>
      <c r="BK21" s="1120">
        <f t="shared" si="8"/>
        <v>121774500</v>
      </c>
    </row>
    <row r="22" spans="1:63" s="346" customFormat="1" ht="41.4" outlineLevel="1" x14ac:dyDescent="0.25">
      <c r="A22" s="340" t="s">
        <v>1334</v>
      </c>
      <c r="B22" s="340" t="s">
        <v>465</v>
      </c>
      <c r="C22" s="342">
        <v>327500</v>
      </c>
      <c r="D22" s="342"/>
      <c r="E22" s="342">
        <v>2686500</v>
      </c>
      <c r="F22" s="342">
        <v>5169000</v>
      </c>
      <c r="G22" s="342">
        <v>2632000</v>
      </c>
      <c r="H22" s="342">
        <v>2482000</v>
      </c>
      <c r="I22" s="342">
        <v>6996500</v>
      </c>
      <c r="J22" s="342">
        <v>4705000</v>
      </c>
      <c r="K22" s="342">
        <v>6328000</v>
      </c>
      <c r="L22" s="342">
        <v>409000</v>
      </c>
      <c r="M22" s="342">
        <v>1445500</v>
      </c>
      <c r="N22" s="342"/>
      <c r="O22" s="342">
        <v>7979000</v>
      </c>
      <c r="P22" s="342">
        <v>14401500</v>
      </c>
      <c r="Q22" s="342"/>
      <c r="R22" s="342">
        <f t="shared" si="0"/>
        <v>55561500</v>
      </c>
      <c r="S22" s="342">
        <v>14311000</v>
      </c>
      <c r="T22" s="342">
        <f t="shared" si="1"/>
        <v>14311000</v>
      </c>
      <c r="U22" s="342">
        <v>3287000</v>
      </c>
      <c r="V22" s="342">
        <v>5596000</v>
      </c>
      <c r="W22" s="342">
        <v>3140500</v>
      </c>
      <c r="X22" s="342">
        <v>9287500</v>
      </c>
      <c r="Y22" s="342">
        <v>2018500</v>
      </c>
      <c r="Z22" s="342">
        <v>2809500</v>
      </c>
      <c r="AA22" s="342">
        <v>5687000</v>
      </c>
      <c r="AB22" s="342">
        <v>6718500</v>
      </c>
      <c r="AC22" s="342"/>
      <c r="AD22" s="342">
        <v>136500</v>
      </c>
      <c r="AE22" s="342">
        <v>3273000</v>
      </c>
      <c r="AF22" s="342">
        <v>4664500</v>
      </c>
      <c r="AG22" s="342">
        <v>1445500</v>
      </c>
      <c r="AH22" s="342">
        <v>4214000</v>
      </c>
      <c r="AI22" s="342">
        <v>518000</v>
      </c>
      <c r="AJ22" s="342"/>
      <c r="AK22" s="342">
        <v>573000</v>
      </c>
      <c r="AL22" s="342"/>
      <c r="AM22" s="342"/>
      <c r="AN22" s="342"/>
      <c r="AO22" s="342">
        <v>873000</v>
      </c>
      <c r="AP22" s="342"/>
      <c r="AQ22" s="342"/>
      <c r="AR22" s="342"/>
      <c r="AS22" s="342"/>
      <c r="AT22" s="342"/>
      <c r="AU22" s="342"/>
      <c r="AV22" s="342">
        <f t="shared" si="2"/>
        <v>54242000</v>
      </c>
      <c r="AW22" s="342"/>
      <c r="AX22" s="342">
        <v>5647000</v>
      </c>
      <c r="AY22" s="342">
        <v>886500</v>
      </c>
      <c r="AZ22" s="342"/>
      <c r="BA22" s="342">
        <v>1650000</v>
      </c>
      <c r="BB22" s="342"/>
      <c r="BC22" s="342"/>
      <c r="BD22" s="342">
        <f t="shared" si="3"/>
        <v>8183500</v>
      </c>
      <c r="BE22" s="342">
        <f t="shared" si="4"/>
        <v>132298000</v>
      </c>
      <c r="BF22" s="342">
        <f t="shared" si="5"/>
        <v>0</v>
      </c>
      <c r="BG22" s="342">
        <f t="shared" si="6"/>
        <v>132298000</v>
      </c>
      <c r="BH22" s="346" t="s">
        <v>87</v>
      </c>
      <c r="BI22" s="346" t="str">
        <f t="shared" si="7"/>
        <v>Otros incentivos Salariales</v>
      </c>
      <c r="BJ22" s="346">
        <v>1</v>
      </c>
      <c r="BK22" s="1120">
        <f t="shared" si="8"/>
        <v>55561500</v>
      </c>
    </row>
    <row r="23" spans="1:63" s="346" customFormat="1" outlineLevel="1" x14ac:dyDescent="0.25">
      <c r="A23" s="340"/>
      <c r="B23" s="341" t="s">
        <v>1190</v>
      </c>
      <c r="C23" s="343">
        <f>SUM(C18:C22)</f>
        <v>27657000</v>
      </c>
      <c r="D23" s="343">
        <f t="shared" ref="D23:BC23" si="11">SUM(D18:D22)</f>
        <v>3747000</v>
      </c>
      <c r="E23" s="343">
        <f t="shared" si="11"/>
        <v>50118500</v>
      </c>
      <c r="F23" s="343">
        <f t="shared" si="11"/>
        <v>71461500</v>
      </c>
      <c r="G23" s="343">
        <f t="shared" si="11"/>
        <v>31723500</v>
      </c>
      <c r="H23" s="343">
        <f t="shared" si="11"/>
        <v>30502500</v>
      </c>
      <c r="I23" s="343">
        <f t="shared" si="11"/>
        <v>86701000</v>
      </c>
      <c r="J23" s="343">
        <f t="shared" si="11"/>
        <v>60235000</v>
      </c>
      <c r="K23" s="343">
        <f t="shared" si="11"/>
        <v>100493500</v>
      </c>
      <c r="L23" s="343">
        <f t="shared" si="11"/>
        <v>16305000</v>
      </c>
      <c r="M23" s="343">
        <f t="shared" si="11"/>
        <v>13867000</v>
      </c>
      <c r="N23" s="343">
        <f t="shared" si="11"/>
        <v>6329500</v>
      </c>
      <c r="O23" s="343">
        <f t="shared" si="11"/>
        <v>26263500</v>
      </c>
      <c r="P23" s="343">
        <f t="shared" si="11"/>
        <v>220682000</v>
      </c>
      <c r="Q23" s="343">
        <f t="shared" si="11"/>
        <v>0</v>
      </c>
      <c r="R23" s="343">
        <f t="shared" si="0"/>
        <v>746086500</v>
      </c>
      <c r="S23" s="343">
        <f t="shared" si="11"/>
        <v>153152000</v>
      </c>
      <c r="T23" s="343">
        <f t="shared" si="1"/>
        <v>153152000</v>
      </c>
      <c r="U23" s="343">
        <f t="shared" si="11"/>
        <v>45432000</v>
      </c>
      <c r="V23" s="343">
        <f t="shared" si="11"/>
        <v>72183500</v>
      </c>
      <c r="W23" s="343">
        <f t="shared" si="11"/>
        <v>53621000</v>
      </c>
      <c r="X23" s="343">
        <f t="shared" si="11"/>
        <v>123119500</v>
      </c>
      <c r="Y23" s="343">
        <f t="shared" si="11"/>
        <v>25317500</v>
      </c>
      <c r="Z23" s="343">
        <f t="shared" si="11"/>
        <v>84645000</v>
      </c>
      <c r="AA23" s="343">
        <f t="shared" si="11"/>
        <v>127892000</v>
      </c>
      <c r="AB23" s="343">
        <f t="shared" si="11"/>
        <v>40738500</v>
      </c>
      <c r="AC23" s="343">
        <f t="shared" si="11"/>
        <v>1031500</v>
      </c>
      <c r="AD23" s="343">
        <f t="shared" si="11"/>
        <v>30337000</v>
      </c>
      <c r="AE23" s="343">
        <f t="shared" si="11"/>
        <v>97988500</v>
      </c>
      <c r="AF23" s="343">
        <f t="shared" si="11"/>
        <v>98398500</v>
      </c>
      <c r="AG23" s="343">
        <f t="shared" si="11"/>
        <v>38795000</v>
      </c>
      <c r="AH23" s="343">
        <f t="shared" si="11"/>
        <v>37633000</v>
      </c>
      <c r="AI23" s="343">
        <f t="shared" si="11"/>
        <v>16440500</v>
      </c>
      <c r="AJ23" s="343">
        <f t="shared" si="11"/>
        <v>0</v>
      </c>
      <c r="AK23" s="343">
        <f t="shared" si="11"/>
        <v>39757000</v>
      </c>
      <c r="AL23" s="343">
        <f t="shared" si="11"/>
        <v>21709000</v>
      </c>
      <c r="AM23" s="343">
        <f t="shared" si="11"/>
        <v>0</v>
      </c>
      <c r="AN23" s="343">
        <f t="shared" si="11"/>
        <v>35000</v>
      </c>
      <c r="AO23" s="343">
        <f t="shared" si="11"/>
        <v>31913500</v>
      </c>
      <c r="AP23" s="343">
        <f t="shared" si="11"/>
        <v>17699000</v>
      </c>
      <c r="AQ23" s="343">
        <f t="shared" si="11"/>
        <v>1042500</v>
      </c>
      <c r="AR23" s="343">
        <f t="shared" si="11"/>
        <v>0</v>
      </c>
      <c r="AS23" s="343">
        <f t="shared" si="11"/>
        <v>117446000</v>
      </c>
      <c r="AT23" s="343">
        <f t="shared" si="11"/>
        <v>15409500</v>
      </c>
      <c r="AU23" s="343">
        <f t="shared" si="11"/>
        <v>34017500</v>
      </c>
      <c r="AV23" s="343">
        <f t="shared" si="2"/>
        <v>1172602000</v>
      </c>
      <c r="AW23" s="343">
        <f t="shared" si="11"/>
        <v>23661000</v>
      </c>
      <c r="AX23" s="343">
        <f t="shared" si="11"/>
        <v>51882000</v>
      </c>
      <c r="AY23" s="343">
        <f t="shared" si="11"/>
        <v>22440000</v>
      </c>
      <c r="AZ23" s="343">
        <f t="shared" si="11"/>
        <v>17251500</v>
      </c>
      <c r="BA23" s="343">
        <f t="shared" si="11"/>
        <v>18779000</v>
      </c>
      <c r="BB23" s="343">
        <f t="shared" si="11"/>
        <v>0</v>
      </c>
      <c r="BC23" s="343">
        <f t="shared" si="11"/>
        <v>0</v>
      </c>
      <c r="BD23" s="343">
        <f t="shared" si="3"/>
        <v>134013500</v>
      </c>
      <c r="BE23" s="343">
        <f t="shared" si="4"/>
        <v>2205854000</v>
      </c>
      <c r="BF23" s="343">
        <f t="shared" si="5"/>
        <v>134929500</v>
      </c>
      <c r="BG23" s="343">
        <f t="shared" si="6"/>
        <v>2070924500</v>
      </c>
      <c r="BI23" s="346" t="str">
        <f t="shared" si="7"/>
        <v>0.03 - INCENTIVOS SALARIALES</v>
      </c>
      <c r="BJ23" s="346">
        <v>1</v>
      </c>
      <c r="BK23" s="1120">
        <f t="shared" si="8"/>
        <v>746086500</v>
      </c>
    </row>
    <row r="24" spans="1:63" s="346" customFormat="1" ht="27.6" outlineLevel="1" x14ac:dyDescent="0.25">
      <c r="A24" s="340" t="s">
        <v>1335</v>
      </c>
      <c r="B24" s="340" t="s">
        <v>1191</v>
      </c>
      <c r="C24" s="342">
        <v>10678000</v>
      </c>
      <c r="D24" s="342">
        <v>779000</v>
      </c>
      <c r="E24" s="342">
        <v>10793500</v>
      </c>
      <c r="F24" s="342">
        <v>16342500</v>
      </c>
      <c r="G24" s="342">
        <v>5729000</v>
      </c>
      <c r="H24" s="342">
        <v>7444500</v>
      </c>
      <c r="I24" s="342">
        <v>15157000</v>
      </c>
      <c r="J24" s="342">
        <v>11341500</v>
      </c>
      <c r="K24" s="342">
        <v>18657000</v>
      </c>
      <c r="L24" s="342">
        <v>3547500</v>
      </c>
      <c r="M24" s="342">
        <v>2753500</v>
      </c>
      <c r="N24" s="342">
        <v>3033500</v>
      </c>
      <c r="O24" s="342">
        <v>4804000</v>
      </c>
      <c r="P24" s="342">
        <v>43278000</v>
      </c>
      <c r="Q24" s="342"/>
      <c r="R24" s="342">
        <f t="shared" si="0"/>
        <v>154338500</v>
      </c>
      <c r="S24" s="342">
        <v>32392500</v>
      </c>
      <c r="T24" s="342">
        <f t="shared" si="1"/>
        <v>32392500</v>
      </c>
      <c r="U24" s="342">
        <v>12638000</v>
      </c>
      <c r="V24" s="342">
        <v>28654500</v>
      </c>
      <c r="W24" s="342">
        <v>11785500</v>
      </c>
      <c r="X24" s="342">
        <v>38885500</v>
      </c>
      <c r="Y24" s="342">
        <v>10690500</v>
      </c>
      <c r="Z24" s="342">
        <v>17911000</v>
      </c>
      <c r="AA24" s="342">
        <v>30959500</v>
      </c>
      <c r="AB24" s="342">
        <v>8422500</v>
      </c>
      <c r="AC24" s="342">
        <v>397500</v>
      </c>
      <c r="AD24" s="342">
        <v>6093500</v>
      </c>
      <c r="AE24" s="342">
        <v>28322000</v>
      </c>
      <c r="AF24" s="342">
        <v>28216500</v>
      </c>
      <c r="AG24" s="342">
        <v>9983500</v>
      </c>
      <c r="AH24" s="342">
        <v>9063000</v>
      </c>
      <c r="AI24" s="342">
        <v>5378500</v>
      </c>
      <c r="AJ24" s="342"/>
      <c r="AK24" s="342">
        <v>9531000</v>
      </c>
      <c r="AL24" s="342">
        <v>5928000</v>
      </c>
      <c r="AM24" s="342"/>
      <c r="AN24" s="342">
        <v>16000</v>
      </c>
      <c r="AO24" s="342">
        <v>11749500</v>
      </c>
      <c r="AP24" s="342">
        <v>5044500</v>
      </c>
      <c r="AQ24" s="342">
        <v>734500</v>
      </c>
      <c r="AR24" s="342"/>
      <c r="AS24" s="342">
        <v>63228500</v>
      </c>
      <c r="AT24" s="342">
        <v>3187000</v>
      </c>
      <c r="AU24" s="342">
        <v>9086500</v>
      </c>
      <c r="AV24" s="342">
        <f t="shared" si="2"/>
        <v>355907000</v>
      </c>
      <c r="AW24" s="342">
        <v>5274500</v>
      </c>
      <c r="AX24" s="342">
        <v>9402000</v>
      </c>
      <c r="AY24" s="342">
        <v>3955500</v>
      </c>
      <c r="AZ24" s="342">
        <v>3431500</v>
      </c>
      <c r="BA24" s="342">
        <v>4560000</v>
      </c>
      <c r="BB24" s="342"/>
      <c r="BC24" s="342"/>
      <c r="BD24" s="342">
        <f t="shared" si="3"/>
        <v>26623500</v>
      </c>
      <c r="BE24" s="342">
        <f t="shared" si="4"/>
        <v>569261500</v>
      </c>
      <c r="BF24" s="342">
        <f t="shared" si="5"/>
        <v>67547500</v>
      </c>
      <c r="BG24" s="342">
        <f t="shared" si="6"/>
        <v>501714000</v>
      </c>
      <c r="BH24" s="346" t="s">
        <v>90</v>
      </c>
      <c r="BI24" s="346" t="str">
        <f t="shared" si="7"/>
        <v>Contribución Patronal al Seguro de Salud de la Caja Costarricense del Seguro Social</v>
      </c>
      <c r="BJ24" s="346">
        <v>1</v>
      </c>
      <c r="BK24" s="1120">
        <f t="shared" si="8"/>
        <v>154338500</v>
      </c>
    </row>
    <row r="25" spans="1:63" s="346" customFormat="1" outlineLevel="1" x14ac:dyDescent="0.25">
      <c r="A25" s="340" t="s">
        <v>92</v>
      </c>
      <c r="B25" s="1122" t="s">
        <v>447</v>
      </c>
      <c r="C25" s="342">
        <v>577000</v>
      </c>
      <c r="D25" s="342">
        <v>42000</v>
      </c>
      <c r="E25" s="342">
        <v>583500</v>
      </c>
      <c r="F25" s="342">
        <v>883500</v>
      </c>
      <c r="G25" s="342">
        <v>309500</v>
      </c>
      <c r="H25" s="342">
        <v>402500</v>
      </c>
      <c r="I25" s="342">
        <v>819500</v>
      </c>
      <c r="J25" s="342">
        <v>613000</v>
      </c>
      <c r="K25" s="342">
        <v>1008500</v>
      </c>
      <c r="L25" s="342">
        <v>192000</v>
      </c>
      <c r="M25" s="342">
        <v>149000</v>
      </c>
      <c r="N25" s="342">
        <v>164000</v>
      </c>
      <c r="O25" s="342">
        <v>259500</v>
      </c>
      <c r="P25" s="342">
        <v>2339500</v>
      </c>
      <c r="Q25" s="342"/>
      <c r="R25" s="342">
        <f t="shared" si="0"/>
        <v>8343000</v>
      </c>
      <c r="S25" s="342">
        <v>1751000</v>
      </c>
      <c r="T25" s="342">
        <f t="shared" si="1"/>
        <v>1751000</v>
      </c>
      <c r="U25" s="342">
        <v>683000</v>
      </c>
      <c r="V25" s="342">
        <v>1549000</v>
      </c>
      <c r="W25" s="342">
        <v>637000</v>
      </c>
      <c r="X25" s="342">
        <v>2102000</v>
      </c>
      <c r="Y25" s="342">
        <v>577500</v>
      </c>
      <c r="Z25" s="342">
        <v>968000</v>
      </c>
      <c r="AA25" s="342">
        <v>1673500</v>
      </c>
      <c r="AB25" s="342">
        <v>455500</v>
      </c>
      <c r="AC25" s="342">
        <v>21500</v>
      </c>
      <c r="AD25" s="342">
        <v>329500</v>
      </c>
      <c r="AE25" s="342">
        <v>1531000</v>
      </c>
      <c r="AF25" s="342">
        <v>1525500</v>
      </c>
      <c r="AG25" s="342">
        <v>539500</v>
      </c>
      <c r="AH25" s="342">
        <v>490000</v>
      </c>
      <c r="AI25" s="342">
        <v>290500</v>
      </c>
      <c r="AJ25" s="342"/>
      <c r="AK25" s="342">
        <v>515000</v>
      </c>
      <c r="AL25" s="342">
        <v>320500</v>
      </c>
      <c r="AM25" s="342"/>
      <c r="AN25" s="342">
        <v>1000</v>
      </c>
      <c r="AO25" s="342">
        <v>635000</v>
      </c>
      <c r="AP25" s="342">
        <v>272500</v>
      </c>
      <c r="AQ25" s="342">
        <v>39500</v>
      </c>
      <c r="AR25" s="342"/>
      <c r="AS25" s="342">
        <v>3418000</v>
      </c>
      <c r="AT25" s="342">
        <v>172500</v>
      </c>
      <c r="AU25" s="342">
        <v>491500</v>
      </c>
      <c r="AV25" s="342">
        <f t="shared" si="2"/>
        <v>19238500</v>
      </c>
      <c r="AW25" s="342">
        <v>285000</v>
      </c>
      <c r="AX25" s="342">
        <v>508000</v>
      </c>
      <c r="AY25" s="342">
        <v>214000</v>
      </c>
      <c r="AZ25" s="342">
        <v>185500</v>
      </c>
      <c r="BA25" s="342">
        <v>246500</v>
      </c>
      <c r="BB25" s="342"/>
      <c r="BC25" s="342"/>
      <c r="BD25" s="342">
        <f t="shared" si="3"/>
        <v>1439000</v>
      </c>
      <c r="BE25" s="342">
        <f t="shared" si="4"/>
        <v>30771500</v>
      </c>
      <c r="BF25" s="342">
        <f t="shared" si="5"/>
        <v>3651500</v>
      </c>
      <c r="BG25" s="342">
        <f t="shared" si="6"/>
        <v>27120000</v>
      </c>
      <c r="BH25" s="346" t="s">
        <v>92</v>
      </c>
      <c r="BI25" s="346" t="str">
        <f t="shared" si="7"/>
        <v>Contribución Patronal al Instituto Mixto de Ayuda Social</v>
      </c>
      <c r="BJ25" s="346">
        <v>1</v>
      </c>
      <c r="BK25" s="1120">
        <f t="shared" si="8"/>
        <v>8343000</v>
      </c>
    </row>
    <row r="26" spans="1:63" s="347" customFormat="1" outlineLevel="1" x14ac:dyDescent="0.25">
      <c r="A26" s="340" t="s">
        <v>93</v>
      </c>
      <c r="B26" s="1122" t="s">
        <v>448</v>
      </c>
      <c r="C26" s="342">
        <v>1731500</v>
      </c>
      <c r="D26" s="342">
        <v>126500</v>
      </c>
      <c r="E26" s="342">
        <v>1750500</v>
      </c>
      <c r="F26" s="342">
        <v>2650000</v>
      </c>
      <c r="G26" s="342">
        <v>929000</v>
      </c>
      <c r="H26" s="342">
        <v>1207000</v>
      </c>
      <c r="I26" s="342">
        <v>2458000</v>
      </c>
      <c r="J26" s="342">
        <v>1839000</v>
      </c>
      <c r="K26" s="342">
        <v>3025500</v>
      </c>
      <c r="L26" s="342">
        <v>575500</v>
      </c>
      <c r="M26" s="342">
        <v>446500</v>
      </c>
      <c r="N26" s="342">
        <v>492000</v>
      </c>
      <c r="O26" s="342">
        <v>779000</v>
      </c>
      <c r="P26" s="342">
        <v>7018000</v>
      </c>
      <c r="Q26" s="342"/>
      <c r="R26" s="342">
        <f t="shared" si="0"/>
        <v>25028000</v>
      </c>
      <c r="S26" s="342">
        <v>5253000</v>
      </c>
      <c r="T26" s="342">
        <f t="shared" si="1"/>
        <v>5253000</v>
      </c>
      <c r="U26" s="342">
        <v>2049500</v>
      </c>
      <c r="V26" s="342">
        <v>4646500</v>
      </c>
      <c r="W26" s="342">
        <v>1911000</v>
      </c>
      <c r="X26" s="342">
        <v>6306000</v>
      </c>
      <c r="Y26" s="342">
        <v>1733500</v>
      </c>
      <c r="Z26" s="342">
        <v>2904500</v>
      </c>
      <c r="AA26" s="342">
        <v>5020500</v>
      </c>
      <c r="AB26" s="342">
        <v>1366000</v>
      </c>
      <c r="AC26" s="342">
        <v>64500</v>
      </c>
      <c r="AD26" s="342">
        <v>988000</v>
      </c>
      <c r="AE26" s="342">
        <v>4592500</v>
      </c>
      <c r="AF26" s="342">
        <v>4575500</v>
      </c>
      <c r="AG26" s="342">
        <v>1619000</v>
      </c>
      <c r="AH26" s="342">
        <v>1469500</v>
      </c>
      <c r="AI26" s="342">
        <v>872000</v>
      </c>
      <c r="AJ26" s="342"/>
      <c r="AK26" s="342">
        <v>1545500</v>
      </c>
      <c r="AL26" s="342">
        <v>961500</v>
      </c>
      <c r="AM26" s="342"/>
      <c r="AN26" s="342">
        <v>2500</v>
      </c>
      <c r="AO26" s="342">
        <v>1905500</v>
      </c>
      <c r="AP26" s="342">
        <v>818000</v>
      </c>
      <c r="AQ26" s="342">
        <v>119000</v>
      </c>
      <c r="AR26" s="342"/>
      <c r="AS26" s="342">
        <v>10253500</v>
      </c>
      <c r="AT26" s="342">
        <v>517000</v>
      </c>
      <c r="AU26" s="342">
        <v>1473500</v>
      </c>
      <c r="AV26" s="342">
        <f t="shared" si="2"/>
        <v>57714500</v>
      </c>
      <c r="AW26" s="342">
        <v>855500</v>
      </c>
      <c r="AX26" s="342">
        <v>1524500</v>
      </c>
      <c r="AY26" s="342">
        <v>641500</v>
      </c>
      <c r="AZ26" s="342">
        <v>556500</v>
      </c>
      <c r="BA26" s="342">
        <v>739500</v>
      </c>
      <c r="BB26" s="342"/>
      <c r="BC26" s="342"/>
      <c r="BD26" s="342">
        <f t="shared" si="3"/>
        <v>4317500</v>
      </c>
      <c r="BE26" s="342">
        <f t="shared" si="4"/>
        <v>92313000</v>
      </c>
      <c r="BF26" s="342">
        <f t="shared" si="5"/>
        <v>10954000</v>
      </c>
      <c r="BG26" s="342">
        <f t="shared" si="6"/>
        <v>81359000</v>
      </c>
      <c r="BH26" s="346" t="s">
        <v>93</v>
      </c>
      <c r="BI26" s="346" t="str">
        <f t="shared" si="7"/>
        <v>Contribución Patronal al Instituto Nacional de Aprendizaje</v>
      </c>
      <c r="BJ26" s="346">
        <v>1</v>
      </c>
      <c r="BK26" s="1120">
        <f t="shared" si="8"/>
        <v>25028000</v>
      </c>
    </row>
    <row r="27" spans="1:63" s="346" customFormat="1" ht="27.6" outlineLevel="1" x14ac:dyDescent="0.25">
      <c r="A27" s="340" t="s">
        <v>94</v>
      </c>
      <c r="B27" s="1122" t="s">
        <v>609</v>
      </c>
      <c r="C27" s="342">
        <v>5772000</v>
      </c>
      <c r="D27" s="342">
        <v>421000</v>
      </c>
      <c r="E27" s="342">
        <v>5834000</v>
      </c>
      <c r="F27" s="342">
        <v>8834000</v>
      </c>
      <c r="G27" s="342">
        <v>3096500</v>
      </c>
      <c r="H27" s="342">
        <v>4024000</v>
      </c>
      <c r="I27" s="342">
        <v>8193000</v>
      </c>
      <c r="J27" s="342">
        <v>6130500</v>
      </c>
      <c r="K27" s="342">
        <v>10085000</v>
      </c>
      <c r="L27" s="342">
        <v>1917500</v>
      </c>
      <c r="M27" s="342">
        <v>1488500</v>
      </c>
      <c r="N27" s="342">
        <v>1639500</v>
      </c>
      <c r="O27" s="342">
        <v>2596500</v>
      </c>
      <c r="P27" s="342">
        <v>23393500</v>
      </c>
      <c r="Q27" s="342"/>
      <c r="R27" s="342">
        <f t="shared" si="0"/>
        <v>83425500</v>
      </c>
      <c r="S27" s="342">
        <v>17509500</v>
      </c>
      <c r="T27" s="342">
        <f>+S27</f>
        <v>17509500</v>
      </c>
      <c r="U27" s="342">
        <v>6831500</v>
      </c>
      <c r="V27" s="342">
        <v>15488500</v>
      </c>
      <c r="W27" s="342">
        <v>6370500</v>
      </c>
      <c r="X27" s="342">
        <v>21019000</v>
      </c>
      <c r="Y27" s="342">
        <v>5779000</v>
      </c>
      <c r="Z27" s="342">
        <v>9681500</v>
      </c>
      <c r="AA27" s="342">
        <v>16735000</v>
      </c>
      <c r="AB27" s="342">
        <v>4552500</v>
      </c>
      <c r="AC27" s="342">
        <v>215000</v>
      </c>
      <c r="AD27" s="342">
        <v>3293500</v>
      </c>
      <c r="AE27" s="342">
        <v>15309000</v>
      </c>
      <c r="AF27" s="342">
        <v>15252500</v>
      </c>
      <c r="AG27" s="342">
        <v>5396500</v>
      </c>
      <c r="AH27" s="342">
        <v>4899000</v>
      </c>
      <c r="AI27" s="342">
        <v>2907000</v>
      </c>
      <c r="AJ27" s="342"/>
      <c r="AK27" s="342">
        <v>5152000</v>
      </c>
      <c r="AL27" s="342">
        <v>3204500</v>
      </c>
      <c r="AM27" s="342"/>
      <c r="AN27" s="342">
        <v>8500</v>
      </c>
      <c r="AO27" s="342">
        <v>6351000</v>
      </c>
      <c r="AP27" s="342">
        <v>2727000</v>
      </c>
      <c r="AQ27" s="342">
        <v>397000</v>
      </c>
      <c r="AR27" s="342"/>
      <c r="AS27" s="342">
        <v>34177500</v>
      </c>
      <c r="AT27" s="342">
        <v>1723000</v>
      </c>
      <c r="AU27" s="342">
        <v>4912000</v>
      </c>
      <c r="AV27" s="342">
        <f t="shared" si="2"/>
        <v>192382500</v>
      </c>
      <c r="AW27" s="342">
        <v>2851000</v>
      </c>
      <c r="AX27" s="342">
        <v>5082000</v>
      </c>
      <c r="AY27" s="342">
        <v>2138000</v>
      </c>
      <c r="AZ27" s="342">
        <v>1855000</v>
      </c>
      <c r="BA27" s="342">
        <v>2465000</v>
      </c>
      <c r="BB27" s="342"/>
      <c r="BC27" s="342"/>
      <c r="BD27" s="342">
        <f t="shared" si="3"/>
        <v>14391000</v>
      </c>
      <c r="BE27" s="342">
        <f t="shared" si="4"/>
        <v>307708500</v>
      </c>
      <c r="BF27" s="342">
        <f t="shared" si="5"/>
        <v>36512500</v>
      </c>
      <c r="BG27" s="342">
        <f t="shared" si="6"/>
        <v>271196000</v>
      </c>
      <c r="BH27" s="346" t="s">
        <v>94</v>
      </c>
      <c r="BI27" s="346" t="str">
        <f t="shared" si="7"/>
        <v>Contribución Patronal al Fondo de Desarrollo Social  y Asignaciones Familiares</v>
      </c>
      <c r="BJ27" s="346">
        <v>1</v>
      </c>
      <c r="BK27" s="1120">
        <f t="shared" si="8"/>
        <v>83425500</v>
      </c>
    </row>
    <row r="28" spans="1:63" s="346" customFormat="1" outlineLevel="1" x14ac:dyDescent="0.25">
      <c r="A28" s="340" t="s">
        <v>96</v>
      </c>
      <c r="B28" s="1122" t="s">
        <v>1192</v>
      </c>
      <c r="C28" s="342">
        <v>577000</v>
      </c>
      <c r="D28" s="342">
        <v>42000</v>
      </c>
      <c r="E28" s="342">
        <v>583500</v>
      </c>
      <c r="F28" s="342">
        <v>883500</v>
      </c>
      <c r="G28" s="342">
        <v>309500</v>
      </c>
      <c r="H28" s="342">
        <v>402500</v>
      </c>
      <c r="I28" s="342">
        <v>819500</v>
      </c>
      <c r="J28" s="342">
        <v>613000</v>
      </c>
      <c r="K28" s="342">
        <v>1008500</v>
      </c>
      <c r="L28" s="342">
        <v>192000</v>
      </c>
      <c r="M28" s="342">
        <v>149000</v>
      </c>
      <c r="N28" s="342">
        <v>164000</v>
      </c>
      <c r="O28" s="342">
        <v>259500</v>
      </c>
      <c r="P28" s="342">
        <v>2339500</v>
      </c>
      <c r="Q28" s="342"/>
      <c r="R28" s="342">
        <f t="shared" si="0"/>
        <v>8343000</v>
      </c>
      <c r="S28" s="342">
        <v>1751000</v>
      </c>
      <c r="T28" s="342">
        <f t="shared" si="1"/>
        <v>1751000</v>
      </c>
      <c r="U28" s="342">
        <v>683000</v>
      </c>
      <c r="V28" s="342">
        <v>1549000</v>
      </c>
      <c r="W28" s="342">
        <v>637000</v>
      </c>
      <c r="X28" s="342">
        <v>2102000</v>
      </c>
      <c r="Y28" s="342">
        <v>577500</v>
      </c>
      <c r="Z28" s="342">
        <v>968000</v>
      </c>
      <c r="AA28" s="342">
        <v>1673500</v>
      </c>
      <c r="AB28" s="342">
        <v>455500</v>
      </c>
      <c r="AC28" s="342">
        <v>21500</v>
      </c>
      <c r="AD28" s="342">
        <v>329500</v>
      </c>
      <c r="AE28" s="342">
        <v>1531000</v>
      </c>
      <c r="AF28" s="342">
        <v>1525500</v>
      </c>
      <c r="AG28" s="342">
        <v>539500</v>
      </c>
      <c r="AH28" s="342">
        <v>490000</v>
      </c>
      <c r="AI28" s="342">
        <v>290500</v>
      </c>
      <c r="AJ28" s="342"/>
      <c r="AK28" s="342">
        <v>515000</v>
      </c>
      <c r="AL28" s="342">
        <v>320500</v>
      </c>
      <c r="AM28" s="342"/>
      <c r="AN28" s="342">
        <v>1000</v>
      </c>
      <c r="AO28" s="342">
        <v>635000</v>
      </c>
      <c r="AP28" s="342">
        <v>272500</v>
      </c>
      <c r="AQ28" s="342">
        <v>39500</v>
      </c>
      <c r="AR28" s="342"/>
      <c r="AS28" s="342">
        <v>3418000</v>
      </c>
      <c r="AT28" s="342">
        <v>172500</v>
      </c>
      <c r="AU28" s="342">
        <v>491500</v>
      </c>
      <c r="AV28" s="342">
        <f t="shared" si="2"/>
        <v>19238500</v>
      </c>
      <c r="AW28" s="342">
        <v>285000</v>
      </c>
      <c r="AX28" s="342">
        <v>508000</v>
      </c>
      <c r="AY28" s="342">
        <v>214000</v>
      </c>
      <c r="AZ28" s="342">
        <v>185500</v>
      </c>
      <c r="BA28" s="342">
        <v>246500</v>
      </c>
      <c r="BB28" s="342"/>
      <c r="BC28" s="342"/>
      <c r="BD28" s="342">
        <f t="shared" si="3"/>
        <v>1439000</v>
      </c>
      <c r="BE28" s="342">
        <f t="shared" si="4"/>
        <v>30771500</v>
      </c>
      <c r="BF28" s="342">
        <f t="shared" si="5"/>
        <v>3651500</v>
      </c>
      <c r="BG28" s="342">
        <f t="shared" si="6"/>
        <v>27120000</v>
      </c>
      <c r="BH28" s="346" t="s">
        <v>96</v>
      </c>
      <c r="BI28" s="346" t="str">
        <f t="shared" si="7"/>
        <v>Contribución Patronal al Banco Popular y de Desarrollo Comunal</v>
      </c>
      <c r="BJ28" s="346">
        <v>1</v>
      </c>
      <c r="BK28" s="1120">
        <f t="shared" si="8"/>
        <v>8343000</v>
      </c>
    </row>
    <row r="29" spans="1:63" s="346" customFormat="1" ht="27.6" outlineLevel="1" x14ac:dyDescent="0.25">
      <c r="A29" s="340"/>
      <c r="B29" s="341" t="s">
        <v>1193</v>
      </c>
      <c r="C29" s="343">
        <f>SUM(C24:C28)</f>
        <v>19335500</v>
      </c>
      <c r="D29" s="343">
        <f t="shared" ref="D29:BC29" si="12">SUM(D24:D28)</f>
        <v>1410500</v>
      </c>
      <c r="E29" s="343">
        <f t="shared" si="12"/>
        <v>19545000</v>
      </c>
      <c r="F29" s="343">
        <f t="shared" si="12"/>
        <v>29593500</v>
      </c>
      <c r="G29" s="343">
        <f t="shared" si="12"/>
        <v>10373500</v>
      </c>
      <c r="H29" s="343">
        <f t="shared" si="12"/>
        <v>13480500</v>
      </c>
      <c r="I29" s="343">
        <f t="shared" si="12"/>
        <v>27447000</v>
      </c>
      <c r="J29" s="343">
        <f t="shared" si="12"/>
        <v>20537000</v>
      </c>
      <c r="K29" s="343">
        <f t="shared" si="12"/>
        <v>33784500</v>
      </c>
      <c r="L29" s="343">
        <f t="shared" si="12"/>
        <v>6424500</v>
      </c>
      <c r="M29" s="343">
        <f t="shared" si="12"/>
        <v>4986500</v>
      </c>
      <c r="N29" s="343">
        <f t="shared" si="12"/>
        <v>5493000</v>
      </c>
      <c r="O29" s="343">
        <f t="shared" si="12"/>
        <v>8698500</v>
      </c>
      <c r="P29" s="343">
        <f t="shared" si="12"/>
        <v>78368500</v>
      </c>
      <c r="Q29" s="343">
        <f t="shared" si="12"/>
        <v>0</v>
      </c>
      <c r="R29" s="343">
        <f t="shared" si="0"/>
        <v>279478000</v>
      </c>
      <c r="S29" s="343">
        <f t="shared" si="12"/>
        <v>58657000</v>
      </c>
      <c r="T29" s="343">
        <f t="shared" si="1"/>
        <v>58657000</v>
      </c>
      <c r="U29" s="343">
        <f t="shared" si="12"/>
        <v>22885000</v>
      </c>
      <c r="V29" s="343">
        <f t="shared" si="12"/>
        <v>51887500</v>
      </c>
      <c r="W29" s="343">
        <f t="shared" si="12"/>
        <v>21341000</v>
      </c>
      <c r="X29" s="343">
        <f t="shared" si="12"/>
        <v>70414500</v>
      </c>
      <c r="Y29" s="343">
        <f t="shared" si="12"/>
        <v>19358000</v>
      </c>
      <c r="Z29" s="343">
        <f t="shared" si="12"/>
        <v>32433000</v>
      </c>
      <c r="AA29" s="343">
        <f t="shared" si="12"/>
        <v>56062000</v>
      </c>
      <c r="AB29" s="343">
        <f t="shared" si="12"/>
        <v>15252000</v>
      </c>
      <c r="AC29" s="343">
        <f t="shared" si="12"/>
        <v>720000</v>
      </c>
      <c r="AD29" s="343">
        <f t="shared" si="12"/>
        <v>11034000</v>
      </c>
      <c r="AE29" s="343">
        <f t="shared" si="12"/>
        <v>51285500</v>
      </c>
      <c r="AF29" s="343">
        <f t="shared" si="12"/>
        <v>51095500</v>
      </c>
      <c r="AG29" s="343">
        <f t="shared" si="12"/>
        <v>18078000</v>
      </c>
      <c r="AH29" s="343">
        <f t="shared" si="12"/>
        <v>16411500</v>
      </c>
      <c r="AI29" s="343">
        <f t="shared" si="12"/>
        <v>9738500</v>
      </c>
      <c r="AJ29" s="343">
        <f t="shared" si="12"/>
        <v>0</v>
      </c>
      <c r="AK29" s="343">
        <f t="shared" si="12"/>
        <v>17258500</v>
      </c>
      <c r="AL29" s="343">
        <f t="shared" si="12"/>
        <v>10735000</v>
      </c>
      <c r="AM29" s="343">
        <f t="shared" si="12"/>
        <v>0</v>
      </c>
      <c r="AN29" s="343">
        <f t="shared" si="12"/>
        <v>29000</v>
      </c>
      <c r="AO29" s="343">
        <f t="shared" si="12"/>
        <v>21276000</v>
      </c>
      <c r="AP29" s="343">
        <f t="shared" si="12"/>
        <v>9134500</v>
      </c>
      <c r="AQ29" s="343">
        <f t="shared" si="12"/>
        <v>1329500</v>
      </c>
      <c r="AR29" s="343">
        <f t="shared" si="12"/>
        <v>0</v>
      </c>
      <c r="AS29" s="343">
        <f t="shared" si="12"/>
        <v>114495500</v>
      </c>
      <c r="AT29" s="343">
        <f t="shared" si="12"/>
        <v>5772000</v>
      </c>
      <c r="AU29" s="343">
        <f t="shared" si="12"/>
        <v>16455000</v>
      </c>
      <c r="AV29" s="343">
        <f t="shared" si="2"/>
        <v>644481000</v>
      </c>
      <c r="AW29" s="343">
        <f t="shared" si="12"/>
        <v>9551000</v>
      </c>
      <c r="AX29" s="343">
        <f t="shared" si="12"/>
        <v>17024500</v>
      </c>
      <c r="AY29" s="343">
        <f t="shared" si="12"/>
        <v>7163000</v>
      </c>
      <c r="AZ29" s="343">
        <f t="shared" si="12"/>
        <v>6214000</v>
      </c>
      <c r="BA29" s="343">
        <f t="shared" si="12"/>
        <v>8257500</v>
      </c>
      <c r="BB29" s="343">
        <f t="shared" si="12"/>
        <v>0</v>
      </c>
      <c r="BC29" s="343">
        <f t="shared" si="12"/>
        <v>0</v>
      </c>
      <c r="BD29" s="343">
        <f t="shared" si="3"/>
        <v>48210000</v>
      </c>
      <c r="BE29" s="343">
        <f t="shared" si="4"/>
        <v>1030826000</v>
      </c>
      <c r="BF29" s="343">
        <f t="shared" si="5"/>
        <v>122317000</v>
      </c>
      <c r="BG29" s="343">
        <f t="shared" si="6"/>
        <v>908509000</v>
      </c>
      <c r="BI29" s="346" t="str">
        <f t="shared" si="7"/>
        <v>0.04 - CONTRIBUCIONES PATRONALES AL DESARROLLO Y SEGURIDAD SOCIAL</v>
      </c>
      <c r="BJ29" s="346">
        <v>1</v>
      </c>
      <c r="BK29" s="1120">
        <f t="shared" si="8"/>
        <v>279478000</v>
      </c>
    </row>
    <row r="30" spans="1:63" s="346" customFormat="1" ht="27.6" outlineLevel="1" x14ac:dyDescent="0.25">
      <c r="A30" s="340" t="s">
        <v>510</v>
      </c>
      <c r="B30" s="340" t="s">
        <v>1194</v>
      </c>
      <c r="C30" s="342">
        <v>6257000</v>
      </c>
      <c r="D30" s="342">
        <v>456500</v>
      </c>
      <c r="E30" s="342">
        <v>6324500</v>
      </c>
      <c r="F30" s="342">
        <v>9576000</v>
      </c>
      <c r="G30" s="342">
        <v>3357000</v>
      </c>
      <c r="H30" s="342">
        <v>4362000</v>
      </c>
      <c r="I30" s="342">
        <v>8881000</v>
      </c>
      <c r="J30" s="342">
        <v>6645500</v>
      </c>
      <c r="K30" s="342">
        <v>10932000</v>
      </c>
      <c r="L30" s="342">
        <v>2078500</v>
      </c>
      <c r="M30" s="342">
        <v>1613500</v>
      </c>
      <c r="N30" s="342">
        <v>1777500</v>
      </c>
      <c r="O30" s="342">
        <v>2815000</v>
      </c>
      <c r="P30" s="342">
        <v>25358500</v>
      </c>
      <c r="Q30" s="342"/>
      <c r="R30" s="342">
        <f t="shared" si="0"/>
        <v>90434500</v>
      </c>
      <c r="S30" s="342">
        <v>18980500</v>
      </c>
      <c r="T30" s="342">
        <f t="shared" si="1"/>
        <v>18980500</v>
      </c>
      <c r="U30" s="342">
        <v>7405000</v>
      </c>
      <c r="V30" s="342">
        <v>16789500</v>
      </c>
      <c r="W30" s="342">
        <v>6906000</v>
      </c>
      <c r="X30" s="342">
        <v>22784500</v>
      </c>
      <c r="Y30" s="342">
        <v>6264000</v>
      </c>
      <c r="Z30" s="342">
        <v>10495000</v>
      </c>
      <c r="AA30" s="342">
        <v>18140500</v>
      </c>
      <c r="AB30" s="342">
        <v>4935000</v>
      </c>
      <c r="AC30" s="342">
        <v>233000</v>
      </c>
      <c r="AD30" s="342">
        <v>3570500</v>
      </c>
      <c r="AE30" s="342">
        <v>16595000</v>
      </c>
      <c r="AF30" s="342">
        <v>16533500</v>
      </c>
      <c r="AG30" s="342">
        <v>5849500</v>
      </c>
      <c r="AH30" s="342">
        <v>5310500</v>
      </c>
      <c r="AI30" s="342">
        <v>3151500</v>
      </c>
      <c r="AJ30" s="342"/>
      <c r="AK30" s="342">
        <v>5584500</v>
      </c>
      <c r="AL30" s="342">
        <v>3473500</v>
      </c>
      <c r="AM30" s="342"/>
      <c r="AN30" s="342">
        <v>9500</v>
      </c>
      <c r="AO30" s="342">
        <v>6884500</v>
      </c>
      <c r="AP30" s="342">
        <v>2956000</v>
      </c>
      <c r="AQ30" s="342">
        <v>430500</v>
      </c>
      <c r="AR30" s="342"/>
      <c r="AS30" s="342">
        <v>37048500</v>
      </c>
      <c r="AT30" s="342">
        <v>1867500</v>
      </c>
      <c r="AU30" s="342">
        <v>5324000</v>
      </c>
      <c r="AV30" s="342">
        <f t="shared" si="2"/>
        <v>208541500</v>
      </c>
      <c r="AW30" s="342">
        <v>3090500</v>
      </c>
      <c r="AX30" s="342">
        <v>5509000</v>
      </c>
      <c r="AY30" s="342">
        <v>2318000</v>
      </c>
      <c r="AZ30" s="342">
        <v>2011000</v>
      </c>
      <c r="BA30" s="342">
        <v>2672000</v>
      </c>
      <c r="BB30" s="342"/>
      <c r="BC30" s="342"/>
      <c r="BD30" s="342">
        <f t="shared" si="3"/>
        <v>15600500</v>
      </c>
      <c r="BE30" s="342">
        <f t="shared" si="4"/>
        <v>333557000</v>
      </c>
      <c r="BF30" s="342">
        <f t="shared" si="5"/>
        <v>39579500</v>
      </c>
      <c r="BG30" s="342">
        <f t="shared" si="6"/>
        <v>293977500</v>
      </c>
      <c r="BH30" s="346" t="s">
        <v>510</v>
      </c>
      <c r="BI30" s="346" t="str">
        <f t="shared" si="7"/>
        <v>Contribución Patronal al Seguro de Pensiones  de la Caja Costarricense de Seguro Social</v>
      </c>
      <c r="BJ30" s="346">
        <v>1</v>
      </c>
      <c r="BK30" s="1120">
        <f t="shared" si="8"/>
        <v>90434500</v>
      </c>
    </row>
    <row r="31" spans="1:63" s="347" customFormat="1" ht="27.6" outlineLevel="1" x14ac:dyDescent="0.25">
      <c r="A31" s="340" t="s">
        <v>100</v>
      </c>
      <c r="B31" s="340" t="s">
        <v>1195</v>
      </c>
      <c r="C31" s="342">
        <v>3463500</v>
      </c>
      <c r="D31" s="342">
        <v>252500</v>
      </c>
      <c r="E31" s="342">
        <v>3500500</v>
      </c>
      <c r="F31" s="342">
        <v>5300500</v>
      </c>
      <c r="G31" s="342">
        <v>1858000</v>
      </c>
      <c r="H31" s="342">
        <v>2414500</v>
      </c>
      <c r="I31" s="342">
        <v>4915500</v>
      </c>
      <c r="J31" s="342">
        <v>3678000</v>
      </c>
      <c r="K31" s="342">
        <v>6051000</v>
      </c>
      <c r="L31" s="342">
        <v>1150500</v>
      </c>
      <c r="M31" s="342">
        <v>893000</v>
      </c>
      <c r="N31" s="342">
        <v>984000</v>
      </c>
      <c r="O31" s="342">
        <v>1558000</v>
      </c>
      <c r="P31" s="342">
        <v>14036000</v>
      </c>
      <c r="Q31" s="342"/>
      <c r="R31" s="342">
        <f t="shared" si="0"/>
        <v>50055500</v>
      </c>
      <c r="S31" s="342">
        <v>10506000</v>
      </c>
      <c r="T31" s="342">
        <f t="shared" si="1"/>
        <v>10506000</v>
      </c>
      <c r="U31" s="342">
        <v>4099000</v>
      </c>
      <c r="V31" s="342">
        <v>9293000</v>
      </c>
      <c r="W31" s="342">
        <v>3822500</v>
      </c>
      <c r="X31" s="342">
        <v>12611500</v>
      </c>
      <c r="Y31" s="342">
        <v>3467000</v>
      </c>
      <c r="Z31" s="342">
        <v>5809000</v>
      </c>
      <c r="AA31" s="342">
        <v>10041000</v>
      </c>
      <c r="AB31" s="342">
        <v>2731500</v>
      </c>
      <c r="AC31" s="342">
        <v>129000</v>
      </c>
      <c r="AD31" s="342">
        <v>1976000</v>
      </c>
      <c r="AE31" s="342">
        <v>9185500</v>
      </c>
      <c r="AF31" s="342">
        <v>9151500</v>
      </c>
      <c r="AG31" s="342">
        <v>3238000</v>
      </c>
      <c r="AH31" s="342">
        <v>2939500</v>
      </c>
      <c r="AI31" s="342">
        <v>1744500</v>
      </c>
      <c r="AJ31" s="342"/>
      <c r="AK31" s="342">
        <v>3091500</v>
      </c>
      <c r="AL31" s="342">
        <v>1922500</v>
      </c>
      <c r="AM31" s="342"/>
      <c r="AN31" s="342">
        <v>5000</v>
      </c>
      <c r="AO31" s="342">
        <v>3810500</v>
      </c>
      <c r="AP31" s="342">
        <v>1636000</v>
      </c>
      <c r="AQ31" s="342">
        <v>238500</v>
      </c>
      <c r="AR31" s="342"/>
      <c r="AS31" s="342">
        <v>20506500</v>
      </c>
      <c r="AT31" s="342">
        <v>1033500</v>
      </c>
      <c r="AU31" s="342">
        <v>2947000</v>
      </c>
      <c r="AV31" s="342">
        <f t="shared" si="2"/>
        <v>115429500</v>
      </c>
      <c r="AW31" s="342">
        <v>1710500</v>
      </c>
      <c r="AX31" s="342">
        <v>3049500</v>
      </c>
      <c r="AY31" s="342">
        <v>1283000</v>
      </c>
      <c r="AZ31" s="342">
        <v>1113000</v>
      </c>
      <c r="BA31" s="342">
        <v>1479000</v>
      </c>
      <c r="BB31" s="342"/>
      <c r="BC31" s="342"/>
      <c r="BD31" s="342">
        <f t="shared" si="3"/>
        <v>8635000</v>
      </c>
      <c r="BE31" s="342">
        <f t="shared" si="4"/>
        <v>184626000</v>
      </c>
      <c r="BF31" s="342">
        <f t="shared" si="5"/>
        <v>21907500</v>
      </c>
      <c r="BG31" s="342">
        <f t="shared" si="6"/>
        <v>162718500</v>
      </c>
      <c r="BH31" s="346" t="s">
        <v>100</v>
      </c>
      <c r="BI31" s="346" t="str">
        <f t="shared" si="7"/>
        <v>Aporte Patronal al Régimen Obligatorio de Pensiones Complementarias</v>
      </c>
      <c r="BJ31" s="346">
        <v>1</v>
      </c>
      <c r="BK31" s="1120">
        <f t="shared" si="8"/>
        <v>50055500</v>
      </c>
    </row>
    <row r="32" spans="1:63" s="346" customFormat="1" outlineLevel="1" x14ac:dyDescent="0.25">
      <c r="A32" s="340" t="s">
        <v>101</v>
      </c>
      <c r="B32" s="340" t="s">
        <v>543</v>
      </c>
      <c r="C32" s="342">
        <v>1731500</v>
      </c>
      <c r="D32" s="342">
        <v>126500</v>
      </c>
      <c r="E32" s="342">
        <v>1750500</v>
      </c>
      <c r="F32" s="342">
        <v>2650000</v>
      </c>
      <c r="G32" s="342">
        <v>929000</v>
      </c>
      <c r="H32" s="342">
        <v>1207000</v>
      </c>
      <c r="I32" s="342">
        <v>2458000</v>
      </c>
      <c r="J32" s="342">
        <v>1839000</v>
      </c>
      <c r="K32" s="342">
        <v>3025500</v>
      </c>
      <c r="L32" s="342">
        <v>575500</v>
      </c>
      <c r="M32" s="342">
        <v>446500</v>
      </c>
      <c r="N32" s="342">
        <v>492000</v>
      </c>
      <c r="O32" s="342">
        <v>779000</v>
      </c>
      <c r="P32" s="342">
        <v>7018000</v>
      </c>
      <c r="Q32" s="342"/>
      <c r="R32" s="342">
        <f t="shared" si="0"/>
        <v>25028000</v>
      </c>
      <c r="S32" s="342">
        <v>5253000</v>
      </c>
      <c r="T32" s="342">
        <f t="shared" si="1"/>
        <v>5253000</v>
      </c>
      <c r="U32" s="342">
        <v>2049500</v>
      </c>
      <c r="V32" s="342">
        <v>4646500</v>
      </c>
      <c r="W32" s="342">
        <v>1911000</v>
      </c>
      <c r="X32" s="342">
        <v>6306000</v>
      </c>
      <c r="Y32" s="342">
        <v>1733500</v>
      </c>
      <c r="Z32" s="342">
        <v>2904500</v>
      </c>
      <c r="AA32" s="342">
        <v>5020500</v>
      </c>
      <c r="AB32" s="342">
        <v>1366000</v>
      </c>
      <c r="AC32" s="342">
        <v>64500</v>
      </c>
      <c r="AD32" s="342">
        <v>988000</v>
      </c>
      <c r="AE32" s="342">
        <v>4592500</v>
      </c>
      <c r="AF32" s="342">
        <v>4575500</v>
      </c>
      <c r="AG32" s="342">
        <v>1619000</v>
      </c>
      <c r="AH32" s="342">
        <v>1469500</v>
      </c>
      <c r="AI32" s="342">
        <v>872000</v>
      </c>
      <c r="AJ32" s="342"/>
      <c r="AK32" s="342">
        <v>1545500</v>
      </c>
      <c r="AL32" s="342">
        <v>961500</v>
      </c>
      <c r="AM32" s="342"/>
      <c r="AN32" s="342">
        <v>2500</v>
      </c>
      <c r="AO32" s="342">
        <v>1905500</v>
      </c>
      <c r="AP32" s="342">
        <v>818000</v>
      </c>
      <c r="AQ32" s="342">
        <v>119000</v>
      </c>
      <c r="AR32" s="342"/>
      <c r="AS32" s="342">
        <v>10253500</v>
      </c>
      <c r="AT32" s="342">
        <v>517000</v>
      </c>
      <c r="AU32" s="342">
        <v>1473500</v>
      </c>
      <c r="AV32" s="342">
        <f t="shared" si="2"/>
        <v>57714500</v>
      </c>
      <c r="AW32" s="342">
        <v>855500</v>
      </c>
      <c r="AX32" s="342">
        <v>1524500</v>
      </c>
      <c r="AY32" s="342">
        <v>641500</v>
      </c>
      <c r="AZ32" s="342">
        <v>556500</v>
      </c>
      <c r="BA32" s="342">
        <v>739500</v>
      </c>
      <c r="BB32" s="342"/>
      <c r="BC32" s="342"/>
      <c r="BD32" s="342">
        <f t="shared" si="3"/>
        <v>4317500</v>
      </c>
      <c r="BE32" s="342">
        <f t="shared" si="4"/>
        <v>92313000</v>
      </c>
      <c r="BF32" s="342">
        <f t="shared" si="5"/>
        <v>10954000</v>
      </c>
      <c r="BG32" s="342">
        <f t="shared" si="6"/>
        <v>81359000</v>
      </c>
      <c r="BH32" s="346" t="s">
        <v>101</v>
      </c>
      <c r="BI32" s="346" t="str">
        <f t="shared" si="7"/>
        <v>Aporte Patronal al Fondo de Capitalización Laboral</v>
      </c>
      <c r="BJ32" s="346">
        <v>1</v>
      </c>
      <c r="BK32" s="1120">
        <f t="shared" si="8"/>
        <v>25028000</v>
      </c>
    </row>
    <row r="33" spans="1:63" s="346" customFormat="1" ht="27.6" outlineLevel="1" x14ac:dyDescent="0.25">
      <c r="A33" s="340"/>
      <c r="B33" s="341" t="s">
        <v>1196</v>
      </c>
      <c r="C33" s="343">
        <f>SUM(C30:C32)</f>
        <v>11452000</v>
      </c>
      <c r="D33" s="343">
        <f t="shared" ref="D33:BC33" si="13">SUM(D30:D32)</f>
        <v>835500</v>
      </c>
      <c r="E33" s="343">
        <f t="shared" si="13"/>
        <v>11575500</v>
      </c>
      <c r="F33" s="343">
        <f t="shared" si="13"/>
        <v>17526500</v>
      </c>
      <c r="G33" s="343">
        <f t="shared" si="13"/>
        <v>6144000</v>
      </c>
      <c r="H33" s="343">
        <f t="shared" si="13"/>
        <v>7983500</v>
      </c>
      <c r="I33" s="343">
        <f t="shared" si="13"/>
        <v>16254500</v>
      </c>
      <c r="J33" s="343">
        <f t="shared" si="13"/>
        <v>12162500</v>
      </c>
      <c r="K33" s="343">
        <f t="shared" si="13"/>
        <v>20008500</v>
      </c>
      <c r="L33" s="343">
        <f t="shared" si="13"/>
        <v>3804500</v>
      </c>
      <c r="M33" s="343">
        <f t="shared" si="13"/>
        <v>2953000</v>
      </c>
      <c r="N33" s="343">
        <f t="shared" si="13"/>
        <v>3253500</v>
      </c>
      <c r="O33" s="343">
        <f t="shared" si="13"/>
        <v>5152000</v>
      </c>
      <c r="P33" s="343">
        <f t="shared" si="13"/>
        <v>46412500</v>
      </c>
      <c r="Q33" s="343">
        <f t="shared" si="13"/>
        <v>0</v>
      </c>
      <c r="R33" s="343">
        <f t="shared" si="0"/>
        <v>165518000</v>
      </c>
      <c r="S33" s="343">
        <f t="shared" si="13"/>
        <v>34739500</v>
      </c>
      <c r="T33" s="343">
        <f t="shared" si="1"/>
        <v>34739500</v>
      </c>
      <c r="U33" s="343">
        <f t="shared" si="13"/>
        <v>13553500</v>
      </c>
      <c r="V33" s="343">
        <f t="shared" si="13"/>
        <v>30729000</v>
      </c>
      <c r="W33" s="343">
        <f t="shared" si="13"/>
        <v>12639500</v>
      </c>
      <c r="X33" s="343">
        <f t="shared" si="13"/>
        <v>41702000</v>
      </c>
      <c r="Y33" s="343">
        <f t="shared" si="13"/>
        <v>11464500</v>
      </c>
      <c r="Z33" s="343">
        <f t="shared" si="13"/>
        <v>19208500</v>
      </c>
      <c r="AA33" s="343">
        <f t="shared" si="13"/>
        <v>33202000</v>
      </c>
      <c r="AB33" s="343">
        <f t="shared" si="13"/>
        <v>9032500</v>
      </c>
      <c r="AC33" s="343">
        <f t="shared" si="13"/>
        <v>426500</v>
      </c>
      <c r="AD33" s="343">
        <f t="shared" si="13"/>
        <v>6534500</v>
      </c>
      <c r="AE33" s="343">
        <f t="shared" si="13"/>
        <v>30373000</v>
      </c>
      <c r="AF33" s="343">
        <f t="shared" si="13"/>
        <v>30260500</v>
      </c>
      <c r="AG33" s="343">
        <f t="shared" si="13"/>
        <v>10706500</v>
      </c>
      <c r="AH33" s="343">
        <f t="shared" si="13"/>
        <v>9719500</v>
      </c>
      <c r="AI33" s="343">
        <f t="shared" si="13"/>
        <v>5768000</v>
      </c>
      <c r="AJ33" s="343">
        <f t="shared" si="13"/>
        <v>0</v>
      </c>
      <c r="AK33" s="343">
        <f t="shared" si="13"/>
        <v>10221500</v>
      </c>
      <c r="AL33" s="343">
        <f t="shared" si="13"/>
        <v>6357500</v>
      </c>
      <c r="AM33" s="343">
        <f t="shared" si="13"/>
        <v>0</v>
      </c>
      <c r="AN33" s="343">
        <f t="shared" si="13"/>
        <v>17000</v>
      </c>
      <c r="AO33" s="343">
        <f t="shared" si="13"/>
        <v>12600500</v>
      </c>
      <c r="AP33" s="343">
        <f t="shared" si="13"/>
        <v>5410000</v>
      </c>
      <c r="AQ33" s="343">
        <f t="shared" si="13"/>
        <v>788000</v>
      </c>
      <c r="AR33" s="343">
        <f t="shared" si="13"/>
        <v>0</v>
      </c>
      <c r="AS33" s="343">
        <f t="shared" si="13"/>
        <v>67808500</v>
      </c>
      <c r="AT33" s="343">
        <f t="shared" si="13"/>
        <v>3418000</v>
      </c>
      <c r="AU33" s="343">
        <f t="shared" si="13"/>
        <v>9744500</v>
      </c>
      <c r="AV33" s="343">
        <f t="shared" si="2"/>
        <v>381685500</v>
      </c>
      <c r="AW33" s="343">
        <f t="shared" si="13"/>
        <v>5656500</v>
      </c>
      <c r="AX33" s="343">
        <f t="shared" si="13"/>
        <v>10083000</v>
      </c>
      <c r="AY33" s="343">
        <f t="shared" si="13"/>
        <v>4242500</v>
      </c>
      <c r="AZ33" s="343">
        <f t="shared" si="13"/>
        <v>3680500</v>
      </c>
      <c r="BA33" s="343">
        <f t="shared" si="13"/>
        <v>4890500</v>
      </c>
      <c r="BB33" s="343">
        <f t="shared" si="13"/>
        <v>0</v>
      </c>
      <c r="BC33" s="343">
        <f t="shared" si="13"/>
        <v>0</v>
      </c>
      <c r="BD33" s="343">
        <f t="shared" si="3"/>
        <v>28553000</v>
      </c>
      <c r="BE33" s="343">
        <f t="shared" si="4"/>
        <v>610496000</v>
      </c>
      <c r="BF33" s="343">
        <f t="shared" si="5"/>
        <v>72441000</v>
      </c>
      <c r="BG33" s="343">
        <f t="shared" si="6"/>
        <v>538055000</v>
      </c>
      <c r="BI33" s="346" t="str">
        <f t="shared" si="7"/>
        <v>0.05 - CONTRIBUCIONES PATRONALES A FONDOS DE PENSIONES Y OTROS FOND</v>
      </c>
      <c r="BJ33" s="346">
        <v>1</v>
      </c>
      <c r="BK33" s="1120">
        <f t="shared" si="8"/>
        <v>165518000</v>
      </c>
    </row>
    <row r="34" spans="1:63" s="346" customFormat="1" outlineLevel="1" x14ac:dyDescent="0.25">
      <c r="A34" s="352"/>
      <c r="B34" s="352" t="s">
        <v>1197</v>
      </c>
      <c r="C34" s="353">
        <f>+C33+C29+C23+C17+C13</f>
        <v>155847000</v>
      </c>
      <c r="D34" s="353">
        <f t="shared" ref="D34:BC34" si="14">+D33+D29+D23+D17+D13</f>
        <v>25054780</v>
      </c>
      <c r="E34" s="353">
        <f t="shared" si="14"/>
        <v>157528000</v>
      </c>
      <c r="F34" s="353">
        <f t="shared" si="14"/>
        <v>238521000</v>
      </c>
      <c r="G34" s="353">
        <f t="shared" si="14"/>
        <v>83612500</v>
      </c>
      <c r="H34" s="353">
        <f t="shared" si="14"/>
        <v>108652000</v>
      </c>
      <c r="I34" s="353">
        <f t="shared" si="14"/>
        <v>221217000</v>
      </c>
      <c r="J34" s="353">
        <f t="shared" si="14"/>
        <v>165525500</v>
      </c>
      <c r="K34" s="353">
        <f t="shared" si="14"/>
        <v>278296500</v>
      </c>
      <c r="L34" s="353">
        <f t="shared" si="14"/>
        <v>51776000</v>
      </c>
      <c r="M34" s="353">
        <f t="shared" si="14"/>
        <v>40185500</v>
      </c>
      <c r="N34" s="353">
        <f t="shared" si="14"/>
        <v>44271000</v>
      </c>
      <c r="O34" s="353">
        <f t="shared" si="14"/>
        <v>70111500</v>
      </c>
      <c r="P34" s="353">
        <f t="shared" si="14"/>
        <v>631640500</v>
      </c>
      <c r="Q34" s="353">
        <f t="shared" si="14"/>
        <v>0</v>
      </c>
      <c r="R34" s="353">
        <f t="shared" si="0"/>
        <v>2272238780</v>
      </c>
      <c r="S34" s="353">
        <f t="shared" si="14"/>
        <v>472770000</v>
      </c>
      <c r="T34" s="353">
        <f t="shared" si="1"/>
        <v>472770000</v>
      </c>
      <c r="U34" s="353">
        <f t="shared" si="14"/>
        <v>184451500</v>
      </c>
      <c r="V34" s="353">
        <f t="shared" si="14"/>
        <v>418202500</v>
      </c>
      <c r="W34" s="353">
        <f t="shared" si="14"/>
        <v>172011000</v>
      </c>
      <c r="X34" s="353">
        <f t="shared" si="14"/>
        <v>567529000</v>
      </c>
      <c r="Y34" s="353">
        <f t="shared" si="14"/>
        <v>156025500</v>
      </c>
      <c r="Z34" s="353">
        <f t="shared" si="14"/>
        <v>261410000</v>
      </c>
      <c r="AA34" s="353">
        <f t="shared" si="14"/>
        <v>451854500</v>
      </c>
      <c r="AB34" s="353">
        <f t="shared" si="14"/>
        <v>122924000</v>
      </c>
      <c r="AC34" s="353">
        <f t="shared" si="14"/>
        <v>5802000</v>
      </c>
      <c r="AD34" s="353">
        <f t="shared" si="14"/>
        <v>88932500</v>
      </c>
      <c r="AE34" s="353">
        <f t="shared" si="14"/>
        <v>413355500</v>
      </c>
      <c r="AF34" s="353">
        <f t="shared" si="14"/>
        <v>411821000</v>
      </c>
      <c r="AG34" s="353">
        <f t="shared" si="14"/>
        <v>145707500</v>
      </c>
      <c r="AH34" s="353">
        <f t="shared" si="14"/>
        <v>132274000</v>
      </c>
      <c r="AI34" s="353">
        <f t="shared" si="14"/>
        <v>78495500</v>
      </c>
      <c r="AJ34" s="353">
        <f t="shared" si="14"/>
        <v>0</v>
      </c>
      <c r="AK34" s="353">
        <f t="shared" si="14"/>
        <v>139105000</v>
      </c>
      <c r="AL34" s="353">
        <f t="shared" si="14"/>
        <v>86518000</v>
      </c>
      <c r="AM34" s="353">
        <f t="shared" si="14"/>
        <v>0</v>
      </c>
      <c r="AN34" s="353">
        <f t="shared" si="14"/>
        <v>232500</v>
      </c>
      <c r="AO34" s="353">
        <f t="shared" si="14"/>
        <v>171481000</v>
      </c>
      <c r="AP34" s="353">
        <f t="shared" si="14"/>
        <v>73626000</v>
      </c>
      <c r="AQ34" s="353">
        <f t="shared" si="14"/>
        <v>10721000</v>
      </c>
      <c r="AR34" s="353">
        <f t="shared" si="14"/>
        <v>0</v>
      </c>
      <c r="AS34" s="353">
        <f t="shared" si="14"/>
        <v>922814000</v>
      </c>
      <c r="AT34" s="353">
        <f t="shared" si="14"/>
        <v>46516500</v>
      </c>
      <c r="AU34" s="353">
        <f t="shared" si="14"/>
        <v>132618000</v>
      </c>
      <c r="AV34" s="353">
        <f t="shared" si="2"/>
        <v>5194428000</v>
      </c>
      <c r="AW34" s="353">
        <f t="shared" si="14"/>
        <v>76980000</v>
      </c>
      <c r="AX34" s="353">
        <f t="shared" si="14"/>
        <v>137222500</v>
      </c>
      <c r="AY34" s="353">
        <f t="shared" si="14"/>
        <v>57733000</v>
      </c>
      <c r="AZ34" s="353">
        <f t="shared" si="14"/>
        <v>50086000</v>
      </c>
      <c r="BA34" s="353">
        <f t="shared" si="14"/>
        <v>66554500</v>
      </c>
      <c r="BB34" s="353">
        <f t="shared" si="14"/>
        <v>0</v>
      </c>
      <c r="BC34" s="353">
        <f t="shared" si="14"/>
        <v>0</v>
      </c>
      <c r="BD34" s="353">
        <f t="shared" si="3"/>
        <v>388576000</v>
      </c>
      <c r="BE34" s="353">
        <f t="shared" si="4"/>
        <v>8328012780</v>
      </c>
      <c r="BF34" s="353">
        <f t="shared" si="5"/>
        <v>985853500</v>
      </c>
      <c r="BG34" s="353">
        <f t="shared" si="6"/>
        <v>7342159280</v>
      </c>
      <c r="BI34" s="346" t="str">
        <f t="shared" si="7"/>
        <v>0 - REMUNERACIONES</v>
      </c>
      <c r="BJ34" s="346">
        <v>1</v>
      </c>
      <c r="BK34" s="1120">
        <f t="shared" si="8"/>
        <v>2272238780</v>
      </c>
    </row>
    <row r="35" spans="1:63" s="346" customFormat="1" outlineLevel="1" x14ac:dyDescent="0.25">
      <c r="A35" s="340" t="s">
        <v>106</v>
      </c>
      <c r="B35" s="340" t="s">
        <v>621</v>
      </c>
      <c r="C35" s="342">
        <v>10969800</v>
      </c>
      <c r="D35" s="342">
        <v>969300</v>
      </c>
      <c r="E35" s="342">
        <v>3879200</v>
      </c>
      <c r="F35" s="342">
        <v>2195100</v>
      </c>
      <c r="G35" s="342">
        <v>347600</v>
      </c>
      <c r="H35" s="342">
        <v>1250300</v>
      </c>
      <c r="I35" s="342">
        <v>5565800</v>
      </c>
      <c r="J35" s="342">
        <v>2379800</v>
      </c>
      <c r="K35" s="342">
        <v>10256200</v>
      </c>
      <c r="L35" s="342">
        <v>4060000</v>
      </c>
      <c r="M35" s="342">
        <v>2580300</v>
      </c>
      <c r="N35" s="342">
        <v>5593900</v>
      </c>
      <c r="O35" s="342">
        <v>2645100</v>
      </c>
      <c r="P35" s="342">
        <v>17584700</v>
      </c>
      <c r="Q35" s="342"/>
      <c r="R35" s="342">
        <f t="shared" si="0"/>
        <v>70277100</v>
      </c>
      <c r="S35" s="342">
        <v>7465900</v>
      </c>
      <c r="T35" s="342">
        <f t="shared" si="1"/>
        <v>7465900</v>
      </c>
      <c r="U35" s="342">
        <v>72755200</v>
      </c>
      <c r="V35" s="342"/>
      <c r="W35" s="342"/>
      <c r="X35" s="342"/>
      <c r="Y35" s="342"/>
      <c r="Z35" s="342"/>
      <c r="AA35" s="342"/>
      <c r="AB35" s="342"/>
      <c r="AC35" s="342"/>
      <c r="AD35" s="342">
        <v>8349300</v>
      </c>
      <c r="AE35" s="342">
        <v>13917000</v>
      </c>
      <c r="AF35" s="342">
        <v>5377700</v>
      </c>
      <c r="AG35" s="342">
        <v>1569900</v>
      </c>
      <c r="AH35" s="342">
        <v>1102400</v>
      </c>
      <c r="AI35" s="342"/>
      <c r="AJ35" s="342"/>
      <c r="AK35" s="85">
        <v>0</v>
      </c>
      <c r="AL35" s="342">
        <v>0</v>
      </c>
      <c r="AM35" s="85">
        <v>0</v>
      </c>
      <c r="AN35" s="342">
        <v>0</v>
      </c>
      <c r="AO35" s="85">
        <v>0</v>
      </c>
      <c r="AP35" s="342">
        <v>5944200</v>
      </c>
      <c r="AQ35" s="342"/>
      <c r="AR35" s="358">
        <v>0</v>
      </c>
      <c r="AS35" s="342">
        <v>10172600</v>
      </c>
      <c r="AT35" s="358">
        <v>5276600</v>
      </c>
      <c r="AU35" s="342"/>
      <c r="AV35" s="342">
        <f t="shared" si="2"/>
        <v>124464900</v>
      </c>
      <c r="AW35" s="342"/>
      <c r="AX35" s="342"/>
      <c r="AY35" s="342"/>
      <c r="AZ35" s="342"/>
      <c r="BA35" s="342"/>
      <c r="BB35" s="342">
        <v>22288100</v>
      </c>
      <c r="BC35" s="342">
        <v>13088500</v>
      </c>
      <c r="BD35" s="342">
        <f t="shared" si="3"/>
        <v>35376600</v>
      </c>
      <c r="BE35" s="342">
        <f t="shared" si="4"/>
        <v>237584500</v>
      </c>
      <c r="BF35" s="342">
        <f t="shared" si="5"/>
        <v>15449200</v>
      </c>
      <c r="BG35" s="342">
        <f t="shared" si="6"/>
        <v>222135300</v>
      </c>
      <c r="BH35" s="346" t="s">
        <v>106</v>
      </c>
      <c r="BI35" s="346" t="str">
        <f t="shared" si="7"/>
        <v>Alquiler de edificios, locales y terrenos</v>
      </c>
      <c r="BJ35" s="346">
        <v>1</v>
      </c>
      <c r="BK35" s="1120">
        <f t="shared" si="8"/>
        <v>70277100</v>
      </c>
    </row>
    <row r="36" spans="1:63" s="347" customFormat="1" outlineLevel="1" x14ac:dyDescent="0.25">
      <c r="A36" s="340" t="s">
        <v>108</v>
      </c>
      <c r="B36" s="340" t="s">
        <v>109</v>
      </c>
      <c r="C36" s="342"/>
      <c r="D36" s="342"/>
      <c r="E36" s="342"/>
      <c r="F36" s="342"/>
      <c r="G36" s="342"/>
      <c r="H36" s="342"/>
      <c r="I36" s="342"/>
      <c r="J36" s="342"/>
      <c r="K36" s="342"/>
      <c r="L36" s="342"/>
      <c r="M36" s="342"/>
      <c r="N36" s="342"/>
      <c r="O36" s="342"/>
      <c r="P36" s="342"/>
      <c r="Q36" s="342"/>
      <c r="R36" s="342">
        <f t="shared" si="0"/>
        <v>0</v>
      </c>
      <c r="S36" s="342"/>
      <c r="T36" s="342">
        <f t="shared" si="1"/>
        <v>0</v>
      </c>
      <c r="U36" s="342">
        <v>72000000</v>
      </c>
      <c r="V36" s="342"/>
      <c r="W36" s="342"/>
      <c r="X36" s="342"/>
      <c r="Y36" s="342"/>
      <c r="Z36" s="342"/>
      <c r="AA36" s="342">
        <v>35880000</v>
      </c>
      <c r="AB36" s="342"/>
      <c r="AC36" s="342"/>
      <c r="AD36" s="342"/>
      <c r="AE36" s="342"/>
      <c r="AF36" s="342">
        <f>15000000-15000000</f>
        <v>0</v>
      </c>
      <c r="AG36" s="342"/>
      <c r="AH36" s="342"/>
      <c r="AI36" s="342"/>
      <c r="AJ36" s="342"/>
      <c r="AK36" s="85">
        <v>0</v>
      </c>
      <c r="AL36" s="342"/>
      <c r="AM36" s="85"/>
      <c r="AN36" s="342"/>
      <c r="AO36" s="85"/>
      <c r="AP36" s="342"/>
      <c r="AQ36" s="342"/>
      <c r="AR36" s="342"/>
      <c r="AS36" s="342">
        <v>106000000</v>
      </c>
      <c r="AT36" s="342"/>
      <c r="AU36" s="342"/>
      <c r="AV36" s="342">
        <f t="shared" si="2"/>
        <v>213880000</v>
      </c>
      <c r="AW36" s="342"/>
      <c r="AX36" s="342"/>
      <c r="AY36" s="342"/>
      <c r="AZ36" s="342"/>
      <c r="BA36" s="342"/>
      <c r="BB36" s="342"/>
      <c r="BC36" s="342"/>
      <c r="BD36" s="342">
        <f t="shared" si="3"/>
        <v>0</v>
      </c>
      <c r="BE36" s="342">
        <f t="shared" si="4"/>
        <v>213880000</v>
      </c>
      <c r="BF36" s="342">
        <f t="shared" si="5"/>
        <v>106000000</v>
      </c>
      <c r="BG36" s="342">
        <f t="shared" si="6"/>
        <v>107880000</v>
      </c>
      <c r="BH36" s="346" t="s">
        <v>108</v>
      </c>
      <c r="BI36" s="346" t="str">
        <f t="shared" si="7"/>
        <v>Alquiler de Maquinaria, Equipo y Mobiliario</v>
      </c>
      <c r="BJ36" s="346">
        <v>1</v>
      </c>
      <c r="BK36" s="1120">
        <f t="shared" si="8"/>
        <v>0</v>
      </c>
    </row>
    <row r="37" spans="1:63" s="347" customFormat="1" outlineLevel="1" x14ac:dyDescent="0.25">
      <c r="A37" s="340"/>
      <c r="B37" s="340"/>
      <c r="C37" s="342"/>
      <c r="D37" s="342"/>
      <c r="E37" s="342"/>
      <c r="F37" s="342"/>
      <c r="G37" s="342"/>
      <c r="H37" s="342"/>
      <c r="I37" s="342"/>
      <c r="J37" s="342"/>
      <c r="K37" s="342"/>
      <c r="L37" s="342"/>
      <c r="M37" s="342"/>
      <c r="N37" s="342"/>
      <c r="O37" s="342"/>
      <c r="P37" s="342"/>
      <c r="Q37" s="342"/>
      <c r="R37" s="342">
        <f t="shared" si="0"/>
        <v>0</v>
      </c>
      <c r="S37" s="342"/>
      <c r="T37" s="342">
        <f t="shared" si="1"/>
        <v>0</v>
      </c>
      <c r="U37" s="342"/>
      <c r="V37" s="342"/>
      <c r="W37" s="342"/>
      <c r="X37" s="342"/>
      <c r="Y37" s="342"/>
      <c r="Z37" s="342"/>
      <c r="AA37" s="342">
        <v>0</v>
      </c>
      <c r="AB37" s="342"/>
      <c r="AC37" s="342"/>
      <c r="AD37" s="342"/>
      <c r="AE37" s="342"/>
      <c r="AF37" s="342"/>
      <c r="AG37" s="342"/>
      <c r="AH37" s="342"/>
      <c r="AI37" s="342"/>
      <c r="AJ37" s="342"/>
      <c r="AK37" s="85">
        <v>0</v>
      </c>
      <c r="AL37" s="342"/>
      <c r="AM37" s="85"/>
      <c r="AN37" s="342"/>
      <c r="AO37" s="85"/>
      <c r="AP37" s="342"/>
      <c r="AQ37" s="342"/>
      <c r="AR37" s="342"/>
      <c r="AS37" s="342">
        <v>0</v>
      </c>
      <c r="AT37" s="342"/>
      <c r="AU37" s="342"/>
      <c r="AV37" s="342">
        <f t="shared" si="2"/>
        <v>0</v>
      </c>
      <c r="AW37" s="342"/>
      <c r="AX37" s="342"/>
      <c r="AY37" s="342"/>
      <c r="AZ37" s="342"/>
      <c r="BA37" s="342"/>
      <c r="BB37" s="342"/>
      <c r="BC37" s="342"/>
      <c r="BD37" s="342">
        <f t="shared" si="3"/>
        <v>0</v>
      </c>
      <c r="BE37" s="342">
        <f t="shared" si="4"/>
        <v>0</v>
      </c>
      <c r="BF37" s="342">
        <f t="shared" si="5"/>
        <v>0</v>
      </c>
      <c r="BG37" s="342">
        <f t="shared" si="6"/>
        <v>0</v>
      </c>
      <c r="BI37" s="346">
        <f t="shared" si="7"/>
        <v>0</v>
      </c>
      <c r="BJ37" s="346">
        <v>1</v>
      </c>
      <c r="BK37" s="1120">
        <f t="shared" si="8"/>
        <v>0</v>
      </c>
    </row>
    <row r="38" spans="1:63" s="346" customFormat="1" outlineLevel="1" x14ac:dyDescent="0.25">
      <c r="A38" s="340" t="s">
        <v>112</v>
      </c>
      <c r="B38" s="340" t="s">
        <v>113</v>
      </c>
      <c r="C38" s="342"/>
      <c r="D38" s="342"/>
      <c r="E38" s="342"/>
      <c r="F38" s="342"/>
      <c r="G38" s="342"/>
      <c r="H38" s="342"/>
      <c r="I38" s="342"/>
      <c r="J38" s="342"/>
      <c r="K38" s="342"/>
      <c r="L38" s="342"/>
      <c r="M38" s="342"/>
      <c r="N38" s="342"/>
      <c r="O38" s="342"/>
      <c r="P38" s="342">
        <v>0</v>
      </c>
      <c r="Q38" s="342"/>
      <c r="R38" s="342">
        <f t="shared" si="0"/>
        <v>0</v>
      </c>
      <c r="S38" s="342"/>
      <c r="T38" s="342">
        <f t="shared" si="1"/>
        <v>0</v>
      </c>
      <c r="U38" s="342"/>
      <c r="V38" s="342"/>
      <c r="W38" s="342"/>
      <c r="X38" s="342"/>
      <c r="Y38" s="342"/>
      <c r="Z38" s="342"/>
      <c r="AA38" s="342"/>
      <c r="AB38" s="342"/>
      <c r="AC38" s="342"/>
      <c r="AD38" s="342"/>
      <c r="AE38" s="342"/>
      <c r="AF38" s="342"/>
      <c r="AG38" s="342"/>
      <c r="AH38" s="342"/>
      <c r="AI38" s="342"/>
      <c r="AJ38" s="342"/>
      <c r="AK38" s="85">
        <v>0</v>
      </c>
      <c r="AL38" s="342"/>
      <c r="AM38" s="85"/>
      <c r="AN38" s="342"/>
      <c r="AO38" s="85"/>
      <c r="AP38" s="342"/>
      <c r="AQ38" s="342"/>
      <c r="AR38" s="342"/>
      <c r="AS38" s="342">
        <v>0</v>
      </c>
      <c r="AT38" s="342"/>
      <c r="AU38" s="342"/>
      <c r="AV38" s="342">
        <f t="shared" si="2"/>
        <v>0</v>
      </c>
      <c r="AW38" s="342"/>
      <c r="AX38" s="342"/>
      <c r="AY38" s="342"/>
      <c r="AZ38" s="342"/>
      <c r="BA38" s="342"/>
      <c r="BB38" s="342"/>
      <c r="BC38" s="342"/>
      <c r="BD38" s="342">
        <f t="shared" si="3"/>
        <v>0</v>
      </c>
      <c r="BE38" s="342">
        <f t="shared" si="4"/>
        <v>0</v>
      </c>
      <c r="BF38" s="342">
        <f t="shared" si="5"/>
        <v>0</v>
      </c>
      <c r="BG38" s="342">
        <f t="shared" si="6"/>
        <v>0</v>
      </c>
      <c r="BH38" s="346" t="s">
        <v>112</v>
      </c>
      <c r="BI38" s="346" t="str">
        <f t="shared" si="7"/>
        <v>Otros Alquileres</v>
      </c>
      <c r="BJ38" s="346">
        <v>1</v>
      </c>
      <c r="BK38" s="1120">
        <f t="shared" si="8"/>
        <v>0</v>
      </c>
    </row>
    <row r="39" spans="1:63" s="345" customFormat="1" outlineLevel="1" x14ac:dyDescent="0.25">
      <c r="A39" s="340"/>
      <c r="B39" s="341" t="s">
        <v>1198</v>
      </c>
      <c r="C39" s="343">
        <f>SUM(C35:C38)</f>
        <v>10969800</v>
      </c>
      <c r="D39" s="343">
        <f t="shared" ref="D39:BD39" si="15">SUM(D35:D38)</f>
        <v>969300</v>
      </c>
      <c r="E39" s="343">
        <f t="shared" si="15"/>
        <v>3879200</v>
      </c>
      <c r="F39" s="343">
        <f t="shared" si="15"/>
        <v>2195100</v>
      </c>
      <c r="G39" s="343">
        <f t="shared" si="15"/>
        <v>347600</v>
      </c>
      <c r="H39" s="343">
        <f t="shared" si="15"/>
        <v>1250300</v>
      </c>
      <c r="I39" s="343">
        <f t="shared" si="15"/>
        <v>5565800</v>
      </c>
      <c r="J39" s="343">
        <f t="shared" si="15"/>
        <v>2379800</v>
      </c>
      <c r="K39" s="343">
        <f t="shared" si="15"/>
        <v>10256200</v>
      </c>
      <c r="L39" s="343">
        <f t="shared" si="15"/>
        <v>4060000</v>
      </c>
      <c r="M39" s="343">
        <f t="shared" si="15"/>
        <v>2580300</v>
      </c>
      <c r="N39" s="343">
        <f t="shared" si="15"/>
        <v>5593900</v>
      </c>
      <c r="O39" s="343">
        <f t="shared" si="15"/>
        <v>2645100</v>
      </c>
      <c r="P39" s="343">
        <f t="shared" si="15"/>
        <v>17584700</v>
      </c>
      <c r="Q39" s="343">
        <f t="shared" si="15"/>
        <v>0</v>
      </c>
      <c r="R39" s="343">
        <f t="shared" si="15"/>
        <v>70277100</v>
      </c>
      <c r="S39" s="343">
        <f t="shared" si="15"/>
        <v>7465900</v>
      </c>
      <c r="T39" s="343">
        <f t="shared" si="15"/>
        <v>7465900</v>
      </c>
      <c r="U39" s="343">
        <f t="shared" si="15"/>
        <v>144755200</v>
      </c>
      <c r="V39" s="343">
        <f t="shared" si="15"/>
        <v>0</v>
      </c>
      <c r="W39" s="343">
        <f t="shared" si="15"/>
        <v>0</v>
      </c>
      <c r="X39" s="343">
        <f t="shared" si="15"/>
        <v>0</v>
      </c>
      <c r="Y39" s="343">
        <f t="shared" si="15"/>
        <v>0</v>
      </c>
      <c r="Z39" s="343">
        <f t="shared" si="15"/>
        <v>0</v>
      </c>
      <c r="AA39" s="343">
        <f t="shared" si="15"/>
        <v>35880000</v>
      </c>
      <c r="AB39" s="343">
        <f t="shared" si="15"/>
        <v>0</v>
      </c>
      <c r="AC39" s="343">
        <f t="shared" si="15"/>
        <v>0</v>
      </c>
      <c r="AD39" s="343">
        <f t="shared" si="15"/>
        <v>8349300</v>
      </c>
      <c r="AE39" s="343">
        <f t="shared" si="15"/>
        <v>13917000</v>
      </c>
      <c r="AF39" s="343">
        <f t="shared" si="15"/>
        <v>5377700</v>
      </c>
      <c r="AG39" s="343">
        <f t="shared" si="15"/>
        <v>1569900</v>
      </c>
      <c r="AH39" s="343">
        <f t="shared" si="15"/>
        <v>1102400</v>
      </c>
      <c r="AI39" s="343">
        <f t="shared" si="15"/>
        <v>0</v>
      </c>
      <c r="AJ39" s="343">
        <f t="shared" si="15"/>
        <v>0</v>
      </c>
      <c r="AK39" s="343">
        <f t="shared" si="15"/>
        <v>0</v>
      </c>
      <c r="AL39" s="343">
        <f t="shared" si="15"/>
        <v>0</v>
      </c>
      <c r="AM39" s="343">
        <f t="shared" si="15"/>
        <v>0</v>
      </c>
      <c r="AN39" s="343">
        <f t="shared" si="15"/>
        <v>0</v>
      </c>
      <c r="AO39" s="343">
        <f t="shared" si="15"/>
        <v>0</v>
      </c>
      <c r="AP39" s="343">
        <f t="shared" si="15"/>
        <v>5944200</v>
      </c>
      <c r="AQ39" s="343">
        <f t="shared" si="15"/>
        <v>0</v>
      </c>
      <c r="AR39" s="343">
        <f t="shared" si="15"/>
        <v>0</v>
      </c>
      <c r="AS39" s="343">
        <f t="shared" si="15"/>
        <v>116172600</v>
      </c>
      <c r="AT39" s="343">
        <f t="shared" si="15"/>
        <v>5276600</v>
      </c>
      <c r="AU39" s="343">
        <f t="shared" si="15"/>
        <v>0</v>
      </c>
      <c r="AV39" s="343">
        <f t="shared" si="15"/>
        <v>338344900</v>
      </c>
      <c r="AW39" s="343">
        <f t="shared" si="15"/>
        <v>0</v>
      </c>
      <c r="AX39" s="343">
        <f t="shared" si="15"/>
        <v>0</v>
      </c>
      <c r="AY39" s="343">
        <f t="shared" si="15"/>
        <v>0</v>
      </c>
      <c r="AZ39" s="343">
        <f t="shared" si="15"/>
        <v>0</v>
      </c>
      <c r="BA39" s="343">
        <f t="shared" si="15"/>
        <v>0</v>
      </c>
      <c r="BB39" s="343">
        <f t="shared" si="15"/>
        <v>22288100</v>
      </c>
      <c r="BC39" s="343">
        <f t="shared" si="15"/>
        <v>13088500</v>
      </c>
      <c r="BD39" s="343">
        <f t="shared" si="15"/>
        <v>35376600</v>
      </c>
      <c r="BE39" s="343">
        <f t="shared" si="4"/>
        <v>451464500</v>
      </c>
      <c r="BF39" s="343">
        <f t="shared" si="5"/>
        <v>121449200</v>
      </c>
      <c r="BG39" s="343">
        <f t="shared" si="6"/>
        <v>330015300</v>
      </c>
      <c r="BI39" s="346" t="str">
        <f t="shared" si="7"/>
        <v>1.01 - ALQUILERES</v>
      </c>
      <c r="BJ39" s="346">
        <v>1</v>
      </c>
      <c r="BK39" s="1120">
        <f t="shared" si="8"/>
        <v>70277100</v>
      </c>
    </row>
    <row r="40" spans="1:63" s="344" customFormat="1" x14ac:dyDescent="0.25">
      <c r="A40" s="340" t="s">
        <v>116</v>
      </c>
      <c r="B40" s="340" t="s">
        <v>117</v>
      </c>
      <c r="C40" s="342">
        <v>444700</v>
      </c>
      <c r="D40" s="342">
        <v>39300</v>
      </c>
      <c r="E40" s="342">
        <v>157300</v>
      </c>
      <c r="F40" s="342">
        <v>89000</v>
      </c>
      <c r="G40" s="342">
        <v>14100</v>
      </c>
      <c r="H40" s="342">
        <v>50700</v>
      </c>
      <c r="I40" s="342">
        <v>225600</v>
      </c>
      <c r="J40" s="342">
        <v>96500</v>
      </c>
      <c r="K40" s="342">
        <v>415800</v>
      </c>
      <c r="L40" s="342">
        <v>164600</v>
      </c>
      <c r="M40" s="342">
        <v>104600</v>
      </c>
      <c r="N40" s="342">
        <v>226800</v>
      </c>
      <c r="O40" s="342">
        <v>107300</v>
      </c>
      <c r="P40" s="342">
        <v>712800</v>
      </c>
      <c r="Q40" s="342"/>
      <c r="R40" s="342">
        <f t="shared" si="0"/>
        <v>2849100</v>
      </c>
      <c r="S40" s="342">
        <v>302700</v>
      </c>
      <c r="T40" s="342">
        <f t="shared" si="1"/>
        <v>302700</v>
      </c>
      <c r="U40" s="342">
        <v>2949500</v>
      </c>
      <c r="V40" s="342"/>
      <c r="W40" s="342"/>
      <c r="X40" s="342"/>
      <c r="Y40" s="342"/>
      <c r="Z40" s="342"/>
      <c r="AA40" s="342"/>
      <c r="AB40" s="342"/>
      <c r="AC40" s="342"/>
      <c r="AD40" s="342">
        <v>338500</v>
      </c>
      <c r="AE40" s="342">
        <v>564200</v>
      </c>
      <c r="AF40" s="342">
        <v>218000</v>
      </c>
      <c r="AG40" s="342">
        <v>63700</v>
      </c>
      <c r="AH40" s="342">
        <v>44700</v>
      </c>
      <c r="AI40" s="342"/>
      <c r="AJ40" s="342"/>
      <c r="AK40" s="344">
        <v>0</v>
      </c>
      <c r="AL40" s="342"/>
      <c r="AN40" s="342"/>
      <c r="AP40" s="342">
        <v>241000</v>
      </c>
      <c r="AQ40" s="342"/>
      <c r="AR40" s="358">
        <v>0</v>
      </c>
      <c r="AS40" s="342">
        <v>412400</v>
      </c>
      <c r="AT40" s="358">
        <v>213900</v>
      </c>
      <c r="AU40" s="342"/>
      <c r="AV40" s="342">
        <f t="shared" si="2"/>
        <v>5045900</v>
      </c>
      <c r="AW40" s="342"/>
      <c r="AX40" s="342"/>
      <c r="AY40" s="342"/>
      <c r="AZ40" s="342"/>
      <c r="BA40" s="342"/>
      <c r="BB40" s="342">
        <v>903600</v>
      </c>
      <c r="BC40" s="342">
        <v>530600</v>
      </c>
      <c r="BD40" s="342">
        <f t="shared" si="3"/>
        <v>1434200</v>
      </c>
      <c r="BE40" s="342">
        <f t="shared" si="4"/>
        <v>9631900</v>
      </c>
      <c r="BF40" s="342">
        <f t="shared" si="5"/>
        <v>626300</v>
      </c>
      <c r="BG40" s="342">
        <f t="shared" si="6"/>
        <v>9005600</v>
      </c>
      <c r="BH40" s="346" t="s">
        <v>116</v>
      </c>
      <c r="BI40" s="346" t="str">
        <f t="shared" si="7"/>
        <v>Servicio de Agua y Alcantarillado</v>
      </c>
      <c r="BJ40" s="346">
        <v>1</v>
      </c>
      <c r="BK40" s="1120">
        <f t="shared" si="8"/>
        <v>2849100</v>
      </c>
    </row>
    <row r="41" spans="1:63" s="344" customFormat="1" outlineLevel="1" x14ac:dyDescent="0.25">
      <c r="A41" s="340" t="s">
        <v>118</v>
      </c>
      <c r="B41" s="340" t="s">
        <v>119</v>
      </c>
      <c r="C41" s="342">
        <v>1572900</v>
      </c>
      <c r="D41" s="342">
        <v>139000</v>
      </c>
      <c r="E41" s="342">
        <v>556200</v>
      </c>
      <c r="F41" s="342">
        <v>314800</v>
      </c>
      <c r="G41" s="342">
        <v>49900</v>
      </c>
      <c r="H41" s="342">
        <v>179300</v>
      </c>
      <c r="I41" s="342">
        <v>798100</v>
      </c>
      <c r="J41" s="342">
        <v>341300</v>
      </c>
      <c r="K41" s="342">
        <v>1470600</v>
      </c>
      <c r="L41" s="342">
        <v>582200</v>
      </c>
      <c r="M41" s="342">
        <f>370000+1307820</f>
        <v>1677820</v>
      </c>
      <c r="N41" s="342">
        <v>802100</v>
      </c>
      <c r="O41" s="342">
        <v>379300</v>
      </c>
      <c r="P41" s="342">
        <v>2521300</v>
      </c>
      <c r="Q41" s="342"/>
      <c r="R41" s="342">
        <f t="shared" si="0"/>
        <v>11384820</v>
      </c>
      <c r="S41" s="342">
        <v>1070600</v>
      </c>
      <c r="T41" s="342">
        <f t="shared" si="1"/>
        <v>1070600</v>
      </c>
      <c r="U41" s="342">
        <v>10431900</v>
      </c>
      <c r="V41" s="342"/>
      <c r="W41" s="342"/>
      <c r="X41" s="342"/>
      <c r="Y41" s="342"/>
      <c r="Z41" s="342"/>
      <c r="AA41" s="342"/>
      <c r="AB41" s="342"/>
      <c r="AC41" s="342"/>
      <c r="AD41" s="342">
        <v>1197200</v>
      </c>
      <c r="AE41" s="342">
        <v>1995500</v>
      </c>
      <c r="AF41" s="342">
        <v>771100</v>
      </c>
      <c r="AG41" s="342">
        <v>225100</v>
      </c>
      <c r="AH41" s="342">
        <v>158100</v>
      </c>
      <c r="AI41" s="342"/>
      <c r="AJ41" s="342"/>
      <c r="AK41" s="344">
        <v>0</v>
      </c>
      <c r="AL41" s="342"/>
      <c r="AN41" s="342"/>
      <c r="AP41" s="342">
        <v>852300</v>
      </c>
      <c r="AQ41" s="342"/>
      <c r="AR41" s="358">
        <v>0</v>
      </c>
      <c r="AS41" s="342">
        <v>1458700</v>
      </c>
      <c r="AT41" s="358">
        <v>756600</v>
      </c>
      <c r="AU41" s="342"/>
      <c r="AV41" s="342">
        <f t="shared" si="2"/>
        <v>17846500</v>
      </c>
      <c r="AW41" s="342"/>
      <c r="AX41" s="342"/>
      <c r="AY41" s="342"/>
      <c r="AZ41" s="342"/>
      <c r="BA41" s="342"/>
      <c r="BB41" s="342">
        <v>3195700</v>
      </c>
      <c r="BC41" s="342">
        <v>1876700</v>
      </c>
      <c r="BD41" s="342">
        <f t="shared" si="3"/>
        <v>5072400</v>
      </c>
      <c r="BE41" s="342">
        <f t="shared" si="4"/>
        <v>35374320</v>
      </c>
      <c r="BF41" s="342">
        <f t="shared" si="5"/>
        <v>2215300</v>
      </c>
      <c r="BG41" s="342">
        <f t="shared" si="6"/>
        <v>33159020</v>
      </c>
      <c r="BH41" s="346" t="s">
        <v>118</v>
      </c>
      <c r="BI41" s="346" t="str">
        <f t="shared" si="7"/>
        <v>Servicio de Energía Eléctrica</v>
      </c>
      <c r="BJ41" s="346">
        <v>1</v>
      </c>
      <c r="BK41" s="1120">
        <f t="shared" si="8"/>
        <v>11384820</v>
      </c>
    </row>
    <row r="42" spans="1:63" s="345" customFormat="1" outlineLevel="1" x14ac:dyDescent="0.25">
      <c r="A42" s="340" t="s">
        <v>120</v>
      </c>
      <c r="B42" s="340" t="s">
        <v>121</v>
      </c>
      <c r="C42" s="342"/>
      <c r="D42" s="342"/>
      <c r="E42" s="342"/>
      <c r="F42" s="342"/>
      <c r="G42" s="342"/>
      <c r="H42" s="342"/>
      <c r="I42" s="342"/>
      <c r="J42" s="342"/>
      <c r="K42" s="342"/>
      <c r="L42" s="342"/>
      <c r="M42" s="342">
        <v>5000000</v>
      </c>
      <c r="N42" s="342"/>
      <c r="O42" s="342"/>
      <c r="P42" s="342"/>
      <c r="Q42" s="342"/>
      <c r="R42" s="342">
        <f t="shared" si="0"/>
        <v>5000000</v>
      </c>
      <c r="S42" s="342"/>
      <c r="T42" s="342">
        <f t="shared" si="1"/>
        <v>0</v>
      </c>
      <c r="U42" s="342"/>
      <c r="V42" s="342"/>
      <c r="W42" s="342"/>
      <c r="X42" s="342"/>
      <c r="Y42" s="342"/>
      <c r="Z42" s="342"/>
      <c r="AA42" s="342"/>
      <c r="AB42" s="342"/>
      <c r="AC42" s="342"/>
      <c r="AD42" s="342"/>
      <c r="AE42" s="344"/>
      <c r="AF42" s="342"/>
      <c r="AG42" s="342"/>
      <c r="AH42" s="342"/>
      <c r="AI42" s="342"/>
      <c r="AJ42" s="342"/>
      <c r="AK42" s="344">
        <v>0</v>
      </c>
      <c r="AL42" s="342"/>
      <c r="AM42" s="344"/>
      <c r="AN42" s="342"/>
      <c r="AO42" s="344"/>
      <c r="AP42" s="342"/>
      <c r="AQ42" s="342"/>
      <c r="AR42" s="358">
        <v>0</v>
      </c>
      <c r="AS42" s="342">
        <v>0</v>
      </c>
      <c r="AT42" s="342"/>
      <c r="AU42" s="342"/>
      <c r="AV42" s="342">
        <f t="shared" si="2"/>
        <v>0</v>
      </c>
      <c r="AW42" s="342"/>
      <c r="AX42" s="342"/>
      <c r="AY42" s="342"/>
      <c r="AZ42" s="342"/>
      <c r="BA42" s="342"/>
      <c r="BB42" s="342"/>
      <c r="BC42" s="342"/>
      <c r="BD42" s="342">
        <f t="shared" si="3"/>
        <v>0</v>
      </c>
      <c r="BE42" s="342">
        <f t="shared" si="4"/>
        <v>5000000</v>
      </c>
      <c r="BF42" s="342">
        <f t="shared" si="5"/>
        <v>0</v>
      </c>
      <c r="BG42" s="342">
        <f t="shared" si="6"/>
        <v>5000000</v>
      </c>
      <c r="BH42" s="346" t="s">
        <v>120</v>
      </c>
      <c r="BI42" s="346" t="str">
        <f t="shared" si="7"/>
        <v>Servicio de Correo</v>
      </c>
      <c r="BJ42" s="346">
        <v>1</v>
      </c>
      <c r="BK42" s="1120">
        <f t="shared" si="8"/>
        <v>5000000</v>
      </c>
    </row>
    <row r="43" spans="1:63" s="344" customFormat="1" outlineLevel="1" x14ac:dyDescent="0.25">
      <c r="A43" s="340" t="s">
        <v>1199</v>
      </c>
      <c r="B43" s="340" t="s">
        <v>1200</v>
      </c>
      <c r="C43" s="342">
        <v>680600</v>
      </c>
      <c r="D43" s="342">
        <v>60200</v>
      </c>
      <c r="E43" s="342">
        <v>240700</v>
      </c>
      <c r="F43" s="342">
        <v>136200</v>
      </c>
      <c r="G43" s="342">
        <v>21600</v>
      </c>
      <c r="H43" s="342">
        <v>77600</v>
      </c>
      <c r="I43" s="342">
        <v>345300</v>
      </c>
      <c r="J43" s="342">
        <v>147700</v>
      </c>
      <c r="K43" s="342">
        <v>636300</v>
      </c>
      <c r="L43" s="342">
        <v>251900</v>
      </c>
      <c r="M43" s="342">
        <v>160100</v>
      </c>
      <c r="N43" s="342">
        <v>347100</v>
      </c>
      <c r="O43" s="342">
        <v>164100</v>
      </c>
      <c r="P43" s="342">
        <v>26291000</v>
      </c>
      <c r="Q43" s="342"/>
      <c r="R43" s="342">
        <f t="shared" si="0"/>
        <v>29560400</v>
      </c>
      <c r="S43" s="342">
        <v>463300</v>
      </c>
      <c r="T43" s="342">
        <f t="shared" si="1"/>
        <v>463300</v>
      </c>
      <c r="U43" s="342">
        <v>4495800</v>
      </c>
      <c r="V43" s="342">
        <v>3100000</v>
      </c>
      <c r="W43" s="342">
        <v>1750000</v>
      </c>
      <c r="X43" s="342">
        <v>9000000</v>
      </c>
      <c r="Y43" s="342">
        <v>1300000</v>
      </c>
      <c r="Z43" s="342"/>
      <c r="AA43" s="342">
        <f>750000+700000</f>
        <v>1450000</v>
      </c>
      <c r="AB43" s="342"/>
      <c r="AC43" s="342"/>
      <c r="AD43" s="342">
        <v>518000</v>
      </c>
      <c r="AE43" s="342">
        <v>6863400</v>
      </c>
      <c r="AF43" s="342">
        <v>8333700</v>
      </c>
      <c r="AG43" s="342">
        <v>97400</v>
      </c>
      <c r="AH43" s="342">
        <v>68400</v>
      </c>
      <c r="AI43" s="342"/>
      <c r="AJ43" s="342"/>
      <c r="AK43" s="344">
        <v>0</v>
      </c>
      <c r="AL43" s="342"/>
      <c r="AN43" s="342">
        <v>18300</v>
      </c>
      <c r="AP43" s="342">
        <v>368800</v>
      </c>
      <c r="AQ43" s="342"/>
      <c r="AR43" s="358">
        <v>0</v>
      </c>
      <c r="AS43" s="342">
        <v>9881200</v>
      </c>
      <c r="AT43" s="358">
        <v>1827400</v>
      </c>
      <c r="AU43" s="342"/>
      <c r="AV43" s="342">
        <f t="shared" si="2"/>
        <v>49072400</v>
      </c>
      <c r="AW43" s="342"/>
      <c r="AX43" s="342"/>
      <c r="AY43" s="342"/>
      <c r="AZ43" s="342"/>
      <c r="BA43" s="342"/>
      <c r="BB43" s="342">
        <v>1383000</v>
      </c>
      <c r="BC43" s="342">
        <v>812100</v>
      </c>
      <c r="BD43" s="342">
        <f t="shared" si="3"/>
        <v>2195100</v>
      </c>
      <c r="BE43" s="342">
        <f t="shared" si="4"/>
        <v>81291200</v>
      </c>
      <c r="BF43" s="342">
        <f t="shared" si="5"/>
        <v>11708600</v>
      </c>
      <c r="BG43" s="342">
        <f t="shared" si="6"/>
        <v>69582600</v>
      </c>
      <c r="BH43" s="346" t="s">
        <v>326</v>
      </c>
      <c r="BI43" s="346" t="str">
        <f t="shared" si="7"/>
        <v>(ICE) Servicio de telecomunicaciones</v>
      </c>
      <c r="BJ43" s="346">
        <v>1</v>
      </c>
      <c r="BK43" s="1120">
        <f t="shared" si="8"/>
        <v>29560400</v>
      </c>
    </row>
    <row r="44" spans="1:63" s="345" customFormat="1" outlineLevel="1" x14ac:dyDescent="0.25">
      <c r="A44" s="340" t="s">
        <v>123</v>
      </c>
      <c r="B44" s="340" t="s">
        <v>124</v>
      </c>
      <c r="C44" s="342"/>
      <c r="D44" s="342"/>
      <c r="E44" s="342"/>
      <c r="F44" s="342"/>
      <c r="G44" s="342"/>
      <c r="H44" s="342"/>
      <c r="I44" s="342"/>
      <c r="J44" s="342"/>
      <c r="K44" s="342"/>
      <c r="L44" s="342"/>
      <c r="M44" s="342">
        <v>300000</v>
      </c>
      <c r="N44" s="342"/>
      <c r="O44" s="342">
        <v>481380</v>
      </c>
      <c r="P44" s="342"/>
      <c r="Q44" s="342"/>
      <c r="R44" s="342">
        <f t="shared" si="0"/>
        <v>781380</v>
      </c>
      <c r="S44" s="342"/>
      <c r="T44" s="342">
        <f t="shared" si="1"/>
        <v>0</v>
      </c>
      <c r="U44" s="342"/>
      <c r="V44" s="342"/>
      <c r="W44" s="342"/>
      <c r="X44" s="342"/>
      <c r="Y44" s="342"/>
      <c r="Z44" s="342"/>
      <c r="AA44" s="342"/>
      <c r="AB44" s="342"/>
      <c r="AC44" s="342"/>
      <c r="AD44" s="342"/>
      <c r="AE44" s="342"/>
      <c r="AF44" s="342"/>
      <c r="AG44" s="342"/>
      <c r="AH44" s="342"/>
      <c r="AI44" s="342"/>
      <c r="AJ44" s="342"/>
      <c r="AK44" s="344">
        <v>0</v>
      </c>
      <c r="AL44" s="342"/>
      <c r="AM44" s="344"/>
      <c r="AN44" s="342"/>
      <c r="AO44" s="344"/>
      <c r="AP44" s="342"/>
      <c r="AQ44" s="342"/>
      <c r="AR44" s="342"/>
      <c r="AS44" s="342">
        <v>0</v>
      </c>
      <c r="AT44" s="342"/>
      <c r="AU44" s="342"/>
      <c r="AV44" s="342">
        <f t="shared" si="2"/>
        <v>0</v>
      </c>
      <c r="AW44" s="342"/>
      <c r="AX44" s="342"/>
      <c r="AY44" s="342"/>
      <c r="AZ44" s="342"/>
      <c r="BA44" s="342"/>
      <c r="BB44" s="342"/>
      <c r="BC44" s="342"/>
      <c r="BD44" s="342">
        <f t="shared" si="3"/>
        <v>0</v>
      </c>
      <c r="BE44" s="342">
        <f t="shared" si="4"/>
        <v>781380</v>
      </c>
      <c r="BF44" s="342">
        <f t="shared" si="5"/>
        <v>0</v>
      </c>
      <c r="BG44" s="342">
        <f t="shared" si="6"/>
        <v>781380</v>
      </c>
      <c r="BH44" s="346" t="s">
        <v>123</v>
      </c>
      <c r="BI44" s="346" t="str">
        <f t="shared" si="7"/>
        <v>Otros Servicios Básicos</v>
      </c>
      <c r="BJ44" s="346">
        <v>1</v>
      </c>
      <c r="BK44" s="1120">
        <f t="shared" si="8"/>
        <v>781380</v>
      </c>
    </row>
    <row r="45" spans="1:63" s="344" customFormat="1" outlineLevel="1" x14ac:dyDescent="0.25">
      <c r="A45" s="340"/>
      <c r="B45" s="341" t="s">
        <v>1201</v>
      </c>
      <c r="C45" s="343">
        <f>SUM(C40:C44)</f>
        <v>2698200</v>
      </c>
      <c r="D45" s="343">
        <f t="shared" ref="D45:BD45" si="16">SUM(D40:D44)</f>
        <v>238500</v>
      </c>
      <c r="E45" s="343">
        <f t="shared" si="16"/>
        <v>954200</v>
      </c>
      <c r="F45" s="343">
        <f t="shared" si="16"/>
        <v>540000</v>
      </c>
      <c r="G45" s="343">
        <f t="shared" si="16"/>
        <v>85600</v>
      </c>
      <c r="H45" s="343">
        <f t="shared" si="16"/>
        <v>307600</v>
      </c>
      <c r="I45" s="343">
        <f t="shared" si="16"/>
        <v>1369000</v>
      </c>
      <c r="J45" s="343">
        <f t="shared" si="16"/>
        <v>585500</v>
      </c>
      <c r="K45" s="343">
        <f t="shared" si="16"/>
        <v>2522700</v>
      </c>
      <c r="L45" s="343">
        <f t="shared" si="16"/>
        <v>998700</v>
      </c>
      <c r="M45" s="343">
        <f t="shared" si="16"/>
        <v>7242520</v>
      </c>
      <c r="N45" s="343">
        <f t="shared" si="16"/>
        <v>1376000</v>
      </c>
      <c r="O45" s="343">
        <f t="shared" si="16"/>
        <v>1132080</v>
      </c>
      <c r="P45" s="343">
        <f t="shared" si="16"/>
        <v>29525100</v>
      </c>
      <c r="Q45" s="343">
        <f t="shared" si="16"/>
        <v>0</v>
      </c>
      <c r="R45" s="343">
        <f t="shared" si="16"/>
        <v>49575700</v>
      </c>
      <c r="S45" s="343">
        <f t="shared" si="16"/>
        <v>1836600</v>
      </c>
      <c r="T45" s="343">
        <f t="shared" si="16"/>
        <v>1836600</v>
      </c>
      <c r="U45" s="343">
        <f t="shared" si="16"/>
        <v>17877200</v>
      </c>
      <c r="V45" s="343">
        <f t="shared" si="16"/>
        <v>3100000</v>
      </c>
      <c r="W45" s="343">
        <f t="shared" si="16"/>
        <v>1750000</v>
      </c>
      <c r="X45" s="343">
        <f t="shared" si="16"/>
        <v>9000000</v>
      </c>
      <c r="Y45" s="343">
        <f t="shared" si="16"/>
        <v>1300000</v>
      </c>
      <c r="Z45" s="343">
        <f t="shared" si="16"/>
        <v>0</v>
      </c>
      <c r="AA45" s="343">
        <f t="shared" si="16"/>
        <v>1450000</v>
      </c>
      <c r="AB45" s="343">
        <f t="shared" si="16"/>
        <v>0</v>
      </c>
      <c r="AC45" s="343">
        <f t="shared" si="16"/>
        <v>0</v>
      </c>
      <c r="AD45" s="343">
        <f t="shared" si="16"/>
        <v>2053700</v>
      </c>
      <c r="AE45" s="343">
        <f t="shared" si="16"/>
        <v>9423100</v>
      </c>
      <c r="AF45" s="343">
        <f t="shared" si="16"/>
        <v>9322800</v>
      </c>
      <c r="AG45" s="343">
        <f t="shared" si="16"/>
        <v>386200</v>
      </c>
      <c r="AH45" s="343">
        <f t="shared" si="16"/>
        <v>271200</v>
      </c>
      <c r="AI45" s="343">
        <f t="shared" si="16"/>
        <v>0</v>
      </c>
      <c r="AJ45" s="343">
        <f t="shared" si="16"/>
        <v>0</v>
      </c>
      <c r="AK45" s="343">
        <f t="shared" si="16"/>
        <v>0</v>
      </c>
      <c r="AL45" s="343">
        <f t="shared" si="16"/>
        <v>0</v>
      </c>
      <c r="AM45" s="343">
        <f t="shared" si="16"/>
        <v>0</v>
      </c>
      <c r="AN45" s="343">
        <f t="shared" si="16"/>
        <v>18300</v>
      </c>
      <c r="AO45" s="343">
        <f t="shared" si="16"/>
        <v>0</v>
      </c>
      <c r="AP45" s="343">
        <f t="shared" si="16"/>
        <v>1462100</v>
      </c>
      <c r="AQ45" s="343">
        <f t="shared" si="16"/>
        <v>0</v>
      </c>
      <c r="AR45" s="343">
        <f t="shared" si="16"/>
        <v>0</v>
      </c>
      <c r="AS45" s="343">
        <f t="shared" si="16"/>
        <v>11752300</v>
      </c>
      <c r="AT45" s="343">
        <f t="shared" si="16"/>
        <v>2797900</v>
      </c>
      <c r="AU45" s="343">
        <f t="shared" si="16"/>
        <v>0</v>
      </c>
      <c r="AV45" s="343">
        <f t="shared" si="16"/>
        <v>71964800</v>
      </c>
      <c r="AW45" s="343">
        <f t="shared" si="16"/>
        <v>0</v>
      </c>
      <c r="AX45" s="343">
        <f t="shared" si="16"/>
        <v>0</v>
      </c>
      <c r="AY45" s="343">
        <f t="shared" si="16"/>
        <v>0</v>
      </c>
      <c r="AZ45" s="343">
        <f t="shared" si="16"/>
        <v>0</v>
      </c>
      <c r="BA45" s="343">
        <f t="shared" si="16"/>
        <v>0</v>
      </c>
      <c r="BB45" s="343">
        <f t="shared" si="16"/>
        <v>5482300</v>
      </c>
      <c r="BC45" s="343">
        <f t="shared" si="16"/>
        <v>3219400</v>
      </c>
      <c r="BD45" s="343">
        <f t="shared" si="16"/>
        <v>8701700</v>
      </c>
      <c r="BE45" s="343">
        <f t="shared" si="4"/>
        <v>132078800</v>
      </c>
      <c r="BF45" s="343">
        <f t="shared" si="5"/>
        <v>14550200</v>
      </c>
      <c r="BG45" s="343">
        <f t="shared" si="6"/>
        <v>117528600</v>
      </c>
      <c r="BI45" s="346" t="str">
        <f t="shared" si="7"/>
        <v>1.02 - SERVICIOS BASICOS</v>
      </c>
      <c r="BJ45" s="346">
        <v>1</v>
      </c>
      <c r="BK45" s="1120">
        <f t="shared" si="8"/>
        <v>49575700</v>
      </c>
    </row>
    <row r="46" spans="1:63" s="345" customFormat="1" outlineLevel="1" x14ac:dyDescent="0.25">
      <c r="A46" s="340" t="s">
        <v>127</v>
      </c>
      <c r="B46" s="340" t="s">
        <v>436</v>
      </c>
      <c r="C46" s="342"/>
      <c r="D46" s="342"/>
      <c r="E46" s="342">
        <v>500000</v>
      </c>
      <c r="F46" s="342"/>
      <c r="G46" s="342"/>
      <c r="H46" s="342"/>
      <c r="I46" s="342"/>
      <c r="J46" s="342"/>
      <c r="K46" s="342"/>
      <c r="L46" s="342"/>
      <c r="M46" s="342"/>
      <c r="N46" s="342"/>
      <c r="O46" s="342"/>
      <c r="P46" s="342"/>
      <c r="Q46" s="342">
        <v>1900000</v>
      </c>
      <c r="R46" s="342">
        <f t="shared" si="0"/>
        <v>2400000</v>
      </c>
      <c r="S46" s="342"/>
      <c r="T46" s="342">
        <f t="shared" si="1"/>
        <v>0</v>
      </c>
      <c r="U46" s="342"/>
      <c r="V46" s="342"/>
      <c r="W46" s="342"/>
      <c r="X46" s="342"/>
      <c r="Y46" s="342"/>
      <c r="Z46" s="342"/>
      <c r="AA46" s="342"/>
      <c r="AB46" s="342"/>
      <c r="AC46" s="342"/>
      <c r="AD46" s="342"/>
      <c r="AE46" s="342"/>
      <c r="AF46" s="342"/>
      <c r="AG46" s="342"/>
      <c r="AH46" s="342"/>
      <c r="AI46" s="342"/>
      <c r="AJ46" s="342"/>
      <c r="AK46" s="344">
        <v>0</v>
      </c>
      <c r="AL46" s="342"/>
      <c r="AM46" s="344"/>
      <c r="AN46" s="342"/>
      <c r="AO46" s="344"/>
      <c r="AP46" s="342"/>
      <c r="AQ46" s="342"/>
      <c r="AR46" s="342"/>
      <c r="AS46" s="342">
        <v>0</v>
      </c>
      <c r="AT46" s="342"/>
      <c r="AU46" s="342"/>
      <c r="AV46" s="342">
        <f t="shared" si="2"/>
        <v>0</v>
      </c>
      <c r="AW46" s="342"/>
      <c r="AX46" s="342"/>
      <c r="AY46" s="342"/>
      <c r="AZ46" s="342"/>
      <c r="BA46" s="342"/>
      <c r="BB46" s="342"/>
      <c r="BC46" s="342"/>
      <c r="BD46" s="342">
        <f t="shared" si="3"/>
        <v>0</v>
      </c>
      <c r="BE46" s="342">
        <f t="shared" si="4"/>
        <v>2400000</v>
      </c>
      <c r="BF46" s="342">
        <f t="shared" si="5"/>
        <v>0</v>
      </c>
      <c r="BG46" s="342">
        <f t="shared" si="6"/>
        <v>2400000</v>
      </c>
      <c r="BH46" s="346" t="s">
        <v>127</v>
      </c>
      <c r="BI46" s="346" t="str">
        <f t="shared" si="7"/>
        <v>Información</v>
      </c>
      <c r="BJ46" s="346">
        <v>1</v>
      </c>
      <c r="BK46" s="1120">
        <f t="shared" si="8"/>
        <v>2400000</v>
      </c>
    </row>
    <row r="47" spans="1:63" s="344" customFormat="1" outlineLevel="1" x14ac:dyDescent="0.25">
      <c r="A47" s="340" t="s">
        <v>129</v>
      </c>
      <c r="B47" s="340" t="s">
        <v>437</v>
      </c>
      <c r="C47" s="342"/>
      <c r="D47" s="342"/>
      <c r="E47" s="342"/>
      <c r="F47" s="342"/>
      <c r="G47" s="342"/>
      <c r="H47" s="342"/>
      <c r="I47" s="342"/>
      <c r="J47" s="342"/>
      <c r="K47" s="342"/>
      <c r="L47" s="342"/>
      <c r="M47" s="342"/>
      <c r="N47" s="342"/>
      <c r="O47" s="342"/>
      <c r="P47" s="342"/>
      <c r="Q47" s="342"/>
      <c r="R47" s="342">
        <f t="shared" si="0"/>
        <v>0</v>
      </c>
      <c r="S47" s="342"/>
      <c r="T47" s="342">
        <f t="shared" si="1"/>
        <v>0</v>
      </c>
      <c r="U47" s="342"/>
      <c r="V47" s="342"/>
      <c r="W47" s="342"/>
      <c r="X47" s="342"/>
      <c r="Y47" s="342"/>
      <c r="Z47" s="342"/>
      <c r="AA47" s="342"/>
      <c r="AB47" s="342"/>
      <c r="AC47" s="342"/>
      <c r="AD47" s="342"/>
      <c r="AE47" s="342"/>
      <c r="AF47" s="342"/>
      <c r="AG47" s="342"/>
      <c r="AH47" s="342"/>
      <c r="AI47" s="342"/>
      <c r="AJ47" s="342"/>
      <c r="AK47" s="344">
        <v>0</v>
      </c>
      <c r="AL47" s="342"/>
      <c r="AN47" s="342"/>
      <c r="AP47" s="342"/>
      <c r="AQ47" s="342"/>
      <c r="AR47" s="342"/>
      <c r="AS47" s="342">
        <v>0</v>
      </c>
      <c r="AT47" s="342"/>
      <c r="AU47" s="342"/>
      <c r="AV47" s="342">
        <f t="shared" si="2"/>
        <v>0</v>
      </c>
      <c r="AW47" s="342"/>
      <c r="AX47" s="342"/>
      <c r="AY47" s="342"/>
      <c r="AZ47" s="342"/>
      <c r="BA47" s="342"/>
      <c r="BB47" s="342">
        <f>38500000+3850000</f>
        <v>42350000</v>
      </c>
      <c r="BC47" s="342"/>
      <c r="BD47" s="342">
        <f t="shared" si="3"/>
        <v>42350000</v>
      </c>
      <c r="BE47" s="342">
        <f t="shared" si="4"/>
        <v>42350000</v>
      </c>
      <c r="BF47" s="342">
        <f t="shared" si="5"/>
        <v>0</v>
      </c>
      <c r="BG47" s="342">
        <f t="shared" si="6"/>
        <v>42350000</v>
      </c>
      <c r="BH47" s="346" t="s">
        <v>129</v>
      </c>
      <c r="BI47" s="346" t="str">
        <f t="shared" si="7"/>
        <v>Publicidad y Propaganda</v>
      </c>
      <c r="BJ47" s="346">
        <v>1</v>
      </c>
      <c r="BK47" s="1120">
        <f t="shared" si="8"/>
        <v>0</v>
      </c>
    </row>
    <row r="48" spans="1:63" s="345" customFormat="1" outlineLevel="1" x14ac:dyDescent="0.25">
      <c r="A48" s="340" t="s">
        <v>131</v>
      </c>
      <c r="B48" s="340" t="s">
        <v>438</v>
      </c>
      <c r="C48" s="342">
        <v>750000</v>
      </c>
      <c r="D48" s="342">
        <v>60000</v>
      </c>
      <c r="E48" s="342"/>
      <c r="F48" s="342"/>
      <c r="G48" s="342"/>
      <c r="H48" s="342"/>
      <c r="I48" s="342"/>
      <c r="J48" s="342"/>
      <c r="K48" s="342"/>
      <c r="L48" s="342"/>
      <c r="M48" s="342"/>
      <c r="N48" s="342"/>
      <c r="O48" s="342"/>
      <c r="P48" s="342"/>
      <c r="Q48" s="342"/>
      <c r="R48" s="342">
        <f t="shared" si="0"/>
        <v>810000</v>
      </c>
      <c r="S48" s="342"/>
      <c r="T48" s="342">
        <f t="shared" si="1"/>
        <v>0</v>
      </c>
      <c r="U48" s="342"/>
      <c r="V48" s="342">
        <v>3000000</v>
      </c>
      <c r="W48" s="342"/>
      <c r="X48" s="342">
        <v>1000000</v>
      </c>
      <c r="Y48" s="342">
        <v>1800000</v>
      </c>
      <c r="Z48" s="342"/>
      <c r="AA48" s="342"/>
      <c r="AB48" s="342"/>
      <c r="AC48" s="342"/>
      <c r="AD48" s="342"/>
      <c r="AE48" s="342"/>
      <c r="AF48" s="342">
        <v>25000</v>
      </c>
      <c r="AG48" s="342"/>
      <c r="AH48" s="342"/>
      <c r="AI48" s="342"/>
      <c r="AJ48" s="342"/>
      <c r="AK48" s="344">
        <v>0</v>
      </c>
      <c r="AL48" s="342"/>
      <c r="AM48" s="344"/>
      <c r="AN48" s="342"/>
      <c r="AO48" s="344"/>
      <c r="AP48" s="342"/>
      <c r="AQ48" s="342"/>
      <c r="AR48" s="342"/>
      <c r="AS48" s="342">
        <v>4000000</v>
      </c>
      <c r="AT48" s="342"/>
      <c r="AU48" s="342"/>
      <c r="AV48" s="342">
        <f t="shared" si="2"/>
        <v>9825000</v>
      </c>
      <c r="AW48" s="342"/>
      <c r="AX48" s="342"/>
      <c r="AY48" s="342"/>
      <c r="AZ48" s="342"/>
      <c r="BA48" s="342"/>
      <c r="BB48" s="342"/>
      <c r="BC48" s="342"/>
      <c r="BD48" s="342">
        <f t="shared" si="3"/>
        <v>0</v>
      </c>
      <c r="BE48" s="342">
        <f t="shared" si="4"/>
        <v>10635000</v>
      </c>
      <c r="BF48" s="342">
        <f t="shared" si="5"/>
        <v>4000000</v>
      </c>
      <c r="BG48" s="342">
        <f t="shared" si="6"/>
        <v>6635000</v>
      </c>
      <c r="BH48" s="346" t="s">
        <v>131</v>
      </c>
      <c r="BI48" s="346" t="str">
        <f t="shared" si="7"/>
        <v>Impresión, Encuadernación y Otros</v>
      </c>
      <c r="BJ48" s="346">
        <v>1</v>
      </c>
      <c r="BK48" s="1120">
        <f t="shared" si="8"/>
        <v>810000</v>
      </c>
    </row>
    <row r="49" spans="1:63" s="344" customFormat="1" outlineLevel="1" x14ac:dyDescent="0.25">
      <c r="A49" s="340" t="s">
        <v>133</v>
      </c>
      <c r="B49" s="340" t="s">
        <v>439</v>
      </c>
      <c r="C49" s="342"/>
      <c r="D49" s="342"/>
      <c r="E49" s="342"/>
      <c r="F49" s="342"/>
      <c r="G49" s="342"/>
      <c r="H49" s="342"/>
      <c r="I49" s="342"/>
      <c r="J49" s="342"/>
      <c r="K49" s="342"/>
      <c r="L49" s="342">
        <v>250000</v>
      </c>
      <c r="M49" s="342"/>
      <c r="N49" s="342"/>
      <c r="O49" s="342"/>
      <c r="P49" s="342"/>
      <c r="Q49" s="342"/>
      <c r="R49" s="342">
        <f t="shared" si="0"/>
        <v>250000</v>
      </c>
      <c r="S49" s="342"/>
      <c r="T49" s="342">
        <f t="shared" si="1"/>
        <v>0</v>
      </c>
      <c r="U49" s="342"/>
      <c r="V49" s="342"/>
      <c r="W49" s="342"/>
      <c r="X49" s="342"/>
      <c r="Y49" s="342"/>
      <c r="Z49" s="342"/>
      <c r="AA49" s="342"/>
      <c r="AB49" s="342"/>
      <c r="AC49" s="342"/>
      <c r="AD49" s="342"/>
      <c r="AE49" s="342"/>
      <c r="AF49" s="342">
        <v>100000</v>
      </c>
      <c r="AG49" s="342"/>
      <c r="AH49" s="342"/>
      <c r="AI49" s="342"/>
      <c r="AJ49" s="342"/>
      <c r="AK49" s="344">
        <v>0</v>
      </c>
      <c r="AL49" s="342"/>
      <c r="AN49" s="342"/>
      <c r="AP49" s="342"/>
      <c r="AQ49" s="342"/>
      <c r="AR49" s="342"/>
      <c r="AS49" s="342">
        <v>8500000</v>
      </c>
      <c r="AT49" s="358">
        <v>210000</v>
      </c>
      <c r="AU49" s="342"/>
      <c r="AV49" s="342">
        <f t="shared" si="2"/>
        <v>8810000</v>
      </c>
      <c r="AW49" s="342"/>
      <c r="AX49" s="342"/>
      <c r="AY49" s="342"/>
      <c r="AZ49" s="342"/>
      <c r="BA49" s="342"/>
      <c r="BB49" s="342"/>
      <c r="BC49" s="342"/>
      <c r="BD49" s="342">
        <f t="shared" si="3"/>
        <v>0</v>
      </c>
      <c r="BE49" s="342">
        <f t="shared" si="4"/>
        <v>9060000</v>
      </c>
      <c r="BF49" s="342">
        <f t="shared" si="5"/>
        <v>8710000</v>
      </c>
      <c r="BG49" s="342">
        <f t="shared" si="6"/>
        <v>350000</v>
      </c>
      <c r="BH49" s="346" t="s">
        <v>133</v>
      </c>
      <c r="BI49" s="346" t="str">
        <f t="shared" si="7"/>
        <v>Transporte de Bienes</v>
      </c>
      <c r="BJ49" s="346">
        <v>1</v>
      </c>
      <c r="BK49" s="1120">
        <f t="shared" si="8"/>
        <v>250000</v>
      </c>
    </row>
    <row r="50" spans="1:63" s="345" customFormat="1" outlineLevel="1" x14ac:dyDescent="0.25">
      <c r="A50" s="340" t="s">
        <v>137</v>
      </c>
      <c r="B50" s="340" t="s">
        <v>452</v>
      </c>
      <c r="C50" s="342"/>
      <c r="D50" s="342"/>
      <c r="E50" s="342"/>
      <c r="F50" s="342"/>
      <c r="G50" s="342"/>
      <c r="H50" s="342"/>
      <c r="I50" s="342">
        <v>1000000</v>
      </c>
      <c r="J50" s="342"/>
      <c r="K50" s="342"/>
      <c r="L50" s="342"/>
      <c r="M50" s="342"/>
      <c r="N50" s="342"/>
      <c r="O50" s="342"/>
      <c r="P50" s="342"/>
      <c r="Q50" s="342">
        <v>35000000</v>
      </c>
      <c r="R50" s="342">
        <f t="shared" si="0"/>
        <v>36000000</v>
      </c>
      <c r="S50" s="342"/>
      <c r="T50" s="342">
        <f t="shared" si="1"/>
        <v>0</v>
      </c>
      <c r="U50" s="342"/>
      <c r="V50" s="342"/>
      <c r="W50" s="342"/>
      <c r="X50" s="342"/>
      <c r="Y50" s="342"/>
      <c r="Z50" s="342"/>
      <c r="AA50" s="342"/>
      <c r="AB50" s="342"/>
      <c r="AC50" s="342"/>
      <c r="AD50" s="342"/>
      <c r="AE50" s="342"/>
      <c r="AF50" s="342"/>
      <c r="AG50" s="342"/>
      <c r="AH50" s="342"/>
      <c r="AI50" s="342"/>
      <c r="AJ50" s="342"/>
      <c r="AK50" s="344">
        <v>0</v>
      </c>
      <c r="AL50" s="342"/>
      <c r="AM50" s="344"/>
      <c r="AN50" s="342"/>
      <c r="AO50" s="344"/>
      <c r="AP50" s="342"/>
      <c r="AQ50" s="342"/>
      <c r="AR50" s="342"/>
      <c r="AS50" s="342">
        <v>0</v>
      </c>
      <c r="AT50" s="342"/>
      <c r="AU50" s="342"/>
      <c r="AV50" s="342">
        <f t="shared" si="2"/>
        <v>0</v>
      </c>
      <c r="AW50" s="342"/>
      <c r="AX50" s="342"/>
      <c r="AY50" s="342"/>
      <c r="AZ50" s="342"/>
      <c r="BA50" s="342"/>
      <c r="BB50" s="342"/>
      <c r="BC50" s="342"/>
      <c r="BD50" s="342">
        <f t="shared" si="3"/>
        <v>0</v>
      </c>
      <c r="BE50" s="342">
        <f t="shared" si="4"/>
        <v>36000000</v>
      </c>
      <c r="BF50" s="342">
        <f t="shared" si="5"/>
        <v>0</v>
      </c>
      <c r="BG50" s="342">
        <f t="shared" si="6"/>
        <v>36000000</v>
      </c>
      <c r="BH50" s="346" t="s">
        <v>137</v>
      </c>
      <c r="BI50" s="346" t="str">
        <f t="shared" si="7"/>
        <v>Comisiones y Gastos por Servicios Financieros y Comerciales</v>
      </c>
      <c r="BJ50" s="346">
        <v>1</v>
      </c>
      <c r="BK50" s="1120">
        <f t="shared" si="8"/>
        <v>36000000</v>
      </c>
    </row>
    <row r="51" spans="1:63" s="344" customFormat="1" outlineLevel="1" x14ac:dyDescent="0.25">
      <c r="A51" s="340" t="s">
        <v>397</v>
      </c>
      <c r="B51" s="340" t="s">
        <v>639</v>
      </c>
      <c r="C51" s="342"/>
      <c r="D51" s="342"/>
      <c r="E51" s="342"/>
      <c r="F51" s="342"/>
      <c r="G51" s="342"/>
      <c r="H51" s="342"/>
      <c r="I51" s="342"/>
      <c r="J51" s="342"/>
      <c r="K51" s="342"/>
      <c r="L51" s="342"/>
      <c r="M51" s="342"/>
      <c r="N51" s="342">
        <v>5500000</v>
      </c>
      <c r="O51" s="342"/>
      <c r="P51" s="342">
        <v>90180908</v>
      </c>
      <c r="Q51" s="342"/>
      <c r="R51" s="342">
        <f t="shared" si="0"/>
        <v>95680908</v>
      </c>
      <c r="S51" s="342"/>
      <c r="T51" s="342">
        <f t="shared" si="1"/>
        <v>0</v>
      </c>
      <c r="U51" s="342"/>
      <c r="V51" s="342"/>
      <c r="W51" s="342"/>
      <c r="X51" s="342"/>
      <c r="Y51" s="342"/>
      <c r="Z51" s="342"/>
      <c r="AA51" s="342"/>
      <c r="AB51" s="342"/>
      <c r="AC51" s="342"/>
      <c r="AD51" s="342"/>
      <c r="AE51" s="342"/>
      <c r="AF51" s="342"/>
      <c r="AG51" s="342"/>
      <c r="AH51" s="342"/>
      <c r="AI51" s="342"/>
      <c r="AJ51" s="342"/>
      <c r="AK51" s="344">
        <v>0</v>
      </c>
      <c r="AL51" s="342"/>
      <c r="AN51" s="342"/>
      <c r="AP51" s="342"/>
      <c r="AQ51" s="342"/>
      <c r="AR51" s="342"/>
      <c r="AS51" s="342">
        <v>0</v>
      </c>
      <c r="AT51" s="342"/>
      <c r="AU51" s="342"/>
      <c r="AV51" s="342">
        <f t="shared" si="2"/>
        <v>0</v>
      </c>
      <c r="AW51" s="342"/>
      <c r="AX51" s="342"/>
      <c r="AY51" s="342"/>
      <c r="AZ51" s="342"/>
      <c r="BA51" s="342"/>
      <c r="BB51" s="342">
        <v>300000</v>
      </c>
      <c r="BC51" s="342"/>
      <c r="BD51" s="342">
        <f t="shared" si="3"/>
        <v>300000</v>
      </c>
      <c r="BE51" s="342">
        <f t="shared" si="4"/>
        <v>95980908</v>
      </c>
      <c r="BF51" s="342">
        <f t="shared" si="5"/>
        <v>0</v>
      </c>
      <c r="BG51" s="342">
        <f t="shared" si="6"/>
        <v>95980908</v>
      </c>
      <c r="BH51" s="346" t="s">
        <v>397</v>
      </c>
      <c r="BI51" s="346" t="str">
        <f t="shared" si="7"/>
        <v>Servicios de tecnologías de información</v>
      </c>
      <c r="BJ51" s="346">
        <v>1</v>
      </c>
      <c r="BK51" s="1120">
        <f t="shared" si="8"/>
        <v>95680908</v>
      </c>
    </row>
    <row r="52" spans="1:63" s="345" customFormat="1" outlineLevel="1" x14ac:dyDescent="0.25">
      <c r="A52" s="340"/>
      <c r="B52" s="341" t="s">
        <v>1202</v>
      </c>
      <c r="C52" s="343">
        <f>SUM(C46:C51)</f>
        <v>750000</v>
      </c>
      <c r="D52" s="343">
        <f t="shared" ref="D52:BD52" si="17">SUM(D46:D51)</f>
        <v>60000</v>
      </c>
      <c r="E52" s="343">
        <f t="shared" si="17"/>
        <v>500000</v>
      </c>
      <c r="F52" s="343">
        <f t="shared" si="17"/>
        <v>0</v>
      </c>
      <c r="G52" s="343">
        <f t="shared" si="17"/>
        <v>0</v>
      </c>
      <c r="H52" s="343">
        <f t="shared" si="17"/>
        <v>0</v>
      </c>
      <c r="I52" s="343">
        <f t="shared" si="17"/>
        <v>1000000</v>
      </c>
      <c r="J52" s="343">
        <f t="shared" si="17"/>
        <v>0</v>
      </c>
      <c r="K52" s="343">
        <f t="shared" si="17"/>
        <v>0</v>
      </c>
      <c r="L52" s="343">
        <f t="shared" si="17"/>
        <v>250000</v>
      </c>
      <c r="M52" s="343">
        <f t="shared" si="17"/>
        <v>0</v>
      </c>
      <c r="N52" s="343">
        <f t="shared" si="17"/>
        <v>5500000</v>
      </c>
      <c r="O52" s="343">
        <f t="shared" si="17"/>
        <v>0</v>
      </c>
      <c r="P52" s="343">
        <f t="shared" si="17"/>
        <v>90180908</v>
      </c>
      <c r="Q52" s="343">
        <f t="shared" si="17"/>
        <v>36900000</v>
      </c>
      <c r="R52" s="343">
        <f t="shared" si="17"/>
        <v>135140908</v>
      </c>
      <c r="S52" s="343">
        <f t="shared" si="17"/>
        <v>0</v>
      </c>
      <c r="T52" s="343">
        <f t="shared" si="17"/>
        <v>0</v>
      </c>
      <c r="U52" s="343">
        <f t="shared" si="17"/>
        <v>0</v>
      </c>
      <c r="V52" s="343">
        <f t="shared" si="17"/>
        <v>3000000</v>
      </c>
      <c r="W52" s="343">
        <f t="shared" si="17"/>
        <v>0</v>
      </c>
      <c r="X52" s="343">
        <f t="shared" si="17"/>
        <v>1000000</v>
      </c>
      <c r="Y52" s="343">
        <f t="shared" si="17"/>
        <v>1800000</v>
      </c>
      <c r="Z52" s="343">
        <f t="shared" si="17"/>
        <v>0</v>
      </c>
      <c r="AA52" s="343">
        <f t="shared" si="17"/>
        <v>0</v>
      </c>
      <c r="AB52" s="343">
        <f t="shared" si="17"/>
        <v>0</v>
      </c>
      <c r="AC52" s="343">
        <f t="shared" si="17"/>
        <v>0</v>
      </c>
      <c r="AD52" s="343">
        <f t="shared" si="17"/>
        <v>0</v>
      </c>
      <c r="AE52" s="343">
        <f t="shared" si="17"/>
        <v>0</v>
      </c>
      <c r="AF52" s="343">
        <f t="shared" si="17"/>
        <v>125000</v>
      </c>
      <c r="AG52" s="343">
        <f t="shared" si="17"/>
        <v>0</v>
      </c>
      <c r="AH52" s="343">
        <f t="shared" si="17"/>
        <v>0</v>
      </c>
      <c r="AI52" s="343">
        <f t="shared" si="17"/>
        <v>0</v>
      </c>
      <c r="AJ52" s="343">
        <f t="shared" si="17"/>
        <v>0</v>
      </c>
      <c r="AK52" s="343">
        <f t="shared" si="17"/>
        <v>0</v>
      </c>
      <c r="AL52" s="343">
        <f t="shared" si="17"/>
        <v>0</v>
      </c>
      <c r="AM52" s="343">
        <f t="shared" si="17"/>
        <v>0</v>
      </c>
      <c r="AN52" s="343">
        <f t="shared" si="17"/>
        <v>0</v>
      </c>
      <c r="AO52" s="343">
        <f t="shared" si="17"/>
        <v>0</v>
      </c>
      <c r="AP52" s="343">
        <f t="shared" si="17"/>
        <v>0</v>
      </c>
      <c r="AQ52" s="343">
        <f t="shared" si="17"/>
        <v>0</v>
      </c>
      <c r="AR52" s="343">
        <f t="shared" si="17"/>
        <v>0</v>
      </c>
      <c r="AS52" s="343">
        <f t="shared" si="17"/>
        <v>12500000</v>
      </c>
      <c r="AT52" s="343">
        <f t="shared" si="17"/>
        <v>210000</v>
      </c>
      <c r="AU52" s="343">
        <f t="shared" si="17"/>
        <v>0</v>
      </c>
      <c r="AV52" s="343">
        <f t="shared" si="17"/>
        <v>18635000</v>
      </c>
      <c r="AW52" s="343">
        <f t="shared" si="17"/>
        <v>0</v>
      </c>
      <c r="AX52" s="343">
        <f t="shared" si="17"/>
        <v>0</v>
      </c>
      <c r="AY52" s="343">
        <f t="shared" si="17"/>
        <v>0</v>
      </c>
      <c r="AZ52" s="343">
        <f t="shared" si="17"/>
        <v>0</v>
      </c>
      <c r="BA52" s="343">
        <f t="shared" si="17"/>
        <v>0</v>
      </c>
      <c r="BB52" s="343">
        <f t="shared" si="17"/>
        <v>42650000</v>
      </c>
      <c r="BC52" s="343">
        <f t="shared" si="17"/>
        <v>0</v>
      </c>
      <c r="BD52" s="343">
        <f t="shared" si="17"/>
        <v>42650000</v>
      </c>
      <c r="BE52" s="343">
        <f t="shared" si="4"/>
        <v>196425908</v>
      </c>
      <c r="BF52" s="343">
        <f t="shared" si="5"/>
        <v>12710000</v>
      </c>
      <c r="BG52" s="343">
        <f t="shared" si="6"/>
        <v>183715908</v>
      </c>
      <c r="BI52" s="346" t="str">
        <f t="shared" si="7"/>
        <v>1.03 - SERVICIOS COMERCIALES Y FINANCIEROS</v>
      </c>
      <c r="BJ52" s="346">
        <v>1</v>
      </c>
      <c r="BK52" s="1120">
        <f t="shared" si="8"/>
        <v>135140908</v>
      </c>
    </row>
    <row r="53" spans="1:63" s="344" customFormat="1" outlineLevel="1" x14ac:dyDescent="0.25">
      <c r="A53" s="340" t="s">
        <v>569</v>
      </c>
      <c r="B53" s="340" t="s">
        <v>641</v>
      </c>
      <c r="C53" s="342"/>
      <c r="D53" s="342"/>
      <c r="E53" s="342"/>
      <c r="F53" s="342"/>
      <c r="G53" s="342"/>
      <c r="H53" s="342"/>
      <c r="I53" s="342"/>
      <c r="J53" s="342"/>
      <c r="K53" s="342"/>
      <c r="L53" s="342"/>
      <c r="M53" s="342"/>
      <c r="N53" s="342"/>
      <c r="O53" s="342"/>
      <c r="P53" s="342"/>
      <c r="Q53" s="342"/>
      <c r="R53" s="342">
        <f t="shared" si="0"/>
        <v>0</v>
      </c>
      <c r="S53" s="342"/>
      <c r="T53" s="342">
        <f t="shared" si="1"/>
        <v>0</v>
      </c>
      <c r="U53" s="342"/>
      <c r="V53" s="342"/>
      <c r="W53" s="342"/>
      <c r="X53" s="342"/>
      <c r="Y53" s="342"/>
      <c r="Z53" s="342"/>
      <c r="AA53" s="342"/>
      <c r="AB53" s="342"/>
      <c r="AC53" s="342"/>
      <c r="AD53" s="342"/>
      <c r="AE53" s="342"/>
      <c r="AF53" s="342"/>
      <c r="AG53" s="342">
        <v>100000</v>
      </c>
      <c r="AH53" s="342"/>
      <c r="AI53" s="342"/>
      <c r="AJ53" s="342"/>
      <c r="AK53" s="344">
        <v>0</v>
      </c>
      <c r="AL53" s="342"/>
      <c r="AN53" s="342"/>
      <c r="AP53" s="342"/>
      <c r="AQ53" s="342"/>
      <c r="AR53" s="342"/>
      <c r="AS53" s="342">
        <v>0</v>
      </c>
      <c r="AT53" s="342"/>
      <c r="AU53" s="342"/>
      <c r="AV53" s="342">
        <f t="shared" si="2"/>
        <v>100000</v>
      </c>
      <c r="AW53" s="342"/>
      <c r="AX53" s="342"/>
      <c r="AY53" s="342"/>
      <c r="AZ53" s="342"/>
      <c r="BA53" s="342"/>
      <c r="BB53" s="342"/>
      <c r="BC53" s="342"/>
      <c r="BD53" s="342">
        <f t="shared" si="3"/>
        <v>0</v>
      </c>
      <c r="BE53" s="342">
        <f t="shared" si="4"/>
        <v>100000</v>
      </c>
      <c r="BF53" s="342">
        <f t="shared" si="5"/>
        <v>0</v>
      </c>
      <c r="BG53" s="342">
        <f t="shared" si="6"/>
        <v>100000</v>
      </c>
      <c r="BH53" s="346" t="s">
        <v>569</v>
      </c>
      <c r="BI53" s="346" t="str">
        <f t="shared" si="7"/>
        <v>Servicios en ciencias de la salud</v>
      </c>
      <c r="BJ53" s="346">
        <v>1</v>
      </c>
      <c r="BK53" s="1120">
        <f t="shared" si="8"/>
        <v>0</v>
      </c>
    </row>
    <row r="54" spans="1:63" s="345" customFormat="1" outlineLevel="1" x14ac:dyDescent="0.25">
      <c r="A54" s="340" t="s">
        <v>399</v>
      </c>
      <c r="B54" s="340" t="s">
        <v>1203</v>
      </c>
      <c r="C54" s="342">
        <v>7000000</v>
      </c>
      <c r="D54" s="342"/>
      <c r="E54" s="342">
        <v>5500000</v>
      </c>
      <c r="F54" s="342"/>
      <c r="G54" s="342"/>
      <c r="H54" s="342"/>
      <c r="I54" s="342"/>
      <c r="J54" s="342"/>
      <c r="K54" s="342"/>
      <c r="L54" s="342"/>
      <c r="M54" s="342"/>
      <c r="N54" s="342"/>
      <c r="O54" s="342"/>
      <c r="P54" s="342"/>
      <c r="Q54" s="342"/>
      <c r="R54" s="342">
        <f t="shared" si="0"/>
        <v>12500000</v>
      </c>
      <c r="S54" s="342"/>
      <c r="T54" s="342">
        <f t="shared" si="1"/>
        <v>0</v>
      </c>
      <c r="U54" s="342"/>
      <c r="V54" s="342"/>
      <c r="W54" s="342"/>
      <c r="X54" s="342"/>
      <c r="Y54" s="342"/>
      <c r="Z54" s="342"/>
      <c r="AA54" s="342"/>
      <c r="AB54" s="342"/>
      <c r="AC54" s="342"/>
      <c r="AD54" s="342"/>
      <c r="AE54" s="342"/>
      <c r="AF54" s="342"/>
      <c r="AG54" s="342"/>
      <c r="AH54" s="342"/>
      <c r="AI54" s="342"/>
      <c r="AJ54" s="342"/>
      <c r="AK54" s="344">
        <v>0</v>
      </c>
      <c r="AL54" s="342"/>
      <c r="AM54" s="344"/>
      <c r="AN54" s="342"/>
      <c r="AO54" s="344"/>
      <c r="AP54" s="342"/>
      <c r="AQ54" s="342"/>
      <c r="AR54" s="342"/>
      <c r="AS54" s="342">
        <v>0</v>
      </c>
      <c r="AT54" s="342"/>
      <c r="AU54" s="342"/>
      <c r="AV54" s="342">
        <f t="shared" si="2"/>
        <v>0</v>
      </c>
      <c r="AW54" s="342"/>
      <c r="AX54" s="342"/>
      <c r="AY54" s="342"/>
      <c r="AZ54" s="342"/>
      <c r="BA54" s="342"/>
      <c r="BB54" s="342"/>
      <c r="BC54" s="342"/>
      <c r="BD54" s="342">
        <f t="shared" si="3"/>
        <v>0</v>
      </c>
      <c r="BE54" s="342">
        <f t="shared" si="4"/>
        <v>12500000</v>
      </c>
      <c r="BF54" s="342">
        <f t="shared" si="5"/>
        <v>0</v>
      </c>
      <c r="BG54" s="342">
        <f t="shared" si="6"/>
        <v>12500000</v>
      </c>
      <c r="BH54" s="346" t="s">
        <v>399</v>
      </c>
      <c r="BI54" s="346" t="str">
        <f t="shared" si="7"/>
        <v>Servicios Jurídicos</v>
      </c>
      <c r="BJ54" s="346">
        <v>1</v>
      </c>
      <c r="BK54" s="1120">
        <f t="shared" si="8"/>
        <v>12500000</v>
      </c>
    </row>
    <row r="55" spans="1:63" s="345" customFormat="1" outlineLevel="1" x14ac:dyDescent="0.25">
      <c r="A55" s="340"/>
      <c r="B55" s="340"/>
      <c r="C55" s="342"/>
      <c r="D55" s="342"/>
      <c r="E55" s="342"/>
      <c r="F55" s="342"/>
      <c r="G55" s="342"/>
      <c r="H55" s="342"/>
      <c r="I55" s="342"/>
      <c r="J55" s="342"/>
      <c r="K55" s="342"/>
      <c r="L55" s="342"/>
      <c r="M55" s="342"/>
      <c r="N55" s="342"/>
      <c r="O55" s="342"/>
      <c r="P55" s="342"/>
      <c r="Q55" s="342"/>
      <c r="R55" s="342">
        <f t="shared" si="0"/>
        <v>0</v>
      </c>
      <c r="S55" s="342"/>
      <c r="T55" s="342">
        <f t="shared" si="1"/>
        <v>0</v>
      </c>
      <c r="U55" s="342"/>
      <c r="V55" s="342"/>
      <c r="W55" s="342"/>
      <c r="X55" s="342"/>
      <c r="Y55" s="342"/>
      <c r="Z55" s="342"/>
      <c r="AA55" s="342"/>
      <c r="AB55" s="342"/>
      <c r="AC55" s="342"/>
      <c r="AD55" s="342"/>
      <c r="AE55" s="342"/>
      <c r="AF55" s="342"/>
      <c r="AG55" s="342"/>
      <c r="AH55" s="342"/>
      <c r="AI55" s="342"/>
      <c r="AJ55" s="342"/>
      <c r="AK55" s="344">
        <v>0</v>
      </c>
      <c r="AL55" s="342"/>
      <c r="AM55" s="344"/>
      <c r="AN55" s="342"/>
      <c r="AO55" s="344"/>
      <c r="AP55" s="342"/>
      <c r="AQ55" s="342"/>
      <c r="AR55" s="342"/>
      <c r="AS55" s="342">
        <v>0</v>
      </c>
      <c r="AT55" s="342"/>
      <c r="AU55" s="342"/>
      <c r="AV55" s="342">
        <f t="shared" si="2"/>
        <v>0</v>
      </c>
      <c r="AW55" s="342"/>
      <c r="AX55" s="342"/>
      <c r="AY55" s="342"/>
      <c r="AZ55" s="342"/>
      <c r="BA55" s="342"/>
      <c r="BB55" s="342"/>
      <c r="BC55" s="342"/>
      <c r="BD55" s="342">
        <f t="shared" si="3"/>
        <v>0</v>
      </c>
      <c r="BE55" s="342">
        <f t="shared" si="4"/>
        <v>0</v>
      </c>
      <c r="BF55" s="342">
        <f t="shared" si="5"/>
        <v>0</v>
      </c>
      <c r="BG55" s="342">
        <f t="shared" si="6"/>
        <v>0</v>
      </c>
      <c r="BI55" s="346">
        <f t="shared" si="7"/>
        <v>0</v>
      </c>
      <c r="BJ55" s="346">
        <v>1</v>
      </c>
      <c r="BK55" s="1120">
        <f t="shared" si="8"/>
        <v>0</v>
      </c>
    </row>
    <row r="56" spans="1:63" s="345" customFormat="1" outlineLevel="1" x14ac:dyDescent="0.25">
      <c r="A56" s="340"/>
      <c r="B56" s="340"/>
      <c r="C56" s="342"/>
      <c r="D56" s="342"/>
      <c r="E56" s="342"/>
      <c r="F56" s="342"/>
      <c r="G56" s="342"/>
      <c r="H56" s="342"/>
      <c r="I56" s="342"/>
      <c r="J56" s="342"/>
      <c r="K56" s="342"/>
      <c r="L56" s="342"/>
      <c r="M56" s="342"/>
      <c r="N56" s="342"/>
      <c r="O56" s="342"/>
      <c r="P56" s="342"/>
      <c r="Q56" s="342"/>
      <c r="R56" s="342">
        <f t="shared" si="0"/>
        <v>0</v>
      </c>
      <c r="S56" s="342"/>
      <c r="T56" s="342">
        <f t="shared" si="1"/>
        <v>0</v>
      </c>
      <c r="U56" s="342"/>
      <c r="V56" s="342"/>
      <c r="W56" s="342"/>
      <c r="X56" s="342"/>
      <c r="Y56" s="342"/>
      <c r="Z56" s="342"/>
      <c r="AA56" s="342"/>
      <c r="AB56" s="342"/>
      <c r="AC56" s="342"/>
      <c r="AD56" s="342"/>
      <c r="AE56" s="342"/>
      <c r="AF56" s="342"/>
      <c r="AG56" s="342"/>
      <c r="AH56" s="342"/>
      <c r="AI56" s="342"/>
      <c r="AJ56" s="342"/>
      <c r="AK56" s="344">
        <v>0</v>
      </c>
      <c r="AL56" s="342"/>
      <c r="AM56" s="344"/>
      <c r="AN56" s="342"/>
      <c r="AO56" s="344"/>
      <c r="AP56" s="342"/>
      <c r="AQ56" s="342"/>
      <c r="AR56" s="342"/>
      <c r="AS56" s="342">
        <v>0</v>
      </c>
      <c r="AT56" s="342"/>
      <c r="AU56" s="342"/>
      <c r="AV56" s="342">
        <f t="shared" si="2"/>
        <v>0</v>
      </c>
      <c r="AW56" s="342"/>
      <c r="AX56" s="342"/>
      <c r="AY56" s="342"/>
      <c r="AZ56" s="342"/>
      <c r="BA56" s="342"/>
      <c r="BB56" s="342"/>
      <c r="BC56" s="342"/>
      <c r="BD56" s="342">
        <f t="shared" si="3"/>
        <v>0</v>
      </c>
      <c r="BE56" s="342">
        <f t="shared" si="4"/>
        <v>0</v>
      </c>
      <c r="BF56" s="342">
        <f t="shared" si="5"/>
        <v>0</v>
      </c>
      <c r="BG56" s="342">
        <f t="shared" si="6"/>
        <v>0</v>
      </c>
      <c r="BI56" s="346">
        <f t="shared" si="7"/>
        <v>0</v>
      </c>
      <c r="BJ56" s="346">
        <v>1</v>
      </c>
      <c r="BK56" s="1120">
        <f t="shared" si="8"/>
        <v>0</v>
      </c>
    </row>
    <row r="57" spans="1:63" s="345" customFormat="1" outlineLevel="1" x14ac:dyDescent="0.25">
      <c r="A57" s="340" t="s">
        <v>141</v>
      </c>
      <c r="B57" s="340" t="s">
        <v>142</v>
      </c>
      <c r="C57" s="342">
        <v>15000000</v>
      </c>
      <c r="D57" s="342"/>
      <c r="E57" s="342">
        <v>10000000</v>
      </c>
      <c r="F57" s="342"/>
      <c r="G57" s="342"/>
      <c r="H57" s="342"/>
      <c r="I57" s="342">
        <v>18000000</v>
      </c>
      <c r="J57" s="342"/>
      <c r="K57" s="342"/>
      <c r="L57" s="342"/>
      <c r="M57" s="342"/>
      <c r="N57" s="342"/>
      <c r="O57" s="342"/>
      <c r="P57" s="342"/>
      <c r="Q57" s="342"/>
      <c r="R57" s="342">
        <f t="shared" si="0"/>
        <v>43000000</v>
      </c>
      <c r="S57" s="342"/>
      <c r="T57" s="342">
        <f t="shared" si="1"/>
        <v>0</v>
      </c>
      <c r="U57" s="342"/>
      <c r="V57" s="342"/>
      <c r="W57" s="342"/>
      <c r="X57" s="342"/>
      <c r="Y57" s="342"/>
      <c r="Z57" s="342"/>
      <c r="AA57" s="342"/>
      <c r="AB57" s="342"/>
      <c r="AC57" s="342"/>
      <c r="AD57" s="342"/>
      <c r="AE57" s="342">
        <v>61000000</v>
      </c>
      <c r="AF57" s="342"/>
      <c r="AG57" s="342"/>
      <c r="AH57" s="342"/>
      <c r="AI57" s="342"/>
      <c r="AJ57" s="342"/>
      <c r="AK57" s="344">
        <v>0</v>
      </c>
      <c r="AL57" s="342"/>
      <c r="AM57" s="344"/>
      <c r="AN57" s="342"/>
      <c r="AO57" s="344"/>
      <c r="AP57" s="342">
        <v>0</v>
      </c>
      <c r="AQ57" s="342"/>
      <c r="AR57" s="342"/>
      <c r="AS57" s="342">
        <v>0</v>
      </c>
      <c r="AT57" s="342"/>
      <c r="AU57" s="342"/>
      <c r="AV57" s="342">
        <f t="shared" si="2"/>
        <v>61000000</v>
      </c>
      <c r="AW57" s="342"/>
      <c r="AX57" s="342"/>
      <c r="AY57" s="342"/>
      <c r="AZ57" s="342"/>
      <c r="BA57" s="342"/>
      <c r="BB57" s="342"/>
      <c r="BC57" s="342"/>
      <c r="BD57" s="342">
        <f t="shared" si="3"/>
        <v>0</v>
      </c>
      <c r="BE57" s="342">
        <f t="shared" si="4"/>
        <v>104000000</v>
      </c>
      <c r="BF57" s="342">
        <f t="shared" si="5"/>
        <v>0</v>
      </c>
      <c r="BG57" s="342">
        <f t="shared" si="6"/>
        <v>104000000</v>
      </c>
      <c r="BH57" s="346" t="s">
        <v>141</v>
      </c>
      <c r="BI57" s="346" t="str">
        <f t="shared" si="7"/>
        <v>Servicios en Ciencias Económicas y Sociales</v>
      </c>
      <c r="BJ57" s="346">
        <v>1</v>
      </c>
      <c r="BK57" s="1120">
        <f t="shared" si="8"/>
        <v>43000000</v>
      </c>
    </row>
    <row r="58" spans="1:63" s="345" customFormat="1" outlineLevel="1" x14ac:dyDescent="0.25">
      <c r="A58" s="340"/>
      <c r="B58" s="340"/>
      <c r="C58" s="342"/>
      <c r="D58" s="342"/>
      <c r="E58" s="342"/>
      <c r="F58" s="342"/>
      <c r="G58" s="342"/>
      <c r="H58" s="342"/>
      <c r="I58" s="342"/>
      <c r="J58" s="342"/>
      <c r="K58" s="342"/>
      <c r="L58" s="342"/>
      <c r="M58" s="342"/>
      <c r="N58" s="342"/>
      <c r="O58" s="342"/>
      <c r="P58" s="342"/>
      <c r="Q58" s="342"/>
      <c r="R58" s="342">
        <f t="shared" si="0"/>
        <v>0</v>
      </c>
      <c r="S58" s="342"/>
      <c r="T58" s="342">
        <f t="shared" si="1"/>
        <v>0</v>
      </c>
      <c r="U58" s="342"/>
      <c r="V58" s="342"/>
      <c r="W58" s="342"/>
      <c r="X58" s="342"/>
      <c r="Y58" s="342"/>
      <c r="Z58" s="342"/>
      <c r="AA58" s="342"/>
      <c r="AB58" s="342"/>
      <c r="AC58" s="342"/>
      <c r="AD58" s="342"/>
      <c r="AE58" s="342"/>
      <c r="AF58" s="342"/>
      <c r="AG58" s="342"/>
      <c r="AH58" s="342"/>
      <c r="AI58" s="342"/>
      <c r="AJ58" s="342"/>
      <c r="AK58" s="344">
        <v>0</v>
      </c>
      <c r="AL58" s="342"/>
      <c r="AM58" s="344"/>
      <c r="AN58" s="342"/>
      <c r="AO58" s="344"/>
      <c r="AP58" s="342"/>
      <c r="AQ58" s="342"/>
      <c r="AR58" s="342"/>
      <c r="AS58" s="342">
        <v>0</v>
      </c>
      <c r="AT58" s="342"/>
      <c r="AU58" s="342"/>
      <c r="AV58" s="342">
        <f t="shared" si="2"/>
        <v>0</v>
      </c>
      <c r="AW58" s="342"/>
      <c r="AX58" s="342"/>
      <c r="AY58" s="342"/>
      <c r="AZ58" s="342"/>
      <c r="BA58" s="342"/>
      <c r="BB58" s="342"/>
      <c r="BC58" s="342"/>
      <c r="BD58" s="342">
        <f t="shared" si="3"/>
        <v>0</v>
      </c>
      <c r="BE58" s="342">
        <f t="shared" si="4"/>
        <v>0</v>
      </c>
      <c r="BF58" s="342">
        <f t="shared" si="5"/>
        <v>0</v>
      </c>
      <c r="BG58" s="342">
        <f t="shared" si="6"/>
        <v>0</v>
      </c>
      <c r="BI58" s="346">
        <f t="shared" si="7"/>
        <v>0</v>
      </c>
      <c r="BJ58" s="346">
        <v>1</v>
      </c>
      <c r="BK58" s="1120">
        <f t="shared" si="8"/>
        <v>0</v>
      </c>
    </row>
    <row r="59" spans="1:63" s="344" customFormat="1" outlineLevel="1" x14ac:dyDescent="0.25">
      <c r="A59" s="340" t="s">
        <v>145</v>
      </c>
      <c r="B59" s="340" t="s">
        <v>146</v>
      </c>
      <c r="C59" s="342">
        <v>3227100</v>
      </c>
      <c r="D59" s="342">
        <v>285200</v>
      </c>
      <c r="E59" s="342">
        <v>1141200</v>
      </c>
      <c r="F59" s="342">
        <v>645800</v>
      </c>
      <c r="G59" s="342">
        <v>102300</v>
      </c>
      <c r="H59" s="342">
        <v>367900</v>
      </c>
      <c r="I59" s="342">
        <v>1637400</v>
      </c>
      <c r="J59" s="342">
        <v>700100</v>
      </c>
      <c r="K59" s="342">
        <v>3017200</v>
      </c>
      <c r="L59" s="342">
        <f>6000000+1194400</f>
        <v>7194400</v>
      </c>
      <c r="M59" s="342">
        <v>7359100</v>
      </c>
      <c r="N59" s="342">
        <f>800000+1645700</f>
        <v>2445700</v>
      </c>
      <c r="O59" s="342">
        <v>778200</v>
      </c>
      <c r="P59" s="342">
        <v>5173100</v>
      </c>
      <c r="Q59" s="342"/>
      <c r="R59" s="342">
        <f t="shared" si="0"/>
        <v>34074700</v>
      </c>
      <c r="S59" s="342">
        <v>2196400</v>
      </c>
      <c r="T59" s="342">
        <f t="shared" si="1"/>
        <v>2196400</v>
      </c>
      <c r="U59" s="342">
        <v>21403400</v>
      </c>
      <c r="V59" s="342">
        <v>600000</v>
      </c>
      <c r="W59" s="342"/>
      <c r="X59" s="342"/>
      <c r="Y59" s="342">
        <v>300000</v>
      </c>
      <c r="Z59" s="342"/>
      <c r="AA59" s="342">
        <v>100000</v>
      </c>
      <c r="AB59" s="342"/>
      <c r="AC59" s="342"/>
      <c r="AD59" s="342">
        <v>2456200</v>
      </c>
      <c r="AE59" s="342">
        <f>+[5]Sheet1!$Q$45</f>
        <v>4094100</v>
      </c>
      <c r="AF59" s="342">
        <v>1657000</v>
      </c>
      <c r="AG59" s="342">
        <v>461900</v>
      </c>
      <c r="AH59" s="342">
        <v>324300</v>
      </c>
      <c r="AI59" s="342"/>
      <c r="AJ59" s="342"/>
      <c r="AK59" s="344">
        <v>0</v>
      </c>
      <c r="AL59" s="342"/>
      <c r="AN59" s="342"/>
      <c r="AP59" s="342">
        <v>1748700</v>
      </c>
      <c r="AQ59" s="342"/>
      <c r="AR59" s="358">
        <v>0</v>
      </c>
      <c r="AS59" s="342">
        <v>6442700</v>
      </c>
      <c r="AT59" s="358">
        <v>1552300</v>
      </c>
      <c r="AU59" s="342"/>
      <c r="AV59" s="342">
        <f t="shared" si="2"/>
        <v>41140600</v>
      </c>
      <c r="AW59" s="342"/>
      <c r="AX59" s="342"/>
      <c r="AY59" s="342"/>
      <c r="AZ59" s="342"/>
      <c r="BA59" s="342"/>
      <c r="BB59" s="342">
        <v>6556800</v>
      </c>
      <c r="BC59" s="342">
        <v>3850500</v>
      </c>
      <c r="BD59" s="342">
        <f t="shared" si="3"/>
        <v>10407300</v>
      </c>
      <c r="BE59" s="342">
        <f t="shared" si="4"/>
        <v>87819000</v>
      </c>
      <c r="BF59" s="342">
        <f t="shared" si="5"/>
        <v>7995000</v>
      </c>
      <c r="BG59" s="342">
        <f t="shared" si="6"/>
        <v>79824000</v>
      </c>
      <c r="BH59" s="346" t="s">
        <v>145</v>
      </c>
      <c r="BI59" s="346" t="str">
        <f t="shared" si="7"/>
        <v>Servicios Generales</v>
      </c>
      <c r="BJ59" s="346">
        <v>1</v>
      </c>
      <c r="BK59" s="1120">
        <f t="shared" si="8"/>
        <v>34074700</v>
      </c>
    </row>
    <row r="60" spans="1:63" s="345" customFormat="1" outlineLevel="1" x14ac:dyDescent="0.25">
      <c r="A60" s="340" t="s">
        <v>147</v>
      </c>
      <c r="B60" s="340" t="s">
        <v>148</v>
      </c>
      <c r="C60" s="342"/>
      <c r="D60" s="342"/>
      <c r="E60" s="342"/>
      <c r="F60" s="342"/>
      <c r="G60" s="342"/>
      <c r="H60" s="342"/>
      <c r="I60" s="342"/>
      <c r="J60" s="342"/>
      <c r="K60" s="342">
        <v>90500000</v>
      </c>
      <c r="L60" s="342">
        <v>1200000</v>
      </c>
      <c r="M60" s="342">
        <v>500000</v>
      </c>
      <c r="N60" s="342"/>
      <c r="O60" s="342"/>
      <c r="P60" s="342">
        <v>140000000</v>
      </c>
      <c r="Q60" s="342"/>
      <c r="R60" s="342">
        <v>232200000</v>
      </c>
      <c r="S60" s="342">
        <v>60800000</v>
      </c>
      <c r="T60" s="342">
        <f t="shared" si="1"/>
        <v>60800000</v>
      </c>
      <c r="U60" s="342">
        <f>160000000+83500000</f>
        <v>243500000</v>
      </c>
      <c r="V60" s="342"/>
      <c r="W60" s="342"/>
      <c r="X60" s="342"/>
      <c r="Y60" s="342"/>
      <c r="Z60" s="342"/>
      <c r="AA60" s="342">
        <v>16500000</v>
      </c>
      <c r="AB60" s="342"/>
      <c r="AC60" s="342"/>
      <c r="AD60" s="342"/>
      <c r="AE60" s="342"/>
      <c r="AF60" s="342"/>
      <c r="AG60" s="342"/>
      <c r="AH60" s="342"/>
      <c r="AI60" s="344"/>
      <c r="AJ60" s="342"/>
      <c r="AK60" s="344"/>
      <c r="AL60" s="342"/>
      <c r="AM60" s="342"/>
      <c r="AN60" s="342"/>
      <c r="AO60" s="344"/>
      <c r="AP60" s="342"/>
      <c r="AQ60" s="358"/>
      <c r="AR60" s="342"/>
      <c r="AS60" s="342"/>
      <c r="AT60" s="342"/>
      <c r="AU60" s="342"/>
      <c r="AV60" s="342">
        <f t="shared" si="2"/>
        <v>260000000</v>
      </c>
      <c r="AW60" s="342"/>
      <c r="AX60" s="342"/>
      <c r="AY60" s="342"/>
      <c r="AZ60" s="342"/>
      <c r="BA60" s="342">
        <v>9100000</v>
      </c>
      <c r="BB60" s="342">
        <v>63000000</v>
      </c>
      <c r="BC60" s="342"/>
      <c r="BD60" s="342">
        <f t="shared" si="3"/>
        <v>72100000</v>
      </c>
      <c r="BE60" s="342">
        <f t="shared" si="4"/>
        <v>625100000</v>
      </c>
      <c r="BF60" s="342">
        <f t="shared" si="5"/>
        <v>0</v>
      </c>
      <c r="BG60" s="342">
        <f t="shared" si="6"/>
        <v>625100000</v>
      </c>
      <c r="BH60" s="346" t="s">
        <v>147</v>
      </c>
      <c r="BI60" s="346" t="str">
        <f t="shared" si="7"/>
        <v>Otros Servicios de Gestión y Apoyo</v>
      </c>
      <c r="BJ60" s="346">
        <v>1</v>
      </c>
      <c r="BK60" s="1120">
        <f t="shared" si="8"/>
        <v>232200000</v>
      </c>
    </row>
    <row r="61" spans="1:63" s="344" customFormat="1" outlineLevel="1" x14ac:dyDescent="0.25">
      <c r="A61" s="340"/>
      <c r="B61" s="341" t="s">
        <v>1204</v>
      </c>
      <c r="C61" s="343">
        <f>SUM(C53:C60)</f>
        <v>25227100</v>
      </c>
      <c r="D61" s="343">
        <f t="shared" ref="D61:BD61" si="18">SUM(D53:D60)</f>
        <v>285200</v>
      </c>
      <c r="E61" s="343">
        <f t="shared" si="18"/>
        <v>16641200</v>
      </c>
      <c r="F61" s="343">
        <f t="shared" si="18"/>
        <v>645800</v>
      </c>
      <c r="G61" s="343">
        <f t="shared" si="18"/>
        <v>102300</v>
      </c>
      <c r="H61" s="343">
        <f t="shared" si="18"/>
        <v>367900</v>
      </c>
      <c r="I61" s="343">
        <f t="shared" si="18"/>
        <v>19637400</v>
      </c>
      <c r="J61" s="343">
        <f t="shared" si="18"/>
        <v>700100</v>
      </c>
      <c r="K61" s="343">
        <f t="shared" si="18"/>
        <v>93517200</v>
      </c>
      <c r="L61" s="343">
        <f t="shared" si="18"/>
        <v>8394400</v>
      </c>
      <c r="M61" s="343">
        <f t="shared" si="18"/>
        <v>7859100</v>
      </c>
      <c r="N61" s="343">
        <f t="shared" si="18"/>
        <v>2445700</v>
      </c>
      <c r="O61" s="343">
        <f t="shared" si="18"/>
        <v>778200</v>
      </c>
      <c r="P61" s="343">
        <f t="shared" si="18"/>
        <v>145173100</v>
      </c>
      <c r="Q61" s="343">
        <f t="shared" si="18"/>
        <v>0</v>
      </c>
      <c r="R61" s="343">
        <f t="shared" si="18"/>
        <v>321774700</v>
      </c>
      <c r="S61" s="343">
        <f t="shared" si="18"/>
        <v>62996400</v>
      </c>
      <c r="T61" s="343">
        <f t="shared" si="18"/>
        <v>62996400</v>
      </c>
      <c r="U61" s="343">
        <f t="shared" si="18"/>
        <v>264903400</v>
      </c>
      <c r="V61" s="343">
        <f t="shared" si="18"/>
        <v>600000</v>
      </c>
      <c r="W61" s="343">
        <f t="shared" si="18"/>
        <v>0</v>
      </c>
      <c r="X61" s="343">
        <f t="shared" si="18"/>
        <v>0</v>
      </c>
      <c r="Y61" s="343">
        <f t="shared" si="18"/>
        <v>300000</v>
      </c>
      <c r="Z61" s="343">
        <f t="shared" si="18"/>
        <v>0</v>
      </c>
      <c r="AA61" s="343">
        <f t="shared" si="18"/>
        <v>16600000</v>
      </c>
      <c r="AB61" s="343">
        <f t="shared" si="18"/>
        <v>0</v>
      </c>
      <c r="AC61" s="343">
        <f t="shared" si="18"/>
        <v>0</v>
      </c>
      <c r="AD61" s="343">
        <f t="shared" si="18"/>
        <v>2456200</v>
      </c>
      <c r="AE61" s="343">
        <f t="shared" si="18"/>
        <v>65094100</v>
      </c>
      <c r="AF61" s="343">
        <f t="shared" si="18"/>
        <v>1657000</v>
      </c>
      <c r="AG61" s="343">
        <f t="shared" si="18"/>
        <v>561900</v>
      </c>
      <c r="AH61" s="343">
        <f t="shared" si="18"/>
        <v>324300</v>
      </c>
      <c r="AI61" s="343">
        <f t="shared" si="18"/>
        <v>0</v>
      </c>
      <c r="AJ61" s="343">
        <f t="shared" si="18"/>
        <v>0</v>
      </c>
      <c r="AK61" s="343">
        <f t="shared" si="18"/>
        <v>0</v>
      </c>
      <c r="AL61" s="343">
        <f t="shared" si="18"/>
        <v>0</v>
      </c>
      <c r="AM61" s="343">
        <f t="shared" si="18"/>
        <v>0</v>
      </c>
      <c r="AN61" s="343">
        <f t="shared" si="18"/>
        <v>0</v>
      </c>
      <c r="AO61" s="343">
        <f t="shared" si="18"/>
        <v>0</v>
      </c>
      <c r="AP61" s="343">
        <f t="shared" si="18"/>
        <v>1748700</v>
      </c>
      <c r="AQ61" s="343">
        <f t="shared" si="18"/>
        <v>0</v>
      </c>
      <c r="AR61" s="343">
        <f t="shared" si="18"/>
        <v>0</v>
      </c>
      <c r="AS61" s="343">
        <f t="shared" si="18"/>
        <v>6442700</v>
      </c>
      <c r="AT61" s="343">
        <f t="shared" si="18"/>
        <v>1552300</v>
      </c>
      <c r="AU61" s="343">
        <f t="shared" si="18"/>
        <v>0</v>
      </c>
      <c r="AV61" s="343">
        <f t="shared" si="18"/>
        <v>362240600</v>
      </c>
      <c r="AW61" s="343">
        <f t="shared" si="18"/>
        <v>0</v>
      </c>
      <c r="AX61" s="343">
        <f t="shared" si="18"/>
        <v>0</v>
      </c>
      <c r="AY61" s="343">
        <f t="shared" si="18"/>
        <v>0</v>
      </c>
      <c r="AZ61" s="343">
        <f t="shared" si="18"/>
        <v>0</v>
      </c>
      <c r="BA61" s="343">
        <f t="shared" si="18"/>
        <v>9100000</v>
      </c>
      <c r="BB61" s="343">
        <f t="shared" si="18"/>
        <v>69556800</v>
      </c>
      <c r="BC61" s="343">
        <f t="shared" si="18"/>
        <v>3850500</v>
      </c>
      <c r="BD61" s="343">
        <f t="shared" si="18"/>
        <v>82507300</v>
      </c>
      <c r="BE61" s="343">
        <f t="shared" si="4"/>
        <v>829519000</v>
      </c>
      <c r="BF61" s="343">
        <f t="shared" si="5"/>
        <v>7995000</v>
      </c>
      <c r="BG61" s="343">
        <f t="shared" si="6"/>
        <v>821524000</v>
      </c>
      <c r="BI61" s="346" t="str">
        <f t="shared" si="7"/>
        <v>1.04 - SERVICIOS DE GESTION Y APOYO</v>
      </c>
      <c r="BJ61" s="346">
        <v>1</v>
      </c>
      <c r="BK61" s="1120">
        <f t="shared" si="8"/>
        <v>321774700</v>
      </c>
    </row>
    <row r="62" spans="1:63" s="345" customFormat="1" x14ac:dyDescent="0.25">
      <c r="A62" s="340" t="s">
        <v>151</v>
      </c>
      <c r="B62" s="340" t="s">
        <v>545</v>
      </c>
      <c r="C62" s="342"/>
      <c r="D62" s="342"/>
      <c r="E62" s="342">
        <v>80000</v>
      </c>
      <c r="F62" s="342"/>
      <c r="G62" s="342"/>
      <c r="H62" s="342"/>
      <c r="I62" s="342"/>
      <c r="J62" s="342"/>
      <c r="K62" s="342"/>
      <c r="L62" s="342">
        <v>750000</v>
      </c>
      <c r="M62" s="342"/>
      <c r="N62" s="342"/>
      <c r="O62" s="342"/>
      <c r="P62" s="342"/>
      <c r="Q62" s="342"/>
      <c r="R62" s="342">
        <f t="shared" si="0"/>
        <v>830000</v>
      </c>
      <c r="S62" s="342"/>
      <c r="T62" s="342">
        <f t="shared" si="1"/>
        <v>0</v>
      </c>
      <c r="U62" s="342"/>
      <c r="V62" s="342">
        <v>2000000</v>
      </c>
      <c r="W62" s="342"/>
      <c r="X62" s="342">
        <v>1200000</v>
      </c>
      <c r="Y62" s="342">
        <v>800000</v>
      </c>
      <c r="Z62" s="342"/>
      <c r="AA62" s="342">
        <v>200000</v>
      </c>
      <c r="AB62" s="342"/>
      <c r="AC62" s="342"/>
      <c r="AD62" s="342"/>
      <c r="AE62" s="342">
        <f>+[5]Sheet1!$Q$48</f>
        <v>1550000</v>
      </c>
      <c r="AF62" s="342">
        <v>197500</v>
      </c>
      <c r="AG62" s="342"/>
      <c r="AH62" s="342"/>
      <c r="AI62" s="342"/>
      <c r="AJ62" s="342"/>
      <c r="AK62" s="344">
        <v>0</v>
      </c>
      <c r="AL62" s="342"/>
      <c r="AM62" s="342"/>
      <c r="AN62" s="342"/>
      <c r="AO62" s="344"/>
      <c r="AP62" s="342">
        <v>100000</v>
      </c>
      <c r="AQ62" s="342"/>
      <c r="AR62" s="342"/>
      <c r="AS62" s="342">
        <v>2500000</v>
      </c>
      <c r="AT62" s="358">
        <v>5000000</v>
      </c>
      <c r="AU62" s="342"/>
      <c r="AV62" s="342">
        <f t="shared" si="2"/>
        <v>13547500</v>
      </c>
      <c r="AW62" s="342"/>
      <c r="AX62" s="342"/>
      <c r="AY62" s="342"/>
      <c r="AZ62" s="342"/>
      <c r="BA62" s="342"/>
      <c r="BB62" s="342"/>
      <c r="BC62" s="342"/>
      <c r="BD62" s="342">
        <f t="shared" si="3"/>
        <v>0</v>
      </c>
      <c r="BE62" s="342">
        <f t="shared" si="4"/>
        <v>14377500</v>
      </c>
      <c r="BF62" s="342">
        <f t="shared" si="5"/>
        <v>7500000</v>
      </c>
      <c r="BG62" s="342">
        <f t="shared" si="6"/>
        <v>6877500</v>
      </c>
      <c r="BH62" s="346" t="s">
        <v>151</v>
      </c>
      <c r="BI62" s="346" t="str">
        <f t="shared" si="7"/>
        <v>Transporte Dentro del País</v>
      </c>
      <c r="BJ62" s="346">
        <v>1</v>
      </c>
      <c r="BK62" s="1120">
        <f t="shared" si="8"/>
        <v>830000</v>
      </c>
    </row>
    <row r="63" spans="1:63" s="344" customFormat="1" x14ac:dyDescent="0.25">
      <c r="A63" s="340" t="s">
        <v>153</v>
      </c>
      <c r="B63" s="340" t="s">
        <v>542</v>
      </c>
      <c r="C63" s="342"/>
      <c r="D63" s="342"/>
      <c r="E63" s="342">
        <v>200000</v>
      </c>
      <c r="F63" s="342"/>
      <c r="G63" s="342"/>
      <c r="H63" s="342"/>
      <c r="I63" s="342"/>
      <c r="J63" s="342"/>
      <c r="K63" s="342"/>
      <c r="L63" s="342"/>
      <c r="M63" s="342"/>
      <c r="N63" s="342"/>
      <c r="O63" s="342">
        <v>3153600</v>
      </c>
      <c r="P63" s="342"/>
      <c r="Q63" s="342"/>
      <c r="R63" s="342">
        <f t="shared" si="0"/>
        <v>3353600</v>
      </c>
      <c r="S63" s="342"/>
      <c r="T63" s="342">
        <f t="shared" si="1"/>
        <v>0</v>
      </c>
      <c r="U63" s="342"/>
      <c r="V63" s="342">
        <v>107000000</v>
      </c>
      <c r="W63" s="342">
        <v>160000</v>
      </c>
      <c r="X63" s="342">
        <v>96000000</v>
      </c>
      <c r="Y63" s="342">
        <v>25000000</v>
      </c>
      <c r="Z63" s="342"/>
      <c r="AA63" s="342">
        <f>20300000+36580000</f>
        <v>56880000</v>
      </c>
      <c r="AB63" s="342"/>
      <c r="AC63" s="342"/>
      <c r="AD63" s="342"/>
      <c r="AE63" s="342">
        <f>+[5]Sheet1!$Q$49</f>
        <v>16000000</v>
      </c>
      <c r="AF63" s="342">
        <v>42000000</v>
      </c>
      <c r="AG63" s="342"/>
      <c r="AH63" s="342">
        <v>50000</v>
      </c>
      <c r="AJ63" s="342"/>
      <c r="AK63" s="344">
        <v>0</v>
      </c>
      <c r="AL63" s="342"/>
      <c r="AM63" s="342"/>
      <c r="AN63" s="342"/>
      <c r="AP63" s="342">
        <v>500000</v>
      </c>
      <c r="AQ63" s="358">
        <v>500000</v>
      </c>
      <c r="AR63" s="342"/>
      <c r="AS63" s="342">
        <v>333847200</v>
      </c>
      <c r="AT63" s="358">
        <v>26500000</v>
      </c>
      <c r="AU63" s="342"/>
      <c r="AV63" s="342">
        <f t="shared" si="2"/>
        <v>704437200</v>
      </c>
      <c r="AW63" s="342"/>
      <c r="AX63" s="342"/>
      <c r="AY63" s="342"/>
      <c r="AZ63" s="342"/>
      <c r="BA63" s="342"/>
      <c r="BB63" s="342">
        <v>150000</v>
      </c>
      <c r="BC63" s="342"/>
      <c r="BD63" s="342">
        <f t="shared" si="3"/>
        <v>150000</v>
      </c>
      <c r="BE63" s="342">
        <f t="shared" si="4"/>
        <v>707940800</v>
      </c>
      <c r="BF63" s="342">
        <f t="shared" si="5"/>
        <v>360847200</v>
      </c>
      <c r="BG63" s="342">
        <f t="shared" si="6"/>
        <v>347093600</v>
      </c>
      <c r="BH63" s="346" t="s">
        <v>153</v>
      </c>
      <c r="BI63" s="346" t="str">
        <f t="shared" si="7"/>
        <v>Viáticos Dentro del País</v>
      </c>
      <c r="BJ63" s="346">
        <v>1</v>
      </c>
      <c r="BK63" s="1120">
        <f t="shared" si="8"/>
        <v>3353600</v>
      </c>
    </row>
    <row r="64" spans="1:63" s="344" customFormat="1" outlineLevel="1" x14ac:dyDescent="0.25">
      <c r="A64" s="340" t="s">
        <v>155</v>
      </c>
      <c r="B64" s="340" t="s">
        <v>156</v>
      </c>
      <c r="C64" s="342">
        <v>8000000</v>
      </c>
      <c r="D64" s="342"/>
      <c r="E64" s="342">
        <v>1500000</v>
      </c>
      <c r="F64" s="342"/>
      <c r="G64" s="342"/>
      <c r="H64" s="342"/>
      <c r="I64" s="342"/>
      <c r="J64" s="342"/>
      <c r="K64" s="342">
        <v>700000</v>
      </c>
      <c r="L64" s="342"/>
      <c r="M64" s="342"/>
      <c r="N64" s="342"/>
      <c r="O64" s="342"/>
      <c r="P64" s="342"/>
      <c r="Q64" s="342"/>
      <c r="R64" s="342">
        <f t="shared" si="0"/>
        <v>10200000</v>
      </c>
      <c r="S64" s="342">
        <v>1750000</v>
      </c>
      <c r="T64" s="342">
        <f t="shared" si="1"/>
        <v>1750000</v>
      </c>
      <c r="U64" s="342"/>
      <c r="V64" s="342"/>
      <c r="W64" s="342"/>
      <c r="X64" s="342"/>
      <c r="Y64" s="342"/>
      <c r="Z64" s="342"/>
      <c r="AA64" s="342">
        <v>800000</v>
      </c>
      <c r="AB64" s="342"/>
      <c r="AC64" s="342"/>
      <c r="AD64" s="342"/>
      <c r="AE64" s="342">
        <v>1500000</v>
      </c>
      <c r="AF64" s="342"/>
      <c r="AG64" s="342"/>
      <c r="AH64" s="342"/>
      <c r="AI64" s="342"/>
      <c r="AJ64" s="342"/>
      <c r="AK64" s="344">
        <v>0</v>
      </c>
      <c r="AL64" s="342"/>
      <c r="AM64" s="342"/>
      <c r="AN64" s="342"/>
      <c r="AO64" s="342"/>
      <c r="AP64" s="342">
        <v>1000000</v>
      </c>
      <c r="AQ64" s="342"/>
      <c r="AR64" s="342"/>
      <c r="AS64" s="342">
        <v>1500000</v>
      </c>
      <c r="AT64" s="342"/>
      <c r="AU64" s="342"/>
      <c r="AV64" s="342">
        <f t="shared" si="2"/>
        <v>4800000</v>
      </c>
      <c r="AW64" s="342"/>
      <c r="AX64" s="342"/>
      <c r="AY64" s="342"/>
      <c r="AZ64" s="342"/>
      <c r="BA64" s="342"/>
      <c r="BB64" s="342"/>
      <c r="BC64" s="342"/>
      <c r="BD64" s="342">
        <f t="shared" si="3"/>
        <v>0</v>
      </c>
      <c r="BE64" s="342">
        <f t="shared" si="4"/>
        <v>16750000</v>
      </c>
      <c r="BF64" s="342">
        <f t="shared" si="5"/>
        <v>1500000</v>
      </c>
      <c r="BG64" s="342">
        <f t="shared" si="6"/>
        <v>15250000</v>
      </c>
      <c r="BH64" s="346" t="s">
        <v>155</v>
      </c>
      <c r="BI64" s="346" t="str">
        <f t="shared" si="7"/>
        <v>Transporte al Exterior</v>
      </c>
      <c r="BJ64" s="346">
        <v>1</v>
      </c>
      <c r="BK64" s="1120">
        <f t="shared" si="8"/>
        <v>10200000</v>
      </c>
    </row>
    <row r="65" spans="1:63" s="344" customFormat="1" outlineLevel="1" x14ac:dyDescent="0.25">
      <c r="A65" s="340" t="s">
        <v>157</v>
      </c>
      <c r="B65" s="340" t="s">
        <v>440</v>
      </c>
      <c r="C65" s="342">
        <v>9000000</v>
      </c>
      <c r="D65" s="342"/>
      <c r="E65" s="342">
        <v>2000000</v>
      </c>
      <c r="F65" s="342"/>
      <c r="G65" s="342"/>
      <c r="H65" s="342"/>
      <c r="I65" s="342">
        <v>350000</v>
      </c>
      <c r="J65" s="342"/>
      <c r="K65" s="342">
        <v>150000</v>
      </c>
      <c r="L65" s="342"/>
      <c r="M65" s="342"/>
      <c r="N65" s="342"/>
      <c r="O65" s="342"/>
      <c r="P65" s="342"/>
      <c r="Q65" s="342"/>
      <c r="R65" s="342">
        <f t="shared" si="0"/>
        <v>11500000</v>
      </c>
      <c r="S65" s="342">
        <v>1700000</v>
      </c>
      <c r="T65" s="342">
        <f t="shared" si="1"/>
        <v>1700000</v>
      </c>
      <c r="U65" s="342"/>
      <c r="V65" s="342"/>
      <c r="W65" s="342"/>
      <c r="X65" s="342"/>
      <c r="Y65" s="342"/>
      <c r="Z65" s="342"/>
      <c r="AA65" s="342">
        <v>880000</v>
      </c>
      <c r="AB65" s="342"/>
      <c r="AC65" s="342"/>
      <c r="AD65" s="342"/>
      <c r="AE65" s="342">
        <v>5000000</v>
      </c>
      <c r="AF65" s="342"/>
      <c r="AG65" s="342"/>
      <c r="AH65" s="342"/>
      <c r="AI65" s="342"/>
      <c r="AJ65" s="342"/>
      <c r="AK65" s="344">
        <v>0</v>
      </c>
      <c r="AL65" s="342"/>
      <c r="AM65" s="342"/>
      <c r="AN65" s="342"/>
      <c r="AO65" s="342"/>
      <c r="AP65" s="342">
        <v>1500000</v>
      </c>
      <c r="AQ65" s="342"/>
      <c r="AR65" s="342"/>
      <c r="AS65" s="342">
        <v>5000000</v>
      </c>
      <c r="AT65" s="342"/>
      <c r="AU65" s="342"/>
      <c r="AV65" s="342">
        <f t="shared" si="2"/>
        <v>12380000</v>
      </c>
      <c r="AW65" s="342"/>
      <c r="AX65" s="342"/>
      <c r="AY65" s="342"/>
      <c r="AZ65" s="342"/>
      <c r="BA65" s="342"/>
      <c r="BB65" s="342"/>
      <c r="BC65" s="342"/>
      <c r="BD65" s="342">
        <f t="shared" si="3"/>
        <v>0</v>
      </c>
      <c r="BE65" s="342">
        <f t="shared" si="4"/>
        <v>25580000</v>
      </c>
      <c r="BF65" s="342">
        <f t="shared" si="5"/>
        <v>5000000</v>
      </c>
      <c r="BG65" s="342">
        <f t="shared" si="6"/>
        <v>20580000</v>
      </c>
      <c r="BH65" s="346" t="s">
        <v>157</v>
      </c>
      <c r="BI65" s="346" t="str">
        <f t="shared" si="7"/>
        <v>Viáticos en el Exterior</v>
      </c>
      <c r="BJ65" s="346">
        <v>1</v>
      </c>
      <c r="BK65" s="1120">
        <f t="shared" si="8"/>
        <v>11500000</v>
      </c>
    </row>
    <row r="66" spans="1:63" s="344" customFormat="1" outlineLevel="1" x14ac:dyDescent="0.25">
      <c r="A66" s="340"/>
      <c r="B66" s="341" t="s">
        <v>1205</v>
      </c>
      <c r="C66" s="343">
        <f>SUM(C62:C65)</f>
        <v>17000000</v>
      </c>
      <c r="D66" s="343">
        <f t="shared" ref="D66:BD66" si="19">SUM(D62:D65)</f>
        <v>0</v>
      </c>
      <c r="E66" s="343">
        <f t="shared" si="19"/>
        <v>3780000</v>
      </c>
      <c r="F66" s="343">
        <f t="shared" si="19"/>
        <v>0</v>
      </c>
      <c r="G66" s="343">
        <f t="shared" si="19"/>
        <v>0</v>
      </c>
      <c r="H66" s="343">
        <f t="shared" si="19"/>
        <v>0</v>
      </c>
      <c r="I66" s="343">
        <f t="shared" si="19"/>
        <v>350000</v>
      </c>
      <c r="J66" s="343">
        <f t="shared" si="19"/>
        <v>0</v>
      </c>
      <c r="K66" s="343">
        <f t="shared" si="19"/>
        <v>850000</v>
      </c>
      <c r="L66" s="343">
        <f t="shared" si="19"/>
        <v>750000</v>
      </c>
      <c r="M66" s="343">
        <f t="shared" si="19"/>
        <v>0</v>
      </c>
      <c r="N66" s="343">
        <f t="shared" si="19"/>
        <v>0</v>
      </c>
      <c r="O66" s="343">
        <f t="shared" si="19"/>
        <v>3153600</v>
      </c>
      <c r="P66" s="343">
        <f t="shared" si="19"/>
        <v>0</v>
      </c>
      <c r="Q66" s="343">
        <f t="shared" si="19"/>
        <v>0</v>
      </c>
      <c r="R66" s="343">
        <f t="shared" si="19"/>
        <v>25883600</v>
      </c>
      <c r="S66" s="343">
        <f t="shared" si="19"/>
        <v>3450000</v>
      </c>
      <c r="T66" s="343">
        <f t="shared" si="19"/>
        <v>3450000</v>
      </c>
      <c r="U66" s="343">
        <f t="shared" si="19"/>
        <v>0</v>
      </c>
      <c r="V66" s="343">
        <f t="shared" si="19"/>
        <v>109000000</v>
      </c>
      <c r="W66" s="343">
        <f t="shared" si="19"/>
        <v>160000</v>
      </c>
      <c r="X66" s="343">
        <f t="shared" si="19"/>
        <v>97200000</v>
      </c>
      <c r="Y66" s="343">
        <f t="shared" si="19"/>
        <v>25800000</v>
      </c>
      <c r="Z66" s="343">
        <f t="shared" si="19"/>
        <v>0</v>
      </c>
      <c r="AA66" s="343">
        <f t="shared" si="19"/>
        <v>58760000</v>
      </c>
      <c r="AB66" s="343">
        <f t="shared" si="19"/>
        <v>0</v>
      </c>
      <c r="AC66" s="343">
        <f t="shared" si="19"/>
        <v>0</v>
      </c>
      <c r="AD66" s="343">
        <f t="shared" si="19"/>
        <v>0</v>
      </c>
      <c r="AE66" s="343">
        <f t="shared" si="19"/>
        <v>24050000</v>
      </c>
      <c r="AF66" s="343">
        <f t="shared" si="19"/>
        <v>42197500</v>
      </c>
      <c r="AG66" s="343">
        <f t="shared" si="19"/>
        <v>0</v>
      </c>
      <c r="AH66" s="343">
        <f t="shared" si="19"/>
        <v>50000</v>
      </c>
      <c r="AI66" s="343">
        <f t="shared" si="19"/>
        <v>0</v>
      </c>
      <c r="AJ66" s="343">
        <f t="shared" si="19"/>
        <v>0</v>
      </c>
      <c r="AK66" s="343">
        <f t="shared" si="19"/>
        <v>0</v>
      </c>
      <c r="AL66" s="343">
        <f t="shared" si="19"/>
        <v>0</v>
      </c>
      <c r="AM66" s="343">
        <f t="shared" si="19"/>
        <v>0</v>
      </c>
      <c r="AN66" s="343">
        <f t="shared" si="19"/>
        <v>0</v>
      </c>
      <c r="AO66" s="343">
        <f t="shared" si="19"/>
        <v>0</v>
      </c>
      <c r="AP66" s="343">
        <f t="shared" si="19"/>
        <v>3100000</v>
      </c>
      <c r="AQ66" s="343">
        <f t="shared" si="19"/>
        <v>500000</v>
      </c>
      <c r="AR66" s="343">
        <f t="shared" si="19"/>
        <v>0</v>
      </c>
      <c r="AS66" s="343">
        <f t="shared" si="19"/>
        <v>342847200</v>
      </c>
      <c r="AT66" s="343">
        <f t="shared" si="19"/>
        <v>31500000</v>
      </c>
      <c r="AU66" s="343">
        <f t="shared" si="19"/>
        <v>0</v>
      </c>
      <c r="AV66" s="343">
        <f t="shared" si="19"/>
        <v>735164700</v>
      </c>
      <c r="AW66" s="343">
        <f t="shared" si="19"/>
        <v>0</v>
      </c>
      <c r="AX66" s="343">
        <f t="shared" si="19"/>
        <v>0</v>
      </c>
      <c r="AY66" s="343">
        <f t="shared" si="19"/>
        <v>0</v>
      </c>
      <c r="AZ66" s="343">
        <f t="shared" si="19"/>
        <v>0</v>
      </c>
      <c r="BA66" s="343">
        <f t="shared" si="19"/>
        <v>0</v>
      </c>
      <c r="BB66" s="343">
        <f t="shared" si="19"/>
        <v>150000</v>
      </c>
      <c r="BC66" s="343">
        <f t="shared" si="19"/>
        <v>0</v>
      </c>
      <c r="BD66" s="343">
        <f t="shared" si="19"/>
        <v>150000</v>
      </c>
      <c r="BE66" s="343">
        <f t="shared" si="4"/>
        <v>764648300</v>
      </c>
      <c r="BF66" s="343">
        <f t="shared" si="5"/>
        <v>374847200</v>
      </c>
      <c r="BG66" s="343">
        <f t="shared" si="6"/>
        <v>389801100</v>
      </c>
      <c r="BI66" s="346" t="str">
        <f t="shared" si="7"/>
        <v>1.05 - GASTOS DE VIAJE Y DE TRANSPORTE</v>
      </c>
      <c r="BJ66" s="346">
        <v>1</v>
      </c>
      <c r="BK66" s="1120">
        <f t="shared" si="8"/>
        <v>25883600</v>
      </c>
    </row>
    <row r="67" spans="1:63" s="344" customFormat="1" outlineLevel="1" x14ac:dyDescent="0.25">
      <c r="A67" s="340" t="s">
        <v>1206</v>
      </c>
      <c r="B67" s="340" t="s">
        <v>1207</v>
      </c>
      <c r="C67" s="342">
        <v>622700</v>
      </c>
      <c r="D67" s="342">
        <v>58100</v>
      </c>
      <c r="E67" s="342">
        <v>683300</v>
      </c>
      <c r="F67" s="342">
        <v>1044200</v>
      </c>
      <c r="G67" s="342">
        <v>380000</v>
      </c>
      <c r="H67" s="342"/>
      <c r="I67" s="342">
        <v>1064700</v>
      </c>
      <c r="J67" s="342">
        <v>781800</v>
      </c>
      <c r="K67" s="342">
        <f>2830400+1900000</f>
        <v>4730400</v>
      </c>
      <c r="L67" s="342">
        <v>6254300</v>
      </c>
      <c r="M67" s="342">
        <v>545400</v>
      </c>
      <c r="N67" s="342">
        <v>174600</v>
      </c>
      <c r="O67" s="342">
        <v>251700</v>
      </c>
      <c r="P67" s="342">
        <v>3891800</v>
      </c>
      <c r="Q67" s="342">
        <v>468900</v>
      </c>
      <c r="R67" s="342">
        <f t="shared" si="0"/>
        <v>20951900</v>
      </c>
      <c r="S67" s="342">
        <f>2100400+400000</f>
        <v>2500400</v>
      </c>
      <c r="T67" s="342">
        <f t="shared" si="1"/>
        <v>2500400</v>
      </c>
      <c r="U67" s="342">
        <f>1706800+1100000</f>
        <v>2806800</v>
      </c>
      <c r="V67" s="342">
        <v>1840800</v>
      </c>
      <c r="W67" s="342">
        <v>810700</v>
      </c>
      <c r="X67" s="342">
        <v>21252400</v>
      </c>
      <c r="Y67" s="342">
        <v>702600</v>
      </c>
      <c r="Z67" s="342">
        <v>1251300</v>
      </c>
      <c r="AA67" s="342">
        <v>3664300</v>
      </c>
      <c r="AB67" s="342">
        <v>552700</v>
      </c>
      <c r="AC67" s="342">
        <v>29700</v>
      </c>
      <c r="AD67" s="342">
        <f>1453600+1100000</f>
        <v>2553600</v>
      </c>
      <c r="AE67" s="342">
        <v>6950100</v>
      </c>
      <c r="AF67" s="342">
        <v>23517900</v>
      </c>
      <c r="AG67" s="342">
        <v>707100</v>
      </c>
      <c r="AH67" s="342">
        <v>577700</v>
      </c>
      <c r="AI67" s="359">
        <v>310000</v>
      </c>
      <c r="AJ67" s="342"/>
      <c r="AK67" s="342">
        <v>690300</v>
      </c>
      <c r="AL67" s="342">
        <v>442200</v>
      </c>
      <c r="AM67" s="342">
        <v>0</v>
      </c>
      <c r="AN67" s="342">
        <v>1200</v>
      </c>
      <c r="AO67" s="342">
        <v>1059400</v>
      </c>
      <c r="AP67" s="342">
        <v>317900</v>
      </c>
      <c r="AQ67" s="342">
        <v>54800</v>
      </c>
      <c r="AR67" s="342">
        <v>0</v>
      </c>
      <c r="AS67" s="342">
        <f>3828200+900000</f>
        <v>4728200</v>
      </c>
      <c r="AT67" s="342">
        <v>3208700</v>
      </c>
      <c r="AU67" s="342">
        <v>626200</v>
      </c>
      <c r="AV67" s="342">
        <f t="shared" si="2"/>
        <v>78656600</v>
      </c>
      <c r="AW67" s="342">
        <f>341800+120000</f>
        <v>461800</v>
      </c>
      <c r="AX67" s="342">
        <v>662400</v>
      </c>
      <c r="AY67" s="342">
        <v>256000</v>
      </c>
      <c r="AZ67" s="342">
        <v>289000</v>
      </c>
      <c r="BA67" s="342">
        <v>328800</v>
      </c>
      <c r="BB67" s="342"/>
      <c r="BC67" s="342"/>
      <c r="BD67" s="342">
        <f t="shared" si="3"/>
        <v>1998000</v>
      </c>
      <c r="BE67" s="342">
        <f t="shared" si="4"/>
        <v>104106900</v>
      </c>
      <c r="BF67" s="342">
        <f t="shared" si="5"/>
        <v>8021400</v>
      </c>
      <c r="BG67" s="342">
        <f t="shared" si="6"/>
        <v>96085500</v>
      </c>
      <c r="BH67" s="346" t="s">
        <v>160</v>
      </c>
      <c r="BI67" s="346" t="str">
        <f t="shared" si="7"/>
        <v>Seguro de Riesgos del Trabajo (INS)</v>
      </c>
      <c r="BJ67" s="346">
        <v>1</v>
      </c>
      <c r="BK67" s="1120">
        <f t="shared" si="8"/>
        <v>20951900</v>
      </c>
    </row>
    <row r="68" spans="1:63" s="344" customFormat="1" outlineLevel="1" x14ac:dyDescent="0.25">
      <c r="A68" s="340"/>
      <c r="B68" s="341" t="s">
        <v>1208</v>
      </c>
      <c r="C68" s="343">
        <f>+C67</f>
        <v>622700</v>
      </c>
      <c r="D68" s="343">
        <f t="shared" ref="D68:BD68" si="20">+D67</f>
        <v>58100</v>
      </c>
      <c r="E68" s="343">
        <f t="shared" si="20"/>
        <v>683300</v>
      </c>
      <c r="F68" s="343">
        <f t="shared" si="20"/>
        <v>1044200</v>
      </c>
      <c r="G68" s="343">
        <f t="shared" si="20"/>
        <v>380000</v>
      </c>
      <c r="H68" s="343">
        <f t="shared" si="20"/>
        <v>0</v>
      </c>
      <c r="I68" s="343">
        <f t="shared" si="20"/>
        <v>1064700</v>
      </c>
      <c r="J68" s="343">
        <f t="shared" si="20"/>
        <v>781800</v>
      </c>
      <c r="K68" s="343">
        <f t="shared" si="20"/>
        <v>4730400</v>
      </c>
      <c r="L68" s="343">
        <f t="shared" si="20"/>
        <v>6254300</v>
      </c>
      <c r="M68" s="343">
        <f t="shared" si="20"/>
        <v>545400</v>
      </c>
      <c r="N68" s="343">
        <f t="shared" si="20"/>
        <v>174600</v>
      </c>
      <c r="O68" s="343">
        <f t="shared" si="20"/>
        <v>251700</v>
      </c>
      <c r="P68" s="343">
        <f t="shared" si="20"/>
        <v>3891800</v>
      </c>
      <c r="Q68" s="343">
        <f t="shared" si="20"/>
        <v>468900</v>
      </c>
      <c r="R68" s="343">
        <f t="shared" si="20"/>
        <v>20951900</v>
      </c>
      <c r="S68" s="343">
        <f t="shared" si="20"/>
        <v>2500400</v>
      </c>
      <c r="T68" s="343">
        <f t="shared" si="20"/>
        <v>2500400</v>
      </c>
      <c r="U68" s="343">
        <f t="shared" si="20"/>
        <v>2806800</v>
      </c>
      <c r="V68" s="343">
        <f t="shared" si="20"/>
        <v>1840800</v>
      </c>
      <c r="W68" s="343">
        <f t="shared" si="20"/>
        <v>810700</v>
      </c>
      <c r="X68" s="343">
        <f t="shared" si="20"/>
        <v>21252400</v>
      </c>
      <c r="Y68" s="343">
        <f t="shared" si="20"/>
        <v>702600</v>
      </c>
      <c r="Z68" s="343">
        <f t="shared" si="20"/>
        <v>1251300</v>
      </c>
      <c r="AA68" s="343">
        <f t="shared" si="20"/>
        <v>3664300</v>
      </c>
      <c r="AB68" s="343">
        <f t="shared" si="20"/>
        <v>552700</v>
      </c>
      <c r="AC68" s="343">
        <f t="shared" si="20"/>
        <v>29700</v>
      </c>
      <c r="AD68" s="343">
        <f t="shared" si="20"/>
        <v>2553600</v>
      </c>
      <c r="AE68" s="343">
        <f t="shared" si="20"/>
        <v>6950100</v>
      </c>
      <c r="AF68" s="343">
        <f t="shared" si="20"/>
        <v>23517900</v>
      </c>
      <c r="AG68" s="343">
        <f t="shared" si="20"/>
        <v>707100</v>
      </c>
      <c r="AH68" s="343">
        <f t="shared" si="20"/>
        <v>577700</v>
      </c>
      <c r="AI68" s="343">
        <f t="shared" si="20"/>
        <v>310000</v>
      </c>
      <c r="AJ68" s="343">
        <f t="shared" si="20"/>
        <v>0</v>
      </c>
      <c r="AK68" s="343">
        <f t="shared" si="20"/>
        <v>690300</v>
      </c>
      <c r="AL68" s="343">
        <f t="shared" si="20"/>
        <v>442200</v>
      </c>
      <c r="AM68" s="343">
        <f t="shared" si="20"/>
        <v>0</v>
      </c>
      <c r="AN68" s="343">
        <f t="shared" si="20"/>
        <v>1200</v>
      </c>
      <c r="AO68" s="343">
        <f t="shared" si="20"/>
        <v>1059400</v>
      </c>
      <c r="AP68" s="343">
        <f t="shared" si="20"/>
        <v>317900</v>
      </c>
      <c r="AQ68" s="343">
        <f t="shared" si="20"/>
        <v>54800</v>
      </c>
      <c r="AR68" s="343">
        <f t="shared" si="20"/>
        <v>0</v>
      </c>
      <c r="AS68" s="343">
        <f t="shared" si="20"/>
        <v>4728200</v>
      </c>
      <c r="AT68" s="343">
        <f t="shared" si="20"/>
        <v>3208700</v>
      </c>
      <c r="AU68" s="343">
        <f t="shared" si="20"/>
        <v>626200</v>
      </c>
      <c r="AV68" s="343">
        <f t="shared" si="20"/>
        <v>78656600</v>
      </c>
      <c r="AW68" s="343">
        <f t="shared" si="20"/>
        <v>461800</v>
      </c>
      <c r="AX68" s="343">
        <f t="shared" si="20"/>
        <v>662400</v>
      </c>
      <c r="AY68" s="343">
        <f t="shared" si="20"/>
        <v>256000</v>
      </c>
      <c r="AZ68" s="343">
        <f t="shared" si="20"/>
        <v>289000</v>
      </c>
      <c r="BA68" s="343">
        <f t="shared" si="20"/>
        <v>328800</v>
      </c>
      <c r="BB68" s="343">
        <f t="shared" si="20"/>
        <v>0</v>
      </c>
      <c r="BC68" s="343">
        <f t="shared" si="20"/>
        <v>0</v>
      </c>
      <c r="BD68" s="343">
        <f t="shared" si="20"/>
        <v>1998000</v>
      </c>
      <c r="BE68" s="343">
        <f t="shared" si="4"/>
        <v>104106900</v>
      </c>
      <c r="BF68" s="343">
        <f t="shared" si="5"/>
        <v>8021400</v>
      </c>
      <c r="BG68" s="343">
        <f t="shared" si="6"/>
        <v>96085500</v>
      </c>
      <c r="BI68" s="346" t="str">
        <f t="shared" si="7"/>
        <v>1.06 - SEGUROS, REASEGUROS Y OTRAS OBLIGACIONES</v>
      </c>
      <c r="BJ68" s="346">
        <v>1</v>
      </c>
      <c r="BK68" s="1120">
        <f t="shared" si="8"/>
        <v>20951900</v>
      </c>
    </row>
    <row r="69" spans="1:63" s="344" customFormat="1" x14ac:dyDescent="0.25">
      <c r="A69" s="340" t="s">
        <v>164</v>
      </c>
      <c r="B69" s="340" t="s">
        <v>165</v>
      </c>
      <c r="C69" s="342">
        <v>3800000</v>
      </c>
      <c r="D69" s="342"/>
      <c r="E69" s="342">
        <v>8000000</v>
      </c>
      <c r="F69" s="342"/>
      <c r="G69" s="342"/>
      <c r="H69" s="342"/>
      <c r="I69" s="342"/>
      <c r="J69" s="342"/>
      <c r="K69" s="342">
        <f>50600000+9400000+10000000</f>
        <v>70000000</v>
      </c>
      <c r="L69" s="342"/>
      <c r="M69" s="342"/>
      <c r="N69" s="342"/>
      <c r="O69" s="342"/>
      <c r="P69" s="342"/>
      <c r="Q69" s="342"/>
      <c r="R69" s="342">
        <f t="shared" si="0"/>
        <v>81800000</v>
      </c>
      <c r="S69" s="342">
        <v>1000000</v>
      </c>
      <c r="T69" s="342">
        <f t="shared" si="1"/>
        <v>1000000</v>
      </c>
      <c r="U69" s="342"/>
      <c r="V69" s="342">
        <v>7000000</v>
      </c>
      <c r="W69" s="342">
        <v>450000</v>
      </c>
      <c r="X69" s="342">
        <v>5000000</v>
      </c>
      <c r="Y69" s="342">
        <v>3000000</v>
      </c>
      <c r="Z69" s="342"/>
      <c r="AA69" s="342"/>
      <c r="AB69" s="342"/>
      <c r="AC69" s="342"/>
      <c r="AD69" s="342"/>
      <c r="AE69" s="342"/>
      <c r="AF69" s="342">
        <v>6000000</v>
      </c>
      <c r="AG69" s="342"/>
      <c r="AH69" s="342"/>
      <c r="AJ69" s="342"/>
      <c r="AK69" s="342">
        <v>0</v>
      </c>
      <c r="AL69" s="342"/>
      <c r="AM69" s="342"/>
      <c r="AN69" s="342"/>
      <c r="AO69" s="342"/>
      <c r="AP69" s="342">
        <v>1000000</v>
      </c>
      <c r="AQ69" s="358">
        <v>720000</v>
      </c>
      <c r="AR69" s="342"/>
      <c r="AS69" s="342">
        <v>0</v>
      </c>
      <c r="AT69" s="342"/>
      <c r="AU69" s="342"/>
      <c r="AV69" s="342">
        <f t="shared" si="2"/>
        <v>23170000</v>
      </c>
      <c r="AW69" s="342"/>
      <c r="AX69" s="342"/>
      <c r="AY69" s="342"/>
      <c r="AZ69" s="342"/>
      <c r="BA69" s="342"/>
      <c r="BB69" s="342"/>
      <c r="BC69" s="342"/>
      <c r="BD69" s="342">
        <f t="shared" si="3"/>
        <v>0</v>
      </c>
      <c r="BE69" s="342">
        <f t="shared" si="4"/>
        <v>105970000</v>
      </c>
      <c r="BF69" s="342">
        <f t="shared" si="5"/>
        <v>720000</v>
      </c>
      <c r="BG69" s="342">
        <f t="shared" si="6"/>
        <v>105250000</v>
      </c>
      <c r="BH69" s="346" t="s">
        <v>164</v>
      </c>
      <c r="BI69" s="346" t="str">
        <f t="shared" si="7"/>
        <v>Actividades de Capacitación</v>
      </c>
      <c r="BJ69" s="346">
        <v>1</v>
      </c>
      <c r="BK69" s="1120">
        <f t="shared" si="8"/>
        <v>81800000</v>
      </c>
    </row>
    <row r="70" spans="1:63" s="344" customFormat="1" x14ac:dyDescent="0.25">
      <c r="A70" s="340"/>
      <c r="B70" s="340"/>
      <c r="C70" s="342"/>
      <c r="D70" s="342"/>
      <c r="E70" s="342"/>
      <c r="F70" s="342"/>
      <c r="G70" s="342"/>
      <c r="H70" s="342"/>
      <c r="I70" s="342"/>
      <c r="J70" s="342"/>
      <c r="K70" s="342"/>
      <c r="L70" s="342"/>
      <c r="M70" s="342"/>
      <c r="N70" s="342"/>
      <c r="O70" s="342"/>
      <c r="P70" s="342"/>
      <c r="Q70" s="342"/>
      <c r="R70" s="342">
        <f t="shared" si="0"/>
        <v>0</v>
      </c>
      <c r="S70" s="342"/>
      <c r="T70" s="342">
        <f t="shared" si="1"/>
        <v>0</v>
      </c>
      <c r="U70" s="342"/>
      <c r="V70" s="342"/>
      <c r="W70" s="342"/>
      <c r="X70" s="342"/>
      <c r="Y70" s="342"/>
      <c r="Z70" s="342"/>
      <c r="AA70" s="342"/>
      <c r="AB70" s="342"/>
      <c r="AC70" s="342"/>
      <c r="AD70" s="342"/>
      <c r="AE70" s="342"/>
      <c r="AF70" s="342"/>
      <c r="AG70" s="342"/>
      <c r="AH70" s="342"/>
      <c r="AI70" s="342"/>
      <c r="AJ70" s="342"/>
      <c r="AK70" s="342">
        <v>0</v>
      </c>
      <c r="AL70" s="342"/>
      <c r="AM70" s="342"/>
      <c r="AN70" s="342"/>
      <c r="AO70" s="342"/>
      <c r="AP70" s="342"/>
      <c r="AQ70" s="342"/>
      <c r="AR70" s="342"/>
      <c r="AS70" s="342">
        <v>0</v>
      </c>
      <c r="AT70" s="342"/>
      <c r="AU70" s="342"/>
      <c r="AV70" s="342">
        <f t="shared" si="2"/>
        <v>0</v>
      </c>
      <c r="AW70" s="342"/>
      <c r="AX70" s="342"/>
      <c r="AY70" s="342"/>
      <c r="AZ70" s="342"/>
      <c r="BA70" s="342"/>
      <c r="BB70" s="342"/>
      <c r="BC70" s="342"/>
      <c r="BD70" s="342">
        <f t="shared" si="3"/>
        <v>0</v>
      </c>
      <c r="BE70" s="342">
        <f t="shared" si="4"/>
        <v>0</v>
      </c>
      <c r="BF70" s="342">
        <f t="shared" si="5"/>
        <v>0</v>
      </c>
      <c r="BG70" s="342">
        <f t="shared" si="6"/>
        <v>0</v>
      </c>
      <c r="BI70" s="346">
        <f t="shared" si="7"/>
        <v>0</v>
      </c>
      <c r="BJ70" s="346">
        <v>1</v>
      </c>
      <c r="BK70" s="1120">
        <f t="shared" si="8"/>
        <v>0</v>
      </c>
    </row>
    <row r="71" spans="1:63" s="344" customFormat="1" x14ac:dyDescent="0.25">
      <c r="A71" s="340" t="s">
        <v>168</v>
      </c>
      <c r="B71" s="340" t="s">
        <v>169</v>
      </c>
      <c r="C71" s="342">
        <v>150000</v>
      </c>
      <c r="D71" s="342"/>
      <c r="E71" s="342"/>
      <c r="F71" s="342"/>
      <c r="G71" s="342"/>
      <c r="H71" s="342"/>
      <c r="I71" s="342"/>
      <c r="J71" s="342"/>
      <c r="K71" s="342"/>
      <c r="L71" s="342"/>
      <c r="M71" s="342"/>
      <c r="N71" s="342"/>
      <c r="O71" s="342"/>
      <c r="P71" s="342"/>
      <c r="Q71" s="342"/>
      <c r="R71" s="342">
        <f t="shared" si="0"/>
        <v>150000</v>
      </c>
      <c r="S71" s="342"/>
      <c r="T71" s="342">
        <f t="shared" si="1"/>
        <v>0</v>
      </c>
      <c r="U71" s="342"/>
      <c r="V71" s="342"/>
      <c r="W71" s="342"/>
      <c r="X71" s="342"/>
      <c r="Y71" s="342"/>
      <c r="Z71" s="342"/>
      <c r="AA71" s="342"/>
      <c r="AB71" s="342"/>
      <c r="AC71" s="342"/>
      <c r="AD71" s="342"/>
      <c r="AE71" s="342"/>
      <c r="AF71" s="342"/>
      <c r="AG71" s="342"/>
      <c r="AH71" s="342"/>
      <c r="AI71" s="342"/>
      <c r="AJ71" s="342"/>
      <c r="AK71" s="342">
        <v>0</v>
      </c>
      <c r="AL71" s="342"/>
      <c r="AM71" s="342"/>
      <c r="AN71" s="342"/>
      <c r="AO71" s="342"/>
      <c r="AP71" s="342"/>
      <c r="AQ71" s="342"/>
      <c r="AR71" s="342"/>
      <c r="AS71" s="342">
        <v>0</v>
      </c>
      <c r="AT71" s="342"/>
      <c r="AU71" s="342"/>
      <c r="AV71" s="342">
        <f t="shared" si="2"/>
        <v>0</v>
      </c>
      <c r="AW71" s="342"/>
      <c r="AX71" s="342"/>
      <c r="AY71" s="342"/>
      <c r="AZ71" s="342"/>
      <c r="BA71" s="342"/>
      <c r="BB71" s="342"/>
      <c r="BC71" s="342"/>
      <c r="BD71" s="342">
        <f t="shared" si="3"/>
        <v>0</v>
      </c>
      <c r="BE71" s="342">
        <f t="shared" si="4"/>
        <v>150000</v>
      </c>
      <c r="BF71" s="342">
        <f t="shared" si="5"/>
        <v>0</v>
      </c>
      <c r="BG71" s="342">
        <f t="shared" si="6"/>
        <v>150000</v>
      </c>
      <c r="BH71" s="346" t="s">
        <v>168</v>
      </c>
      <c r="BI71" s="346" t="str">
        <f t="shared" si="7"/>
        <v>Gastos de Representación Institucional</v>
      </c>
      <c r="BJ71" s="346">
        <v>1</v>
      </c>
      <c r="BK71" s="1120">
        <f t="shared" si="8"/>
        <v>150000</v>
      </c>
    </row>
    <row r="72" spans="1:63" s="344" customFormat="1" x14ac:dyDescent="0.25">
      <c r="A72" s="340"/>
      <c r="B72" s="341" t="s">
        <v>1209</v>
      </c>
      <c r="C72" s="343">
        <f>SUM(C69:C71)</f>
        <v>3950000</v>
      </c>
      <c r="D72" s="343">
        <f t="shared" ref="D72:BD72" si="21">SUM(D69:D71)</f>
        <v>0</v>
      </c>
      <c r="E72" s="343">
        <f t="shared" si="21"/>
        <v>8000000</v>
      </c>
      <c r="F72" s="343">
        <f t="shared" si="21"/>
        <v>0</v>
      </c>
      <c r="G72" s="343">
        <f t="shared" si="21"/>
        <v>0</v>
      </c>
      <c r="H72" s="343">
        <f t="shared" si="21"/>
        <v>0</v>
      </c>
      <c r="I72" s="343">
        <f t="shared" si="21"/>
        <v>0</v>
      </c>
      <c r="J72" s="343">
        <f t="shared" si="21"/>
        <v>0</v>
      </c>
      <c r="K72" s="343">
        <f t="shared" si="21"/>
        <v>70000000</v>
      </c>
      <c r="L72" s="343">
        <f t="shared" si="21"/>
        <v>0</v>
      </c>
      <c r="M72" s="343">
        <f t="shared" si="21"/>
        <v>0</v>
      </c>
      <c r="N72" s="343">
        <f t="shared" si="21"/>
        <v>0</v>
      </c>
      <c r="O72" s="343">
        <f t="shared" si="21"/>
        <v>0</v>
      </c>
      <c r="P72" s="343">
        <f t="shared" si="21"/>
        <v>0</v>
      </c>
      <c r="Q72" s="343">
        <f t="shared" si="21"/>
        <v>0</v>
      </c>
      <c r="R72" s="343">
        <f t="shared" si="21"/>
        <v>81950000</v>
      </c>
      <c r="S72" s="343">
        <f t="shared" si="21"/>
        <v>1000000</v>
      </c>
      <c r="T72" s="343">
        <f t="shared" si="21"/>
        <v>1000000</v>
      </c>
      <c r="U72" s="343">
        <f t="shared" si="21"/>
        <v>0</v>
      </c>
      <c r="V72" s="343">
        <f t="shared" si="21"/>
        <v>7000000</v>
      </c>
      <c r="W72" s="343">
        <f t="shared" si="21"/>
        <v>450000</v>
      </c>
      <c r="X72" s="343">
        <f t="shared" si="21"/>
        <v>5000000</v>
      </c>
      <c r="Y72" s="343">
        <f t="shared" si="21"/>
        <v>3000000</v>
      </c>
      <c r="Z72" s="343">
        <f t="shared" si="21"/>
        <v>0</v>
      </c>
      <c r="AA72" s="343">
        <f t="shared" si="21"/>
        <v>0</v>
      </c>
      <c r="AB72" s="343">
        <f t="shared" si="21"/>
        <v>0</v>
      </c>
      <c r="AC72" s="343">
        <f t="shared" si="21"/>
        <v>0</v>
      </c>
      <c r="AD72" s="343">
        <f t="shared" si="21"/>
        <v>0</v>
      </c>
      <c r="AE72" s="343">
        <f t="shared" si="21"/>
        <v>0</v>
      </c>
      <c r="AF72" s="343">
        <f t="shared" si="21"/>
        <v>6000000</v>
      </c>
      <c r="AG72" s="343">
        <f t="shared" si="21"/>
        <v>0</v>
      </c>
      <c r="AH72" s="343">
        <f t="shared" si="21"/>
        <v>0</v>
      </c>
      <c r="AI72" s="343">
        <f t="shared" si="21"/>
        <v>0</v>
      </c>
      <c r="AJ72" s="343">
        <f t="shared" si="21"/>
        <v>0</v>
      </c>
      <c r="AK72" s="343">
        <f t="shared" si="21"/>
        <v>0</v>
      </c>
      <c r="AL72" s="343">
        <f t="shared" si="21"/>
        <v>0</v>
      </c>
      <c r="AM72" s="343">
        <f t="shared" si="21"/>
        <v>0</v>
      </c>
      <c r="AN72" s="343">
        <f t="shared" si="21"/>
        <v>0</v>
      </c>
      <c r="AO72" s="343">
        <f t="shared" si="21"/>
        <v>0</v>
      </c>
      <c r="AP72" s="343">
        <f t="shared" si="21"/>
        <v>1000000</v>
      </c>
      <c r="AQ72" s="343">
        <f t="shared" si="21"/>
        <v>720000</v>
      </c>
      <c r="AR72" s="343">
        <f t="shared" si="21"/>
        <v>0</v>
      </c>
      <c r="AS72" s="343">
        <f t="shared" si="21"/>
        <v>0</v>
      </c>
      <c r="AT72" s="343">
        <f t="shared" si="21"/>
        <v>0</v>
      </c>
      <c r="AU72" s="343">
        <f t="shared" si="21"/>
        <v>0</v>
      </c>
      <c r="AV72" s="343">
        <f t="shared" si="21"/>
        <v>23170000</v>
      </c>
      <c r="AW72" s="343">
        <f t="shared" si="21"/>
        <v>0</v>
      </c>
      <c r="AX72" s="343">
        <f t="shared" si="21"/>
        <v>0</v>
      </c>
      <c r="AY72" s="343">
        <f t="shared" si="21"/>
        <v>0</v>
      </c>
      <c r="AZ72" s="343">
        <f t="shared" si="21"/>
        <v>0</v>
      </c>
      <c r="BA72" s="343">
        <f t="shared" si="21"/>
        <v>0</v>
      </c>
      <c r="BB72" s="343">
        <f t="shared" si="21"/>
        <v>0</v>
      </c>
      <c r="BC72" s="343">
        <f t="shared" si="21"/>
        <v>0</v>
      </c>
      <c r="BD72" s="343">
        <f t="shared" si="21"/>
        <v>0</v>
      </c>
      <c r="BE72" s="343">
        <f t="shared" si="4"/>
        <v>106120000</v>
      </c>
      <c r="BF72" s="343">
        <f t="shared" si="5"/>
        <v>720000</v>
      </c>
      <c r="BG72" s="343">
        <f t="shared" si="6"/>
        <v>105400000</v>
      </c>
      <c r="BI72" s="346" t="str">
        <f t="shared" si="7"/>
        <v>1.07 - CAPACITACION Y PROTOCOLO</v>
      </c>
      <c r="BJ72" s="346">
        <v>1</v>
      </c>
      <c r="BK72" s="1120">
        <f t="shared" si="8"/>
        <v>81950000</v>
      </c>
    </row>
    <row r="73" spans="1:63" s="344" customFormat="1" x14ac:dyDescent="0.25">
      <c r="A73" s="340" t="s">
        <v>172</v>
      </c>
      <c r="B73" s="340" t="s">
        <v>661</v>
      </c>
      <c r="C73" s="342"/>
      <c r="D73" s="342"/>
      <c r="E73" s="342"/>
      <c r="F73" s="342"/>
      <c r="G73" s="342"/>
      <c r="H73" s="342"/>
      <c r="I73" s="342"/>
      <c r="J73" s="342"/>
      <c r="K73" s="342"/>
      <c r="L73" s="342"/>
      <c r="M73" s="342">
        <v>500000</v>
      </c>
      <c r="N73" s="342"/>
      <c r="O73" s="342"/>
      <c r="P73" s="342"/>
      <c r="Q73" s="342"/>
      <c r="R73" s="342">
        <f t="shared" si="0"/>
        <v>500000</v>
      </c>
      <c r="S73" s="342"/>
      <c r="T73" s="342">
        <f t="shared" si="1"/>
        <v>0</v>
      </c>
      <c r="U73" s="342"/>
      <c r="V73" s="342"/>
      <c r="W73" s="342"/>
      <c r="X73" s="342"/>
      <c r="Y73" s="342"/>
      <c r="Z73" s="342"/>
      <c r="AA73" s="342"/>
      <c r="AB73" s="342"/>
      <c r="AC73" s="342"/>
      <c r="AD73" s="342"/>
      <c r="AE73" s="342"/>
      <c r="AF73" s="342"/>
      <c r="AG73" s="342"/>
      <c r="AH73" s="342"/>
      <c r="AI73" s="342"/>
      <c r="AJ73" s="342"/>
      <c r="AK73" s="342">
        <v>0</v>
      </c>
      <c r="AL73" s="342"/>
      <c r="AM73" s="342"/>
      <c r="AN73" s="342"/>
      <c r="AO73" s="342"/>
      <c r="AP73" s="342"/>
      <c r="AQ73" s="342"/>
      <c r="AR73" s="342"/>
      <c r="AS73" s="342">
        <v>0</v>
      </c>
      <c r="AT73" s="342"/>
      <c r="AU73" s="342"/>
      <c r="AV73" s="342">
        <f t="shared" si="2"/>
        <v>0</v>
      </c>
      <c r="AW73" s="342"/>
      <c r="AX73" s="342"/>
      <c r="AY73" s="342"/>
      <c r="AZ73" s="342"/>
      <c r="BA73" s="342"/>
      <c r="BB73" s="342"/>
      <c r="BC73" s="342"/>
      <c r="BD73" s="342">
        <f t="shared" si="3"/>
        <v>0</v>
      </c>
      <c r="BE73" s="342">
        <f t="shared" si="4"/>
        <v>500000</v>
      </c>
      <c r="BF73" s="342">
        <f t="shared" si="5"/>
        <v>0</v>
      </c>
      <c r="BG73" s="342">
        <f t="shared" si="6"/>
        <v>500000</v>
      </c>
      <c r="BH73" s="346" t="s">
        <v>172</v>
      </c>
      <c r="BI73" s="346" t="str">
        <f t="shared" si="7"/>
        <v>Mantenimiento de edificios, locales y terrenos</v>
      </c>
      <c r="BJ73" s="346">
        <v>1</v>
      </c>
      <c r="BK73" s="1120">
        <f t="shared" si="8"/>
        <v>500000</v>
      </c>
    </row>
    <row r="74" spans="1:63" s="344" customFormat="1" x14ac:dyDescent="0.25">
      <c r="A74" s="340"/>
      <c r="B74" s="340"/>
      <c r="C74" s="342"/>
      <c r="D74" s="342"/>
      <c r="E74" s="342"/>
      <c r="F74" s="342"/>
      <c r="G74" s="342"/>
      <c r="H74" s="342"/>
      <c r="I74" s="342"/>
      <c r="J74" s="342"/>
      <c r="K74" s="342"/>
      <c r="L74" s="342"/>
      <c r="M74" s="342"/>
      <c r="N74" s="342"/>
      <c r="O74" s="342"/>
      <c r="P74" s="342"/>
      <c r="Q74" s="342"/>
      <c r="R74" s="342">
        <f t="shared" si="0"/>
        <v>0</v>
      </c>
      <c r="S74" s="342"/>
      <c r="T74" s="342">
        <f t="shared" si="1"/>
        <v>0</v>
      </c>
      <c r="U74" s="342"/>
      <c r="V74" s="342"/>
      <c r="W74" s="342"/>
      <c r="X74" s="342"/>
      <c r="Y74" s="342"/>
      <c r="Z74" s="342"/>
      <c r="AA74" s="342"/>
      <c r="AB74" s="342"/>
      <c r="AC74" s="342"/>
      <c r="AD74" s="342"/>
      <c r="AE74" s="342"/>
      <c r="AF74" s="342"/>
      <c r="AG74" s="342"/>
      <c r="AH74" s="342"/>
      <c r="AI74" s="342"/>
      <c r="AJ74" s="342"/>
      <c r="AK74" s="342">
        <v>0</v>
      </c>
      <c r="AL74" s="342"/>
      <c r="AM74" s="342"/>
      <c r="AN74" s="342"/>
      <c r="AO74" s="342"/>
      <c r="AP74" s="342"/>
      <c r="AQ74" s="342"/>
      <c r="AR74" s="342"/>
      <c r="AS74" s="342">
        <v>0</v>
      </c>
      <c r="AT74" s="342"/>
      <c r="AU74" s="342"/>
      <c r="AV74" s="342">
        <f t="shared" si="2"/>
        <v>0</v>
      </c>
      <c r="AW74" s="342"/>
      <c r="AX74" s="342"/>
      <c r="AY74" s="342"/>
      <c r="AZ74" s="342"/>
      <c r="BA74" s="342"/>
      <c r="BB74" s="342"/>
      <c r="BC74" s="342"/>
      <c r="BD74" s="342">
        <f t="shared" si="3"/>
        <v>0</v>
      </c>
      <c r="BE74" s="342">
        <f t="shared" si="4"/>
        <v>0</v>
      </c>
      <c r="BF74" s="342">
        <f t="shared" si="5"/>
        <v>0</v>
      </c>
      <c r="BG74" s="342">
        <f t="shared" si="6"/>
        <v>0</v>
      </c>
      <c r="BI74" s="346">
        <f t="shared" si="7"/>
        <v>0</v>
      </c>
      <c r="BJ74" s="346">
        <v>1</v>
      </c>
      <c r="BK74" s="1120">
        <f t="shared" si="8"/>
        <v>0</v>
      </c>
    </row>
    <row r="75" spans="1:63" s="344" customFormat="1" x14ac:dyDescent="0.25">
      <c r="A75" s="340"/>
      <c r="B75" s="340"/>
      <c r="C75" s="342"/>
      <c r="D75" s="342"/>
      <c r="E75" s="342"/>
      <c r="F75" s="342"/>
      <c r="G75" s="342"/>
      <c r="H75" s="342"/>
      <c r="I75" s="342"/>
      <c r="J75" s="342"/>
      <c r="K75" s="342"/>
      <c r="L75" s="342"/>
      <c r="M75" s="342"/>
      <c r="N75" s="342"/>
      <c r="O75" s="342"/>
      <c r="P75" s="342"/>
      <c r="Q75" s="342"/>
      <c r="R75" s="342">
        <f t="shared" ref="R75:R133" si="22">SUM(C75:Q75)</f>
        <v>0</v>
      </c>
      <c r="S75" s="342"/>
      <c r="T75" s="342">
        <f t="shared" ref="T75:T133" si="23">+S75</f>
        <v>0</v>
      </c>
      <c r="U75" s="342"/>
      <c r="V75" s="342"/>
      <c r="W75" s="342"/>
      <c r="X75" s="342"/>
      <c r="Y75" s="342"/>
      <c r="Z75" s="342"/>
      <c r="AA75" s="342"/>
      <c r="AB75" s="342"/>
      <c r="AC75" s="342"/>
      <c r="AD75" s="342"/>
      <c r="AE75" s="342"/>
      <c r="AF75" s="342"/>
      <c r="AG75" s="342"/>
      <c r="AH75" s="342"/>
      <c r="AI75" s="342"/>
      <c r="AJ75" s="342"/>
      <c r="AK75" s="342">
        <v>0</v>
      </c>
      <c r="AL75" s="342"/>
      <c r="AM75" s="342"/>
      <c r="AN75" s="342"/>
      <c r="AO75" s="342"/>
      <c r="AP75" s="342"/>
      <c r="AQ75" s="342"/>
      <c r="AR75" s="342"/>
      <c r="AS75" s="342">
        <v>0</v>
      </c>
      <c r="AT75" s="342"/>
      <c r="AU75" s="342"/>
      <c r="AV75" s="342">
        <f t="shared" ref="AV75:AV133" si="24">SUM(U75:AU75)</f>
        <v>0</v>
      </c>
      <c r="AW75" s="342"/>
      <c r="AX75" s="342"/>
      <c r="AY75" s="342"/>
      <c r="AZ75" s="342"/>
      <c r="BA75" s="342"/>
      <c r="BB75" s="342"/>
      <c r="BC75" s="342"/>
      <c r="BD75" s="342">
        <f t="shared" ref="BD75:BD133" si="25">SUM(AW75:BC75)</f>
        <v>0</v>
      </c>
      <c r="BE75" s="342">
        <f t="shared" ref="BE75:BE136" si="26">+BD75+AV75+T75+R75</f>
        <v>0</v>
      </c>
      <c r="BF75" s="342">
        <f t="shared" ref="BF75:BF136" si="27">+AC75+AS75+AT75+AR75+AQ75</f>
        <v>0</v>
      </c>
      <c r="BG75" s="342">
        <f t="shared" ref="BG75:BG136" si="28">+BE75-BF75</f>
        <v>0</v>
      </c>
      <c r="BI75" s="346">
        <f t="shared" ref="BI75:BI136" si="29">+B75</f>
        <v>0</v>
      </c>
      <c r="BJ75" s="346">
        <v>1</v>
      </c>
      <c r="BK75" s="1120">
        <f t="shared" ref="BK75:BK136" si="30">+R75</f>
        <v>0</v>
      </c>
    </row>
    <row r="76" spans="1:63" s="344" customFormat="1" x14ac:dyDescent="0.25">
      <c r="A76" s="340" t="s">
        <v>176</v>
      </c>
      <c r="B76" s="340" t="s">
        <v>1210</v>
      </c>
      <c r="C76" s="342"/>
      <c r="D76" s="342"/>
      <c r="E76" s="342"/>
      <c r="F76" s="342"/>
      <c r="G76" s="342"/>
      <c r="H76" s="342"/>
      <c r="I76" s="342"/>
      <c r="J76" s="342"/>
      <c r="K76" s="342"/>
      <c r="L76" s="342">
        <v>1340000</v>
      </c>
      <c r="M76" s="342"/>
      <c r="N76" s="342"/>
      <c r="O76" s="342"/>
      <c r="P76" s="342"/>
      <c r="Q76" s="342"/>
      <c r="R76" s="342">
        <f t="shared" si="22"/>
        <v>1340000</v>
      </c>
      <c r="S76" s="342"/>
      <c r="T76" s="342">
        <f t="shared" si="23"/>
        <v>0</v>
      </c>
      <c r="U76" s="342">
        <v>17420000</v>
      </c>
      <c r="V76" s="342"/>
      <c r="W76" s="342"/>
      <c r="X76" s="342">
        <v>1900000</v>
      </c>
      <c r="Y76" s="342"/>
      <c r="Z76" s="342"/>
      <c r="AA76" s="342"/>
      <c r="AB76" s="342"/>
      <c r="AC76" s="342"/>
      <c r="AD76" s="342">
        <v>26280000</v>
      </c>
      <c r="AE76" s="342"/>
      <c r="AF76" s="342"/>
      <c r="AG76" s="342"/>
      <c r="AH76" s="342"/>
      <c r="AI76" s="342"/>
      <c r="AJ76" s="342"/>
      <c r="AK76" s="344">
        <v>0</v>
      </c>
      <c r="AL76" s="342"/>
      <c r="AM76" s="342"/>
      <c r="AN76" s="342"/>
      <c r="AO76" s="358">
        <v>0</v>
      </c>
      <c r="AP76" s="342"/>
      <c r="AQ76" s="342"/>
      <c r="AR76" s="342"/>
      <c r="AS76" s="342">
        <v>24580000</v>
      </c>
      <c r="AT76" s="342">
        <v>2680000</v>
      </c>
      <c r="AU76" s="342"/>
      <c r="AV76" s="342">
        <f t="shared" si="24"/>
        <v>72860000</v>
      </c>
      <c r="AW76" s="342"/>
      <c r="AX76" s="342"/>
      <c r="AY76" s="342"/>
      <c r="AZ76" s="342"/>
      <c r="BA76" s="342"/>
      <c r="BB76" s="342"/>
      <c r="BC76" s="342"/>
      <c r="BD76" s="342">
        <f t="shared" si="25"/>
        <v>0</v>
      </c>
      <c r="BE76" s="342">
        <f t="shared" si="26"/>
        <v>74200000</v>
      </c>
      <c r="BF76" s="342">
        <f t="shared" si="27"/>
        <v>27260000</v>
      </c>
      <c r="BG76" s="342">
        <f t="shared" si="28"/>
        <v>46940000</v>
      </c>
      <c r="BH76" s="346" t="s">
        <v>176</v>
      </c>
      <c r="BI76" s="346" t="str">
        <f t="shared" si="29"/>
        <v>Mantenimiento y Reparación de Equipo de Transporte</v>
      </c>
      <c r="BJ76" s="346">
        <v>1</v>
      </c>
      <c r="BK76" s="1120">
        <f t="shared" si="30"/>
        <v>1340000</v>
      </c>
    </row>
    <row r="77" spans="1:63" s="336" customFormat="1" x14ac:dyDescent="0.25">
      <c r="A77" s="340" t="s">
        <v>178</v>
      </c>
      <c r="B77" s="340" t="s">
        <v>1211</v>
      </c>
      <c r="C77" s="342"/>
      <c r="D77" s="342"/>
      <c r="E77" s="342"/>
      <c r="F77" s="342"/>
      <c r="G77" s="342"/>
      <c r="H77" s="342"/>
      <c r="I77" s="342"/>
      <c r="J77" s="342"/>
      <c r="K77" s="342"/>
      <c r="L77" s="342"/>
      <c r="M77" s="342">
        <v>1600000</v>
      </c>
      <c r="N77" s="342"/>
      <c r="O77" s="342"/>
      <c r="P77" s="342">
        <v>42500000</v>
      </c>
      <c r="Q77" s="342"/>
      <c r="R77" s="342">
        <f t="shared" si="22"/>
        <v>44100000</v>
      </c>
      <c r="S77" s="342"/>
      <c r="T77" s="342">
        <f t="shared" si="23"/>
        <v>0</v>
      </c>
      <c r="U77" s="342"/>
      <c r="V77" s="342"/>
      <c r="W77" s="342"/>
      <c r="X77" s="342"/>
      <c r="Y77" s="342"/>
      <c r="Z77" s="342"/>
      <c r="AA77" s="342"/>
      <c r="AB77" s="342"/>
      <c r="AC77" s="342"/>
      <c r="AD77" s="342"/>
      <c r="AE77" s="342"/>
      <c r="AF77" s="342"/>
      <c r="AG77" s="342"/>
      <c r="AH77" s="342"/>
      <c r="AI77" s="342"/>
      <c r="AJ77" s="342"/>
      <c r="AK77" s="342">
        <v>0</v>
      </c>
      <c r="AL77" s="342"/>
      <c r="AM77" s="342"/>
      <c r="AN77" s="342"/>
      <c r="AO77" s="342"/>
      <c r="AP77" s="342"/>
      <c r="AQ77" s="342"/>
      <c r="AR77" s="342"/>
      <c r="AS77" s="342">
        <v>0</v>
      </c>
      <c r="AT77" s="342"/>
      <c r="AU77" s="342"/>
      <c r="AV77" s="342">
        <f t="shared" si="24"/>
        <v>0</v>
      </c>
      <c r="AW77" s="342"/>
      <c r="AX77" s="342"/>
      <c r="AY77" s="342"/>
      <c r="AZ77" s="342"/>
      <c r="BA77" s="342"/>
      <c r="BB77" s="342"/>
      <c r="BC77" s="342"/>
      <c r="BD77" s="342">
        <f t="shared" si="25"/>
        <v>0</v>
      </c>
      <c r="BE77" s="342">
        <f t="shared" si="26"/>
        <v>44100000</v>
      </c>
      <c r="BF77" s="342">
        <f t="shared" si="27"/>
        <v>0</v>
      </c>
      <c r="BG77" s="342">
        <f t="shared" si="28"/>
        <v>44100000</v>
      </c>
      <c r="BH77" s="346" t="s">
        <v>178</v>
      </c>
      <c r="BI77" s="346" t="str">
        <f t="shared" si="29"/>
        <v>Mantenimiento y Reparación de Equipo de Comunicación</v>
      </c>
      <c r="BJ77" s="346">
        <v>1</v>
      </c>
      <c r="BK77" s="1120">
        <f t="shared" si="30"/>
        <v>44100000</v>
      </c>
    </row>
    <row r="78" spans="1:63" x14ac:dyDescent="0.25">
      <c r="A78" s="340" t="s">
        <v>180</v>
      </c>
      <c r="B78" s="340" t="s">
        <v>1212</v>
      </c>
      <c r="C78" s="342"/>
      <c r="D78" s="342"/>
      <c r="E78" s="342"/>
      <c r="F78" s="342"/>
      <c r="G78" s="342"/>
      <c r="H78" s="342"/>
      <c r="I78" s="342"/>
      <c r="J78" s="342"/>
      <c r="K78" s="342">
        <v>100000</v>
      </c>
      <c r="L78" s="342"/>
      <c r="M78" s="342">
        <v>1500000</v>
      </c>
      <c r="N78" s="342">
        <v>1000000</v>
      </c>
      <c r="O78" s="342"/>
      <c r="P78" s="342">
        <v>3200000</v>
      </c>
      <c r="Q78" s="342"/>
      <c r="R78" s="342">
        <f t="shared" si="22"/>
        <v>5800000</v>
      </c>
      <c r="S78" s="342"/>
      <c r="T78" s="342">
        <f t="shared" si="23"/>
        <v>0</v>
      </c>
      <c r="U78" s="342"/>
      <c r="V78" s="342"/>
      <c r="W78" s="342"/>
      <c r="X78" s="342"/>
      <c r="Y78" s="342"/>
      <c r="Z78" s="342"/>
      <c r="AA78" s="342"/>
      <c r="AB78" s="342"/>
      <c r="AC78" s="342"/>
      <c r="AD78" s="342"/>
      <c r="AE78" s="342"/>
      <c r="AF78" s="342"/>
      <c r="AG78" s="342"/>
      <c r="AH78" s="342"/>
      <c r="AI78" s="342"/>
      <c r="AJ78" s="342"/>
      <c r="AK78" s="342">
        <v>0</v>
      </c>
      <c r="AL78" s="342"/>
      <c r="AM78" s="342"/>
      <c r="AN78" s="342"/>
      <c r="AO78" s="342"/>
      <c r="AP78" s="342"/>
      <c r="AQ78" s="342"/>
      <c r="AR78" s="342"/>
      <c r="AS78" s="342">
        <v>0</v>
      </c>
      <c r="AT78" s="342"/>
      <c r="AU78" s="342"/>
      <c r="AV78" s="342">
        <f t="shared" si="24"/>
        <v>0</v>
      </c>
      <c r="AW78" s="342"/>
      <c r="AX78" s="342"/>
      <c r="AY78" s="342"/>
      <c r="AZ78" s="342"/>
      <c r="BA78" s="342"/>
      <c r="BB78" s="342"/>
      <c r="BC78" s="342"/>
      <c r="BD78" s="342">
        <f t="shared" si="25"/>
        <v>0</v>
      </c>
      <c r="BE78" s="342">
        <f t="shared" si="26"/>
        <v>5800000</v>
      </c>
      <c r="BF78" s="342">
        <f t="shared" si="27"/>
        <v>0</v>
      </c>
      <c r="BG78" s="342">
        <f t="shared" si="28"/>
        <v>5800000</v>
      </c>
      <c r="BH78" s="346" t="s">
        <v>180</v>
      </c>
      <c r="BI78" s="346" t="str">
        <f t="shared" si="29"/>
        <v>Mantenimiento y Reparación de Equipo y Mobiliario de Oficina</v>
      </c>
      <c r="BJ78" s="346">
        <v>1</v>
      </c>
      <c r="BK78" s="1120">
        <f t="shared" si="30"/>
        <v>5800000</v>
      </c>
    </row>
    <row r="79" spans="1:63" ht="27.6" x14ac:dyDescent="0.25">
      <c r="A79" s="340" t="s">
        <v>182</v>
      </c>
      <c r="B79" s="340" t="s">
        <v>1213</v>
      </c>
      <c r="C79" s="342"/>
      <c r="D79" s="342"/>
      <c r="E79" s="342">
        <v>4000000</v>
      </c>
      <c r="F79" s="342"/>
      <c r="G79" s="342"/>
      <c r="H79" s="342"/>
      <c r="I79" s="342"/>
      <c r="J79" s="342"/>
      <c r="K79" s="342"/>
      <c r="L79" s="342"/>
      <c r="M79" s="342"/>
      <c r="N79" s="342"/>
      <c r="O79" s="342"/>
      <c r="P79" s="342">
        <v>35000000</v>
      </c>
      <c r="Q79" s="342"/>
      <c r="R79" s="342">
        <f t="shared" si="22"/>
        <v>39000000</v>
      </c>
      <c r="S79" s="342"/>
      <c r="T79" s="342">
        <f t="shared" si="23"/>
        <v>0</v>
      </c>
      <c r="U79" s="342"/>
      <c r="V79" s="342"/>
      <c r="W79" s="342"/>
      <c r="X79" s="342"/>
      <c r="Y79" s="342"/>
      <c r="Z79" s="342"/>
      <c r="AA79" s="342"/>
      <c r="AB79" s="342"/>
      <c r="AC79" s="342"/>
      <c r="AD79" s="342"/>
      <c r="AE79" s="342"/>
      <c r="AF79" s="342"/>
      <c r="AG79" s="342"/>
      <c r="AH79" s="342"/>
      <c r="AI79" s="342"/>
      <c r="AJ79" s="342"/>
      <c r="AK79" s="342">
        <v>0</v>
      </c>
      <c r="AL79" s="342"/>
      <c r="AM79" s="342"/>
      <c r="AN79" s="342"/>
      <c r="AO79" s="342"/>
      <c r="AP79" s="342"/>
      <c r="AQ79" s="342"/>
      <c r="AR79" s="342"/>
      <c r="AS79" s="342">
        <v>0</v>
      </c>
      <c r="AT79" s="342"/>
      <c r="AU79" s="342"/>
      <c r="AV79" s="342">
        <f t="shared" si="24"/>
        <v>0</v>
      </c>
      <c r="AW79" s="342"/>
      <c r="AX79" s="342"/>
      <c r="AY79" s="342"/>
      <c r="AZ79" s="342"/>
      <c r="BA79" s="342"/>
      <c r="BB79" s="342"/>
      <c r="BC79" s="342"/>
      <c r="BD79" s="342">
        <f t="shared" si="25"/>
        <v>0</v>
      </c>
      <c r="BE79" s="342">
        <f t="shared" si="26"/>
        <v>39000000</v>
      </c>
      <c r="BF79" s="342">
        <f t="shared" si="27"/>
        <v>0</v>
      </c>
      <c r="BG79" s="342">
        <f t="shared" si="28"/>
        <v>39000000</v>
      </c>
      <c r="BH79" s="346" t="s">
        <v>182</v>
      </c>
      <c r="BI79" s="346" t="str">
        <f t="shared" si="29"/>
        <v>Mantenimiento y reparación de equipo de cómputo y  sistemas de información</v>
      </c>
      <c r="BJ79" s="346">
        <v>1</v>
      </c>
      <c r="BK79" s="1120">
        <f t="shared" si="30"/>
        <v>39000000</v>
      </c>
    </row>
    <row r="80" spans="1:63" x14ac:dyDescent="0.25">
      <c r="A80" s="340" t="s">
        <v>183</v>
      </c>
      <c r="B80" s="340" t="s">
        <v>1267</v>
      </c>
      <c r="C80" s="342"/>
      <c r="D80" s="342"/>
      <c r="E80" s="342"/>
      <c r="F80" s="342"/>
      <c r="G80" s="342"/>
      <c r="H80" s="342"/>
      <c r="I80" s="342"/>
      <c r="J80" s="342"/>
      <c r="K80" s="342"/>
      <c r="L80" s="342"/>
      <c r="M80" s="342">
        <v>300000</v>
      </c>
      <c r="N80" s="342"/>
      <c r="O80" s="342"/>
      <c r="P80" s="342">
        <v>0</v>
      </c>
      <c r="Q80" s="342"/>
      <c r="R80" s="342">
        <f t="shared" si="22"/>
        <v>300000</v>
      </c>
      <c r="S80" s="342"/>
      <c r="T80" s="342">
        <f t="shared" si="23"/>
        <v>0</v>
      </c>
      <c r="U80" s="342"/>
      <c r="V80" s="342"/>
      <c r="W80" s="342"/>
      <c r="X80" s="342"/>
      <c r="Y80" s="342"/>
      <c r="Z80" s="342"/>
      <c r="AA80" s="342"/>
      <c r="AB80" s="342"/>
      <c r="AC80" s="342"/>
      <c r="AD80" s="342"/>
      <c r="AE80" s="342"/>
      <c r="AF80" s="342"/>
      <c r="AG80" s="342"/>
      <c r="AH80" s="342"/>
      <c r="AI80" s="342"/>
      <c r="AJ80" s="342"/>
      <c r="AK80" s="342">
        <v>0</v>
      </c>
      <c r="AL80" s="342"/>
      <c r="AM80" s="342"/>
      <c r="AN80" s="342"/>
      <c r="AO80" s="342"/>
      <c r="AP80" s="342"/>
      <c r="AQ80" s="342"/>
      <c r="AR80" s="342"/>
      <c r="AS80" s="342">
        <v>0</v>
      </c>
      <c r="AT80" s="342"/>
      <c r="AU80" s="342"/>
      <c r="AV80" s="342">
        <f t="shared" si="24"/>
        <v>0</v>
      </c>
      <c r="AW80" s="342"/>
      <c r="AX80" s="342"/>
      <c r="AY80" s="342"/>
      <c r="AZ80" s="342"/>
      <c r="BA80" s="342"/>
      <c r="BB80" s="342"/>
      <c r="BC80" s="342"/>
      <c r="BD80" s="342">
        <f t="shared" si="25"/>
        <v>0</v>
      </c>
      <c r="BE80" s="342">
        <f t="shared" si="26"/>
        <v>300000</v>
      </c>
      <c r="BF80" s="342">
        <f t="shared" si="27"/>
        <v>0</v>
      </c>
      <c r="BG80" s="342">
        <f t="shared" si="28"/>
        <v>300000</v>
      </c>
      <c r="BH80" s="346" t="s">
        <v>183</v>
      </c>
      <c r="BI80" s="346" t="str">
        <f t="shared" si="29"/>
        <v>Mantenimiento y Reparación de Otros Equipos</v>
      </c>
      <c r="BJ80" s="346">
        <v>1</v>
      </c>
      <c r="BK80" s="1120">
        <f t="shared" si="30"/>
        <v>300000</v>
      </c>
    </row>
    <row r="81" spans="1:63" x14ac:dyDescent="0.25">
      <c r="A81" s="340"/>
      <c r="B81" s="341" t="s">
        <v>1214</v>
      </c>
      <c r="C81" s="343">
        <f>SUM(C73:C80)</f>
        <v>0</v>
      </c>
      <c r="D81" s="343">
        <f t="shared" ref="D81:BD81" si="31">SUM(D73:D80)</f>
        <v>0</v>
      </c>
      <c r="E81" s="343">
        <f t="shared" si="31"/>
        <v>4000000</v>
      </c>
      <c r="F81" s="343">
        <f t="shared" si="31"/>
        <v>0</v>
      </c>
      <c r="G81" s="343">
        <f t="shared" si="31"/>
        <v>0</v>
      </c>
      <c r="H81" s="343">
        <f t="shared" si="31"/>
        <v>0</v>
      </c>
      <c r="I81" s="343">
        <f t="shared" si="31"/>
        <v>0</v>
      </c>
      <c r="J81" s="343">
        <f t="shared" si="31"/>
        <v>0</v>
      </c>
      <c r="K81" s="343">
        <f t="shared" si="31"/>
        <v>100000</v>
      </c>
      <c r="L81" s="343">
        <f t="shared" si="31"/>
        <v>1340000</v>
      </c>
      <c r="M81" s="343">
        <f t="shared" si="31"/>
        <v>3900000</v>
      </c>
      <c r="N81" s="343">
        <f t="shared" si="31"/>
        <v>1000000</v>
      </c>
      <c r="O81" s="343">
        <f t="shared" si="31"/>
        <v>0</v>
      </c>
      <c r="P81" s="343">
        <f t="shared" si="31"/>
        <v>80700000</v>
      </c>
      <c r="Q81" s="343">
        <f t="shared" si="31"/>
        <v>0</v>
      </c>
      <c r="R81" s="343">
        <f t="shared" si="31"/>
        <v>91040000</v>
      </c>
      <c r="S81" s="343">
        <f t="shared" si="31"/>
        <v>0</v>
      </c>
      <c r="T81" s="343">
        <f t="shared" si="31"/>
        <v>0</v>
      </c>
      <c r="U81" s="343">
        <f t="shared" si="31"/>
        <v>17420000</v>
      </c>
      <c r="V81" s="343">
        <f t="shared" si="31"/>
        <v>0</v>
      </c>
      <c r="W81" s="343">
        <f t="shared" si="31"/>
        <v>0</v>
      </c>
      <c r="X81" s="343">
        <f t="shared" si="31"/>
        <v>1900000</v>
      </c>
      <c r="Y81" s="343">
        <f t="shared" si="31"/>
        <v>0</v>
      </c>
      <c r="Z81" s="343">
        <f t="shared" si="31"/>
        <v>0</v>
      </c>
      <c r="AA81" s="343">
        <f t="shared" si="31"/>
        <v>0</v>
      </c>
      <c r="AB81" s="343">
        <f t="shared" si="31"/>
        <v>0</v>
      </c>
      <c r="AC81" s="343">
        <f t="shared" si="31"/>
        <v>0</v>
      </c>
      <c r="AD81" s="343">
        <f t="shared" si="31"/>
        <v>26280000</v>
      </c>
      <c r="AE81" s="343">
        <f t="shared" si="31"/>
        <v>0</v>
      </c>
      <c r="AF81" s="343">
        <f t="shared" si="31"/>
        <v>0</v>
      </c>
      <c r="AG81" s="343">
        <f t="shared" si="31"/>
        <v>0</v>
      </c>
      <c r="AH81" s="343">
        <f t="shared" si="31"/>
        <v>0</v>
      </c>
      <c r="AI81" s="343">
        <f t="shared" si="31"/>
        <v>0</v>
      </c>
      <c r="AJ81" s="343">
        <f t="shared" si="31"/>
        <v>0</v>
      </c>
      <c r="AK81" s="343">
        <f t="shared" si="31"/>
        <v>0</v>
      </c>
      <c r="AL81" s="343">
        <f t="shared" si="31"/>
        <v>0</v>
      </c>
      <c r="AM81" s="343">
        <f t="shared" si="31"/>
        <v>0</v>
      </c>
      <c r="AN81" s="343">
        <f t="shared" si="31"/>
        <v>0</v>
      </c>
      <c r="AO81" s="343">
        <f t="shared" si="31"/>
        <v>0</v>
      </c>
      <c r="AP81" s="343">
        <f t="shared" si="31"/>
        <v>0</v>
      </c>
      <c r="AQ81" s="343">
        <f t="shared" si="31"/>
        <v>0</v>
      </c>
      <c r="AR81" s="343">
        <f t="shared" si="31"/>
        <v>0</v>
      </c>
      <c r="AS81" s="343">
        <f t="shared" si="31"/>
        <v>24580000</v>
      </c>
      <c r="AT81" s="343">
        <f t="shared" si="31"/>
        <v>2680000</v>
      </c>
      <c r="AU81" s="343">
        <f t="shared" si="31"/>
        <v>0</v>
      </c>
      <c r="AV81" s="343">
        <f t="shared" si="31"/>
        <v>72860000</v>
      </c>
      <c r="AW81" s="343">
        <f t="shared" si="31"/>
        <v>0</v>
      </c>
      <c r="AX81" s="343">
        <f t="shared" si="31"/>
        <v>0</v>
      </c>
      <c r="AY81" s="343">
        <f t="shared" si="31"/>
        <v>0</v>
      </c>
      <c r="AZ81" s="343">
        <f t="shared" si="31"/>
        <v>0</v>
      </c>
      <c r="BA81" s="343">
        <f t="shared" si="31"/>
        <v>0</v>
      </c>
      <c r="BB81" s="343">
        <f t="shared" si="31"/>
        <v>0</v>
      </c>
      <c r="BC81" s="343">
        <f t="shared" si="31"/>
        <v>0</v>
      </c>
      <c r="BD81" s="343">
        <f t="shared" si="31"/>
        <v>0</v>
      </c>
      <c r="BE81" s="343">
        <f t="shared" si="26"/>
        <v>163900000</v>
      </c>
      <c r="BF81" s="343">
        <f t="shared" si="27"/>
        <v>27260000</v>
      </c>
      <c r="BG81" s="343">
        <f t="shared" si="28"/>
        <v>136640000</v>
      </c>
      <c r="BI81" s="346" t="str">
        <f t="shared" si="29"/>
        <v>1.08 - MANTENIMIENTO Y REPARACION</v>
      </c>
      <c r="BJ81" s="346">
        <v>1</v>
      </c>
      <c r="BK81" s="1120">
        <f t="shared" si="30"/>
        <v>91040000</v>
      </c>
    </row>
    <row r="82" spans="1:63" x14ac:dyDescent="0.25">
      <c r="A82" s="340" t="s">
        <v>406</v>
      </c>
      <c r="B82" s="340" t="s">
        <v>1215</v>
      </c>
      <c r="C82" s="342">
        <f>+C81</f>
        <v>0</v>
      </c>
      <c r="D82" s="342"/>
      <c r="E82" s="342"/>
      <c r="F82" s="342"/>
      <c r="G82" s="342"/>
      <c r="H82" s="342"/>
      <c r="I82" s="342"/>
      <c r="J82" s="342"/>
      <c r="K82" s="342"/>
      <c r="L82" s="342">
        <v>2160000</v>
      </c>
      <c r="M82" s="342"/>
      <c r="N82" s="342"/>
      <c r="O82" s="342"/>
      <c r="P82" s="342"/>
      <c r="Q82" s="342"/>
      <c r="R82" s="342">
        <f t="shared" si="22"/>
        <v>2160000</v>
      </c>
      <c r="S82" s="342"/>
      <c r="T82" s="342">
        <f t="shared" si="23"/>
        <v>0</v>
      </c>
      <c r="U82" s="342"/>
      <c r="V82" s="342"/>
      <c r="W82" s="342"/>
      <c r="X82" s="342"/>
      <c r="Y82" s="342"/>
      <c r="Z82" s="342"/>
      <c r="AA82" s="342"/>
      <c r="AB82" s="342"/>
      <c r="AC82" s="342"/>
      <c r="AD82" s="342"/>
      <c r="AE82" s="342"/>
      <c r="AF82" s="342"/>
      <c r="AG82" s="342"/>
      <c r="AH82" s="342"/>
      <c r="AI82" s="342"/>
      <c r="AJ82" s="342"/>
      <c r="AK82" s="342">
        <v>0</v>
      </c>
      <c r="AL82" s="342"/>
      <c r="AM82" s="342"/>
      <c r="AN82" s="342"/>
      <c r="AO82" s="342"/>
      <c r="AP82" s="342"/>
      <c r="AQ82" s="342"/>
      <c r="AR82" s="342"/>
      <c r="AS82" s="342">
        <v>0</v>
      </c>
      <c r="AT82" s="342"/>
      <c r="AU82" s="342"/>
      <c r="AV82" s="342">
        <f t="shared" si="24"/>
        <v>0</v>
      </c>
      <c r="AW82" s="342"/>
      <c r="AX82" s="342"/>
      <c r="AY82" s="342"/>
      <c r="AZ82" s="342"/>
      <c r="BA82" s="342"/>
      <c r="BB82" s="342"/>
      <c r="BC82" s="342"/>
      <c r="BD82" s="342">
        <f t="shared" si="25"/>
        <v>0</v>
      </c>
      <c r="BE82" s="342">
        <f t="shared" si="26"/>
        <v>2160000</v>
      </c>
      <c r="BF82" s="342">
        <f t="shared" si="27"/>
        <v>0</v>
      </c>
      <c r="BG82" s="342">
        <f t="shared" si="28"/>
        <v>2160000</v>
      </c>
      <c r="BH82" s="346" t="s">
        <v>406</v>
      </c>
      <c r="BI82" s="346" t="str">
        <f t="shared" si="29"/>
        <v>Otros Impuestos</v>
      </c>
      <c r="BJ82" s="346">
        <v>1</v>
      </c>
      <c r="BK82" s="1120">
        <f t="shared" si="30"/>
        <v>2160000</v>
      </c>
    </row>
    <row r="83" spans="1:63" x14ac:dyDescent="0.25">
      <c r="A83" s="340"/>
      <c r="B83" s="341" t="s">
        <v>1216</v>
      </c>
      <c r="C83" s="343">
        <v>0</v>
      </c>
      <c r="D83" s="343">
        <v>0</v>
      </c>
      <c r="E83" s="343">
        <v>0</v>
      </c>
      <c r="F83" s="343">
        <v>0</v>
      </c>
      <c r="G83" s="343">
        <v>0</v>
      </c>
      <c r="H83" s="343">
        <v>0</v>
      </c>
      <c r="I83" s="343">
        <v>0</v>
      </c>
      <c r="J83" s="343">
        <v>0</v>
      </c>
      <c r="K83" s="343">
        <f>+K82</f>
        <v>0</v>
      </c>
      <c r="L83" s="343">
        <f t="shared" ref="L83:BD83" si="32">+L82</f>
        <v>2160000</v>
      </c>
      <c r="M83" s="343">
        <f t="shared" si="32"/>
        <v>0</v>
      </c>
      <c r="N83" s="343">
        <f t="shared" si="32"/>
        <v>0</v>
      </c>
      <c r="O83" s="343">
        <f t="shared" si="32"/>
        <v>0</v>
      </c>
      <c r="P83" s="343">
        <f t="shared" si="32"/>
        <v>0</v>
      </c>
      <c r="Q83" s="343">
        <f t="shared" si="32"/>
        <v>0</v>
      </c>
      <c r="R83" s="343">
        <f t="shared" si="32"/>
        <v>2160000</v>
      </c>
      <c r="S83" s="343">
        <f t="shared" si="32"/>
        <v>0</v>
      </c>
      <c r="T83" s="343">
        <f t="shared" si="32"/>
        <v>0</v>
      </c>
      <c r="U83" s="343">
        <f t="shared" si="32"/>
        <v>0</v>
      </c>
      <c r="V83" s="343">
        <f t="shared" si="32"/>
        <v>0</v>
      </c>
      <c r="W83" s="343">
        <f t="shared" si="32"/>
        <v>0</v>
      </c>
      <c r="X83" s="343">
        <f t="shared" si="32"/>
        <v>0</v>
      </c>
      <c r="Y83" s="343">
        <f t="shared" si="32"/>
        <v>0</v>
      </c>
      <c r="Z83" s="343">
        <f t="shared" si="32"/>
        <v>0</v>
      </c>
      <c r="AA83" s="343">
        <f t="shared" si="32"/>
        <v>0</v>
      </c>
      <c r="AB83" s="343">
        <f t="shared" si="32"/>
        <v>0</v>
      </c>
      <c r="AC83" s="343">
        <f t="shared" si="32"/>
        <v>0</v>
      </c>
      <c r="AD83" s="343">
        <f t="shared" si="32"/>
        <v>0</v>
      </c>
      <c r="AE83" s="343">
        <f t="shared" si="32"/>
        <v>0</v>
      </c>
      <c r="AF83" s="343">
        <f t="shared" si="32"/>
        <v>0</v>
      </c>
      <c r="AG83" s="343">
        <f t="shared" si="32"/>
        <v>0</v>
      </c>
      <c r="AH83" s="343">
        <f t="shared" si="32"/>
        <v>0</v>
      </c>
      <c r="AI83" s="343">
        <f t="shared" si="32"/>
        <v>0</v>
      </c>
      <c r="AJ83" s="343">
        <f t="shared" si="32"/>
        <v>0</v>
      </c>
      <c r="AK83" s="343">
        <f t="shared" si="32"/>
        <v>0</v>
      </c>
      <c r="AL83" s="343">
        <f t="shared" si="32"/>
        <v>0</v>
      </c>
      <c r="AM83" s="343">
        <f t="shared" si="32"/>
        <v>0</v>
      </c>
      <c r="AN83" s="343">
        <f t="shared" si="32"/>
        <v>0</v>
      </c>
      <c r="AO83" s="343">
        <f t="shared" si="32"/>
        <v>0</v>
      </c>
      <c r="AP83" s="343">
        <f t="shared" si="32"/>
        <v>0</v>
      </c>
      <c r="AQ83" s="343">
        <f t="shared" si="32"/>
        <v>0</v>
      </c>
      <c r="AR83" s="343">
        <f t="shared" si="32"/>
        <v>0</v>
      </c>
      <c r="AS83" s="343">
        <f t="shared" si="32"/>
        <v>0</v>
      </c>
      <c r="AT83" s="343">
        <f t="shared" si="32"/>
        <v>0</v>
      </c>
      <c r="AU83" s="343">
        <f t="shared" si="32"/>
        <v>0</v>
      </c>
      <c r="AV83" s="343">
        <f t="shared" si="32"/>
        <v>0</v>
      </c>
      <c r="AW83" s="343">
        <f t="shared" si="32"/>
        <v>0</v>
      </c>
      <c r="AX83" s="343">
        <f t="shared" si="32"/>
        <v>0</v>
      </c>
      <c r="AY83" s="343">
        <f t="shared" si="32"/>
        <v>0</v>
      </c>
      <c r="AZ83" s="343">
        <f t="shared" si="32"/>
        <v>0</v>
      </c>
      <c r="BA83" s="343">
        <f t="shared" si="32"/>
        <v>0</v>
      </c>
      <c r="BB83" s="343">
        <f t="shared" si="32"/>
        <v>0</v>
      </c>
      <c r="BC83" s="343">
        <f t="shared" si="32"/>
        <v>0</v>
      </c>
      <c r="BD83" s="343">
        <f t="shared" si="32"/>
        <v>0</v>
      </c>
      <c r="BE83" s="343">
        <f t="shared" si="26"/>
        <v>2160000</v>
      </c>
      <c r="BF83" s="343">
        <f t="shared" si="27"/>
        <v>0</v>
      </c>
      <c r="BG83" s="343">
        <f t="shared" si="28"/>
        <v>2160000</v>
      </c>
      <c r="BI83" s="346" t="str">
        <f t="shared" si="29"/>
        <v>1.09 - IMPUESTOS</v>
      </c>
      <c r="BJ83" s="346">
        <v>1</v>
      </c>
      <c r="BK83" s="1120">
        <f t="shared" si="30"/>
        <v>2160000</v>
      </c>
    </row>
    <row r="84" spans="1:63" x14ac:dyDescent="0.25">
      <c r="A84" s="340" t="s">
        <v>408</v>
      </c>
      <c r="B84" s="340" t="s">
        <v>420</v>
      </c>
      <c r="C84" s="342"/>
      <c r="D84" s="342"/>
      <c r="E84" s="342"/>
      <c r="F84" s="342"/>
      <c r="G84" s="342"/>
      <c r="H84" s="342"/>
      <c r="I84" s="342">
        <v>500000</v>
      </c>
      <c r="J84" s="342"/>
      <c r="K84" s="342"/>
      <c r="L84" s="342"/>
      <c r="M84" s="342"/>
      <c r="N84" s="342"/>
      <c r="O84" s="342"/>
      <c r="P84" s="342"/>
      <c r="Q84" s="342"/>
      <c r="R84" s="342">
        <f t="shared" si="22"/>
        <v>500000</v>
      </c>
      <c r="S84" s="342"/>
      <c r="T84" s="342">
        <f t="shared" si="23"/>
        <v>0</v>
      </c>
      <c r="U84" s="342"/>
      <c r="V84" s="342"/>
      <c r="W84" s="342"/>
      <c r="X84" s="342"/>
      <c r="Y84" s="342"/>
      <c r="Z84" s="342"/>
      <c r="AA84" s="342"/>
      <c r="AB84" s="342"/>
      <c r="AC84" s="342"/>
      <c r="AD84" s="342"/>
      <c r="AE84" s="342"/>
      <c r="AF84" s="342"/>
      <c r="AG84" s="342"/>
      <c r="AH84" s="342"/>
      <c r="AI84" s="342"/>
      <c r="AJ84" s="342"/>
      <c r="AK84" s="342">
        <v>0</v>
      </c>
      <c r="AL84" s="342"/>
      <c r="AM84" s="342"/>
      <c r="AN84" s="342"/>
      <c r="AO84" s="342"/>
      <c r="AP84" s="342"/>
      <c r="AQ84" s="342"/>
      <c r="AR84" s="342"/>
      <c r="AS84" s="342">
        <v>0</v>
      </c>
      <c r="AT84" s="342"/>
      <c r="AU84" s="342"/>
      <c r="AV84" s="342">
        <f t="shared" si="24"/>
        <v>0</v>
      </c>
      <c r="AW84" s="342"/>
      <c r="AX84" s="342"/>
      <c r="AY84" s="342"/>
      <c r="AZ84" s="342"/>
      <c r="BA84" s="342"/>
      <c r="BB84" s="342"/>
      <c r="BC84" s="342"/>
      <c r="BD84" s="342">
        <f t="shared" si="25"/>
        <v>0</v>
      </c>
      <c r="BE84" s="342">
        <f t="shared" si="26"/>
        <v>500000</v>
      </c>
      <c r="BF84" s="342">
        <f t="shared" si="27"/>
        <v>0</v>
      </c>
      <c r="BG84" s="342">
        <f t="shared" si="28"/>
        <v>500000</v>
      </c>
      <c r="BH84" s="346" t="s">
        <v>408</v>
      </c>
      <c r="BI84" s="346" t="str">
        <f t="shared" si="29"/>
        <v>Intereses Moratorios y Multas</v>
      </c>
      <c r="BJ84" s="346">
        <v>1</v>
      </c>
      <c r="BK84" s="1120">
        <f t="shared" si="30"/>
        <v>500000</v>
      </c>
    </row>
    <row r="85" spans="1:63" x14ac:dyDescent="0.25">
      <c r="A85" s="340" t="s">
        <v>187</v>
      </c>
      <c r="B85" s="340" t="s">
        <v>188</v>
      </c>
      <c r="C85" s="342"/>
      <c r="D85" s="342"/>
      <c r="E85" s="342"/>
      <c r="F85" s="342"/>
      <c r="G85" s="342"/>
      <c r="H85" s="342"/>
      <c r="I85" s="342"/>
      <c r="J85" s="342"/>
      <c r="K85" s="342"/>
      <c r="L85" s="342">
        <v>3600000</v>
      </c>
      <c r="M85" s="342"/>
      <c r="N85" s="342"/>
      <c r="O85" s="342"/>
      <c r="P85" s="342"/>
      <c r="Q85" s="342"/>
      <c r="R85" s="342">
        <f t="shared" si="22"/>
        <v>3600000</v>
      </c>
      <c r="S85" s="342"/>
      <c r="T85" s="342">
        <f t="shared" si="23"/>
        <v>0</v>
      </c>
      <c r="U85" s="342"/>
      <c r="V85" s="342"/>
      <c r="W85" s="342"/>
      <c r="X85" s="342"/>
      <c r="Y85" s="342"/>
      <c r="Z85" s="342"/>
      <c r="AA85" s="342"/>
      <c r="AB85" s="342"/>
      <c r="AC85" s="342"/>
      <c r="AD85" s="342"/>
      <c r="AE85" s="342"/>
      <c r="AF85" s="342"/>
      <c r="AG85" s="342"/>
      <c r="AH85" s="342"/>
      <c r="AI85" s="342"/>
      <c r="AJ85" s="342"/>
      <c r="AK85" s="342">
        <v>0</v>
      </c>
      <c r="AL85" s="342"/>
      <c r="AM85" s="342"/>
      <c r="AN85" s="342"/>
      <c r="AO85" s="342"/>
      <c r="AP85" s="342"/>
      <c r="AQ85" s="342"/>
      <c r="AR85" s="342"/>
      <c r="AS85" s="342">
        <v>0</v>
      </c>
      <c r="AT85" s="342"/>
      <c r="AU85" s="342"/>
      <c r="AV85" s="342">
        <f t="shared" si="24"/>
        <v>0</v>
      </c>
      <c r="AW85" s="342"/>
      <c r="AX85" s="342"/>
      <c r="AY85" s="342"/>
      <c r="AZ85" s="342"/>
      <c r="BA85" s="342"/>
      <c r="BB85" s="342"/>
      <c r="BC85" s="342"/>
      <c r="BD85" s="342">
        <f t="shared" si="25"/>
        <v>0</v>
      </c>
      <c r="BE85" s="342">
        <f t="shared" si="26"/>
        <v>3600000</v>
      </c>
      <c r="BF85" s="342">
        <f t="shared" si="27"/>
        <v>0</v>
      </c>
      <c r="BG85" s="342">
        <f t="shared" si="28"/>
        <v>3600000</v>
      </c>
      <c r="BH85" s="346" t="s">
        <v>187</v>
      </c>
      <c r="BI85" s="346" t="str">
        <f t="shared" si="29"/>
        <v>Deducibles</v>
      </c>
      <c r="BJ85" s="346">
        <v>1</v>
      </c>
      <c r="BK85" s="1120">
        <f t="shared" si="30"/>
        <v>3600000</v>
      </c>
    </row>
    <row r="86" spans="1:63" x14ac:dyDescent="0.25">
      <c r="A86" s="340" t="s">
        <v>189</v>
      </c>
      <c r="B86" s="340" t="s">
        <v>190</v>
      </c>
      <c r="C86" s="342"/>
      <c r="D86" s="342"/>
      <c r="E86" s="342"/>
      <c r="F86" s="342"/>
      <c r="G86" s="342"/>
      <c r="H86" s="342"/>
      <c r="I86" s="342"/>
      <c r="J86" s="342"/>
      <c r="K86" s="342"/>
      <c r="L86" s="342">
        <v>150000</v>
      </c>
      <c r="M86" s="342"/>
      <c r="N86" s="342"/>
      <c r="O86" s="342"/>
      <c r="P86" s="342"/>
      <c r="Q86" s="342"/>
      <c r="R86" s="342">
        <f t="shared" si="22"/>
        <v>150000</v>
      </c>
      <c r="S86" s="342"/>
      <c r="T86" s="342">
        <f t="shared" si="23"/>
        <v>0</v>
      </c>
      <c r="U86" s="342"/>
      <c r="V86" s="342"/>
      <c r="W86" s="342"/>
      <c r="X86" s="342"/>
      <c r="Y86" s="342"/>
      <c r="Z86" s="342"/>
      <c r="AA86" s="342"/>
      <c r="AB86" s="342"/>
      <c r="AC86" s="342"/>
      <c r="AD86" s="342"/>
      <c r="AE86" s="342"/>
      <c r="AF86" s="342"/>
      <c r="AG86" s="342"/>
      <c r="AH86" s="342"/>
      <c r="AI86" s="342"/>
      <c r="AJ86" s="342"/>
      <c r="AK86" s="342">
        <v>0</v>
      </c>
      <c r="AL86" s="342"/>
      <c r="AM86" s="342"/>
      <c r="AN86" s="342"/>
      <c r="AO86" s="342"/>
      <c r="AP86" s="342"/>
      <c r="AQ86" s="342"/>
      <c r="AR86" s="342"/>
      <c r="AS86" s="342">
        <v>0</v>
      </c>
      <c r="AT86" s="342"/>
      <c r="AU86" s="342"/>
      <c r="AV86" s="342">
        <f t="shared" si="24"/>
        <v>0</v>
      </c>
      <c r="AW86" s="342"/>
      <c r="AX86" s="342"/>
      <c r="AY86" s="342"/>
      <c r="AZ86" s="342"/>
      <c r="BA86" s="342"/>
      <c r="BB86" s="342"/>
      <c r="BC86" s="342"/>
      <c r="BD86" s="342">
        <f t="shared" si="25"/>
        <v>0</v>
      </c>
      <c r="BE86" s="342">
        <f t="shared" si="26"/>
        <v>150000</v>
      </c>
      <c r="BF86" s="342">
        <f t="shared" si="27"/>
        <v>0</v>
      </c>
      <c r="BG86" s="342">
        <f t="shared" si="28"/>
        <v>150000</v>
      </c>
      <c r="BH86" s="346" t="s">
        <v>189</v>
      </c>
      <c r="BI86" s="346" t="str">
        <f t="shared" si="29"/>
        <v>Otros Servicios No Especificados</v>
      </c>
      <c r="BJ86" s="346">
        <v>1</v>
      </c>
      <c r="BK86" s="1120">
        <f t="shared" si="30"/>
        <v>150000</v>
      </c>
    </row>
    <row r="87" spans="1:63" x14ac:dyDescent="0.25">
      <c r="A87" s="340"/>
      <c r="B87" s="341" t="s">
        <v>1217</v>
      </c>
      <c r="C87" s="343">
        <f>SUM(C84:C86)</f>
        <v>0</v>
      </c>
      <c r="D87" s="343">
        <f t="shared" ref="D87:BD87" si="33">SUM(D84:D86)</f>
        <v>0</v>
      </c>
      <c r="E87" s="343">
        <f t="shared" si="33"/>
        <v>0</v>
      </c>
      <c r="F87" s="343">
        <f t="shared" si="33"/>
        <v>0</v>
      </c>
      <c r="G87" s="343">
        <f t="shared" si="33"/>
        <v>0</v>
      </c>
      <c r="H87" s="343">
        <f t="shared" si="33"/>
        <v>0</v>
      </c>
      <c r="I87" s="343">
        <f t="shared" si="33"/>
        <v>500000</v>
      </c>
      <c r="J87" s="343">
        <f t="shared" si="33"/>
        <v>0</v>
      </c>
      <c r="K87" s="343">
        <f t="shared" si="33"/>
        <v>0</v>
      </c>
      <c r="L87" s="343">
        <f>SUM(L84:L86)</f>
        <v>3750000</v>
      </c>
      <c r="M87" s="343">
        <f t="shared" si="33"/>
        <v>0</v>
      </c>
      <c r="N87" s="343">
        <f t="shared" si="33"/>
        <v>0</v>
      </c>
      <c r="O87" s="343">
        <f t="shared" si="33"/>
        <v>0</v>
      </c>
      <c r="P87" s="343">
        <f t="shared" si="33"/>
        <v>0</v>
      </c>
      <c r="Q87" s="343">
        <f t="shared" si="33"/>
        <v>0</v>
      </c>
      <c r="R87" s="343">
        <f t="shared" si="33"/>
        <v>4250000</v>
      </c>
      <c r="S87" s="343">
        <f t="shared" si="33"/>
        <v>0</v>
      </c>
      <c r="T87" s="343">
        <f t="shared" si="33"/>
        <v>0</v>
      </c>
      <c r="U87" s="343">
        <f t="shared" si="33"/>
        <v>0</v>
      </c>
      <c r="V87" s="343">
        <f t="shared" si="33"/>
        <v>0</v>
      </c>
      <c r="W87" s="343">
        <f t="shared" si="33"/>
        <v>0</v>
      </c>
      <c r="X87" s="343">
        <f t="shared" si="33"/>
        <v>0</v>
      </c>
      <c r="Y87" s="343">
        <f t="shared" si="33"/>
        <v>0</v>
      </c>
      <c r="Z87" s="343">
        <f t="shared" si="33"/>
        <v>0</v>
      </c>
      <c r="AA87" s="343">
        <f t="shared" si="33"/>
        <v>0</v>
      </c>
      <c r="AB87" s="343">
        <f t="shared" si="33"/>
        <v>0</v>
      </c>
      <c r="AC87" s="343">
        <f t="shared" si="33"/>
        <v>0</v>
      </c>
      <c r="AD87" s="343">
        <f t="shared" si="33"/>
        <v>0</v>
      </c>
      <c r="AE87" s="343">
        <f t="shared" si="33"/>
        <v>0</v>
      </c>
      <c r="AF87" s="343">
        <f t="shared" si="33"/>
        <v>0</v>
      </c>
      <c r="AG87" s="343">
        <f t="shared" si="33"/>
        <v>0</v>
      </c>
      <c r="AH87" s="343">
        <f t="shared" si="33"/>
        <v>0</v>
      </c>
      <c r="AI87" s="343">
        <f t="shared" si="33"/>
        <v>0</v>
      </c>
      <c r="AJ87" s="343">
        <f t="shared" si="33"/>
        <v>0</v>
      </c>
      <c r="AK87" s="343">
        <f t="shared" si="33"/>
        <v>0</v>
      </c>
      <c r="AL87" s="343">
        <f t="shared" si="33"/>
        <v>0</v>
      </c>
      <c r="AM87" s="343">
        <f t="shared" si="33"/>
        <v>0</v>
      </c>
      <c r="AN87" s="343">
        <f t="shared" si="33"/>
        <v>0</v>
      </c>
      <c r="AO87" s="343">
        <f t="shared" si="33"/>
        <v>0</v>
      </c>
      <c r="AP87" s="343">
        <f t="shared" si="33"/>
        <v>0</v>
      </c>
      <c r="AQ87" s="343">
        <f t="shared" si="33"/>
        <v>0</v>
      </c>
      <c r="AR87" s="343">
        <f t="shared" si="33"/>
        <v>0</v>
      </c>
      <c r="AS87" s="343">
        <f t="shared" si="33"/>
        <v>0</v>
      </c>
      <c r="AT87" s="343">
        <f t="shared" si="33"/>
        <v>0</v>
      </c>
      <c r="AU87" s="343">
        <f t="shared" si="33"/>
        <v>0</v>
      </c>
      <c r="AV87" s="343">
        <f t="shared" si="33"/>
        <v>0</v>
      </c>
      <c r="AW87" s="343">
        <f t="shared" si="33"/>
        <v>0</v>
      </c>
      <c r="AX87" s="343">
        <f t="shared" si="33"/>
        <v>0</v>
      </c>
      <c r="AY87" s="343">
        <f t="shared" si="33"/>
        <v>0</v>
      </c>
      <c r="AZ87" s="343">
        <f t="shared" si="33"/>
        <v>0</v>
      </c>
      <c r="BA87" s="343">
        <f t="shared" si="33"/>
        <v>0</v>
      </c>
      <c r="BB87" s="343">
        <f t="shared" si="33"/>
        <v>0</v>
      </c>
      <c r="BC87" s="343">
        <f t="shared" si="33"/>
        <v>0</v>
      </c>
      <c r="BD87" s="343">
        <f t="shared" si="33"/>
        <v>0</v>
      </c>
      <c r="BE87" s="343">
        <f t="shared" si="26"/>
        <v>4250000</v>
      </c>
      <c r="BF87" s="343">
        <f t="shared" si="27"/>
        <v>0</v>
      </c>
      <c r="BG87" s="343">
        <f t="shared" si="28"/>
        <v>4250000</v>
      </c>
      <c r="BI87" s="346" t="str">
        <f t="shared" si="29"/>
        <v>1.99 - SERVICIOS DIVERSOS</v>
      </c>
      <c r="BJ87" s="346">
        <v>1</v>
      </c>
      <c r="BK87" s="1120">
        <f t="shared" si="30"/>
        <v>4250000</v>
      </c>
    </row>
    <row r="88" spans="1:63" s="346" customFormat="1" outlineLevel="1" x14ac:dyDescent="0.25">
      <c r="A88" s="352"/>
      <c r="B88" s="352" t="s">
        <v>1218</v>
      </c>
      <c r="C88" s="353">
        <f>+C87+C83+C81+C72+C68+C66+C61+C52+C45+C39</f>
        <v>61217800</v>
      </c>
      <c r="D88" s="353">
        <f t="shared" ref="D88:BD88" si="34">+D87+D83+D81+D72+D68+D66+D61+D52+D45+D39</f>
        <v>1611100</v>
      </c>
      <c r="E88" s="353">
        <f t="shared" si="34"/>
        <v>38437900</v>
      </c>
      <c r="F88" s="353">
        <f t="shared" si="34"/>
        <v>4425100</v>
      </c>
      <c r="G88" s="353">
        <f t="shared" si="34"/>
        <v>915500</v>
      </c>
      <c r="H88" s="353">
        <f t="shared" si="34"/>
        <v>1925800</v>
      </c>
      <c r="I88" s="353">
        <f t="shared" si="34"/>
        <v>29486900</v>
      </c>
      <c r="J88" s="353">
        <f t="shared" si="34"/>
        <v>4447200</v>
      </c>
      <c r="K88" s="353">
        <f t="shared" si="34"/>
        <v>181976500</v>
      </c>
      <c r="L88" s="353">
        <f t="shared" si="34"/>
        <v>27957400</v>
      </c>
      <c r="M88" s="353">
        <f t="shared" si="34"/>
        <v>22127320</v>
      </c>
      <c r="N88" s="353">
        <f t="shared" si="34"/>
        <v>16090200</v>
      </c>
      <c r="O88" s="353">
        <f t="shared" si="34"/>
        <v>7960680</v>
      </c>
      <c r="P88" s="353">
        <f t="shared" si="34"/>
        <v>367055608</v>
      </c>
      <c r="Q88" s="353">
        <f t="shared" si="34"/>
        <v>37368900</v>
      </c>
      <c r="R88" s="353">
        <f t="shared" si="34"/>
        <v>803003908</v>
      </c>
      <c r="S88" s="353">
        <f t="shared" si="34"/>
        <v>79249300</v>
      </c>
      <c r="T88" s="353">
        <f t="shared" si="34"/>
        <v>79249300</v>
      </c>
      <c r="U88" s="353">
        <f t="shared" si="34"/>
        <v>447762600</v>
      </c>
      <c r="V88" s="353">
        <f t="shared" si="34"/>
        <v>124540800</v>
      </c>
      <c r="W88" s="353">
        <f t="shared" si="34"/>
        <v>3170700</v>
      </c>
      <c r="X88" s="353">
        <f t="shared" si="34"/>
        <v>135352400</v>
      </c>
      <c r="Y88" s="353">
        <f t="shared" si="34"/>
        <v>32902600</v>
      </c>
      <c r="Z88" s="353">
        <f t="shared" si="34"/>
        <v>1251300</v>
      </c>
      <c r="AA88" s="353">
        <f t="shared" si="34"/>
        <v>116354300</v>
      </c>
      <c r="AB88" s="353">
        <f t="shared" si="34"/>
        <v>552700</v>
      </c>
      <c r="AC88" s="353">
        <f t="shared" si="34"/>
        <v>29700</v>
      </c>
      <c r="AD88" s="353">
        <f t="shared" si="34"/>
        <v>41692800</v>
      </c>
      <c r="AE88" s="353">
        <f t="shared" si="34"/>
        <v>119434300</v>
      </c>
      <c r="AF88" s="353">
        <f t="shared" si="34"/>
        <v>88197900</v>
      </c>
      <c r="AG88" s="353">
        <f t="shared" si="34"/>
        <v>3225100</v>
      </c>
      <c r="AH88" s="353">
        <f t="shared" si="34"/>
        <v>2325600</v>
      </c>
      <c r="AI88" s="353">
        <f t="shared" si="34"/>
        <v>310000</v>
      </c>
      <c r="AJ88" s="353">
        <f t="shared" si="34"/>
        <v>0</v>
      </c>
      <c r="AK88" s="353">
        <f t="shared" si="34"/>
        <v>690300</v>
      </c>
      <c r="AL88" s="353">
        <f t="shared" si="34"/>
        <v>442200</v>
      </c>
      <c r="AM88" s="353">
        <f t="shared" si="34"/>
        <v>0</v>
      </c>
      <c r="AN88" s="353">
        <f t="shared" si="34"/>
        <v>19500</v>
      </c>
      <c r="AO88" s="353">
        <f t="shared" si="34"/>
        <v>1059400</v>
      </c>
      <c r="AP88" s="353">
        <f t="shared" si="34"/>
        <v>13572900</v>
      </c>
      <c r="AQ88" s="353">
        <f t="shared" si="34"/>
        <v>1274800</v>
      </c>
      <c r="AR88" s="353">
        <f t="shared" si="34"/>
        <v>0</v>
      </c>
      <c r="AS88" s="353">
        <f t="shared" si="34"/>
        <v>519023000</v>
      </c>
      <c r="AT88" s="353">
        <f t="shared" si="34"/>
        <v>47225500</v>
      </c>
      <c r="AU88" s="353">
        <f t="shared" si="34"/>
        <v>626200</v>
      </c>
      <c r="AV88" s="353">
        <f t="shared" si="34"/>
        <v>1701036600</v>
      </c>
      <c r="AW88" s="353">
        <f t="shared" si="34"/>
        <v>461800</v>
      </c>
      <c r="AX88" s="353">
        <f t="shared" si="34"/>
        <v>662400</v>
      </c>
      <c r="AY88" s="353">
        <f t="shared" si="34"/>
        <v>256000</v>
      </c>
      <c r="AZ88" s="353">
        <f t="shared" si="34"/>
        <v>289000</v>
      </c>
      <c r="BA88" s="353">
        <f t="shared" si="34"/>
        <v>9428800</v>
      </c>
      <c r="BB88" s="353">
        <f t="shared" si="34"/>
        <v>140127200</v>
      </c>
      <c r="BC88" s="353">
        <f t="shared" si="34"/>
        <v>20158400</v>
      </c>
      <c r="BD88" s="353">
        <f t="shared" si="34"/>
        <v>171383600</v>
      </c>
      <c r="BE88" s="353">
        <f t="shared" si="26"/>
        <v>2754673408</v>
      </c>
      <c r="BF88" s="353">
        <f t="shared" si="27"/>
        <v>567553000</v>
      </c>
      <c r="BG88" s="353">
        <f t="shared" si="28"/>
        <v>2187120408</v>
      </c>
      <c r="BI88" s="346" t="str">
        <f t="shared" si="29"/>
        <v>1 - SERVICIOS</v>
      </c>
      <c r="BJ88" s="346">
        <v>1</v>
      </c>
      <c r="BK88" s="1120">
        <f t="shared" si="30"/>
        <v>803003908</v>
      </c>
    </row>
    <row r="89" spans="1:63" x14ac:dyDescent="0.25">
      <c r="A89" s="340" t="s">
        <v>193</v>
      </c>
      <c r="B89" s="340" t="s">
        <v>194</v>
      </c>
      <c r="C89" s="342"/>
      <c r="D89" s="342"/>
      <c r="E89" s="342"/>
      <c r="F89" s="342"/>
      <c r="G89" s="342"/>
      <c r="H89" s="342"/>
      <c r="I89" s="342"/>
      <c r="J89" s="342"/>
      <c r="K89" s="342"/>
      <c r="L89" s="342">
        <v>2500400</v>
      </c>
      <c r="M89" s="342">
        <v>500080</v>
      </c>
      <c r="N89" s="342"/>
      <c r="O89" s="342"/>
      <c r="P89" s="342"/>
      <c r="Q89" s="342"/>
      <c r="R89" s="342">
        <f t="shared" si="22"/>
        <v>3000480</v>
      </c>
      <c r="S89" s="342"/>
      <c r="T89" s="342">
        <f t="shared" si="23"/>
        <v>0</v>
      </c>
      <c r="U89" s="342">
        <v>44000006.960000001</v>
      </c>
      <c r="V89" s="342"/>
      <c r="W89" s="342"/>
      <c r="X89" s="342"/>
      <c r="Y89" s="342"/>
      <c r="Z89" s="342"/>
      <c r="AA89" s="342">
        <v>2000320</v>
      </c>
      <c r="AB89" s="342"/>
      <c r="AC89" s="342"/>
      <c r="AD89" s="342">
        <v>30500006.879999999</v>
      </c>
      <c r="AE89" s="342"/>
      <c r="AF89" s="342"/>
      <c r="AG89" s="342"/>
      <c r="AH89" s="342"/>
      <c r="AI89" s="342"/>
      <c r="AJ89" s="342"/>
      <c r="AK89" s="342">
        <v>0</v>
      </c>
      <c r="AL89" s="342"/>
      <c r="AM89" s="342"/>
      <c r="AN89" s="342"/>
      <c r="AO89" s="342">
        <v>0</v>
      </c>
      <c r="AP89" s="342"/>
      <c r="AQ89" s="342"/>
      <c r="AR89" s="342"/>
      <c r="AS89" s="342">
        <v>40000005.359999999</v>
      </c>
      <c r="AT89" s="342">
        <v>4000001.6</v>
      </c>
      <c r="AU89" s="342"/>
      <c r="AV89" s="342">
        <f t="shared" si="24"/>
        <v>120500340.8</v>
      </c>
      <c r="AW89" s="342"/>
      <c r="AX89" s="342"/>
      <c r="AY89" s="342"/>
      <c r="AZ89" s="342"/>
      <c r="BA89" s="342"/>
      <c r="BB89" s="342"/>
      <c r="BC89" s="342"/>
      <c r="BD89" s="342">
        <f t="shared" si="25"/>
        <v>0</v>
      </c>
      <c r="BE89" s="342">
        <f t="shared" si="26"/>
        <v>123500820.8</v>
      </c>
      <c r="BF89" s="342">
        <f t="shared" si="27"/>
        <v>44000006.960000001</v>
      </c>
      <c r="BG89" s="342">
        <f t="shared" si="28"/>
        <v>79500813.840000004</v>
      </c>
      <c r="BH89" s="346" t="s">
        <v>193</v>
      </c>
      <c r="BI89" s="346" t="str">
        <f t="shared" si="29"/>
        <v>Combustibles y Lubricantes</v>
      </c>
      <c r="BJ89" s="346">
        <v>1</v>
      </c>
      <c r="BK89" s="1120">
        <f t="shared" si="30"/>
        <v>3000480</v>
      </c>
    </row>
    <row r="90" spans="1:63" x14ac:dyDescent="0.25">
      <c r="A90" s="340" t="s">
        <v>195</v>
      </c>
      <c r="B90" s="340" t="s">
        <v>196</v>
      </c>
      <c r="C90" s="342"/>
      <c r="D90" s="342"/>
      <c r="E90" s="342"/>
      <c r="F90" s="342"/>
      <c r="G90" s="342"/>
      <c r="H90" s="342"/>
      <c r="I90" s="342"/>
      <c r="J90" s="342"/>
      <c r="K90" s="342"/>
      <c r="L90" s="342">
        <v>94000</v>
      </c>
      <c r="M90" s="342"/>
      <c r="N90" s="342"/>
      <c r="O90" s="342">
        <v>811900</v>
      </c>
      <c r="P90" s="342"/>
      <c r="Q90" s="342"/>
      <c r="R90" s="342">
        <f t="shared" si="22"/>
        <v>905900</v>
      </c>
      <c r="S90" s="342"/>
      <c r="T90" s="342">
        <f t="shared" si="23"/>
        <v>0</v>
      </c>
      <c r="U90" s="342">
        <v>1826000</v>
      </c>
      <c r="V90" s="342"/>
      <c r="W90" s="342"/>
      <c r="X90" s="342"/>
      <c r="Y90" s="342"/>
      <c r="Z90" s="342"/>
      <c r="AA90" s="342">
        <v>262000</v>
      </c>
      <c r="AB90" s="342"/>
      <c r="AC90" s="342"/>
      <c r="AD90" s="342">
        <v>992000</v>
      </c>
      <c r="AE90" s="342"/>
      <c r="AF90" s="342"/>
      <c r="AG90" s="342"/>
      <c r="AH90" s="342"/>
      <c r="AI90" s="342"/>
      <c r="AJ90" s="342"/>
      <c r="AK90" s="342">
        <v>0</v>
      </c>
      <c r="AL90" s="342"/>
      <c r="AM90" s="342"/>
      <c r="AN90" s="342"/>
      <c r="AO90" s="342">
        <v>0</v>
      </c>
      <c r="AP90" s="342"/>
      <c r="AQ90" s="342">
        <v>0</v>
      </c>
      <c r="AR90" s="342"/>
      <c r="AS90" s="342">
        <v>484000</v>
      </c>
      <c r="AT90" s="342">
        <v>88500</v>
      </c>
      <c r="AU90" s="342"/>
      <c r="AV90" s="342">
        <f t="shared" si="24"/>
        <v>3652500</v>
      </c>
      <c r="AW90" s="342"/>
      <c r="AX90" s="342"/>
      <c r="AY90" s="342"/>
      <c r="AZ90" s="342"/>
      <c r="BA90" s="342"/>
      <c r="BB90" s="342"/>
      <c r="BC90" s="342"/>
      <c r="BD90" s="342">
        <f t="shared" si="25"/>
        <v>0</v>
      </c>
      <c r="BE90" s="342">
        <f t="shared" si="26"/>
        <v>4558400</v>
      </c>
      <c r="BF90" s="342">
        <f t="shared" si="27"/>
        <v>572500</v>
      </c>
      <c r="BG90" s="342">
        <f t="shared" si="28"/>
        <v>3985900</v>
      </c>
      <c r="BH90" s="346" t="s">
        <v>195</v>
      </c>
      <c r="BI90" s="346" t="str">
        <f t="shared" si="29"/>
        <v>Productos Farmacéuticos y Medicinales</v>
      </c>
      <c r="BJ90" s="346">
        <v>1</v>
      </c>
      <c r="BK90" s="1120">
        <f t="shared" si="30"/>
        <v>905900</v>
      </c>
    </row>
    <row r="91" spans="1:63" x14ac:dyDescent="0.25">
      <c r="A91" s="340" t="s">
        <v>197</v>
      </c>
      <c r="B91" s="340" t="s">
        <v>198</v>
      </c>
      <c r="C91" s="342"/>
      <c r="D91" s="342"/>
      <c r="E91" s="342"/>
      <c r="F91" s="342"/>
      <c r="G91" s="342"/>
      <c r="H91" s="342"/>
      <c r="I91" s="342"/>
      <c r="J91" s="342"/>
      <c r="K91" s="342"/>
      <c r="L91" s="342"/>
      <c r="M91" s="342"/>
      <c r="N91" s="342"/>
      <c r="O91" s="342"/>
      <c r="P91" s="342"/>
      <c r="Q91" s="342">
        <v>5974000</v>
      </c>
      <c r="R91" s="342">
        <f t="shared" si="22"/>
        <v>5974000</v>
      </c>
      <c r="S91" s="342"/>
      <c r="T91" s="342">
        <f t="shared" si="23"/>
        <v>0</v>
      </c>
      <c r="U91" s="342"/>
      <c r="V91" s="342"/>
      <c r="W91" s="342"/>
      <c r="X91" s="342"/>
      <c r="Y91" s="342"/>
      <c r="Z91" s="342"/>
      <c r="AA91" s="342"/>
      <c r="AB91" s="342"/>
      <c r="AC91" s="342"/>
      <c r="AD91" s="342"/>
      <c r="AE91" s="342"/>
      <c r="AF91" s="342"/>
      <c r="AG91" s="342"/>
      <c r="AH91" s="342"/>
      <c r="AI91" s="342"/>
      <c r="AJ91" s="342"/>
      <c r="AK91" s="342">
        <v>0</v>
      </c>
      <c r="AL91" s="342">
        <v>320000</v>
      </c>
      <c r="AM91" s="342"/>
      <c r="AN91" s="342"/>
      <c r="AO91" s="342"/>
      <c r="AP91" s="342">
        <v>320000</v>
      </c>
      <c r="AQ91" s="342"/>
      <c r="AR91" s="342"/>
      <c r="AS91" s="342">
        <v>0</v>
      </c>
      <c r="AT91" s="342"/>
      <c r="AU91" s="342"/>
      <c r="AV91" s="342">
        <f t="shared" si="24"/>
        <v>640000</v>
      </c>
      <c r="AW91" s="342"/>
      <c r="AX91" s="342"/>
      <c r="AY91" s="342"/>
      <c r="AZ91" s="342"/>
      <c r="BA91" s="342"/>
      <c r="BB91" s="342"/>
      <c r="BC91" s="342"/>
      <c r="BD91" s="342">
        <f t="shared" si="25"/>
        <v>0</v>
      </c>
      <c r="BE91" s="342">
        <f t="shared" si="26"/>
        <v>6614000</v>
      </c>
      <c r="BF91" s="342">
        <f t="shared" si="27"/>
        <v>0</v>
      </c>
      <c r="BG91" s="342">
        <f t="shared" si="28"/>
        <v>6614000</v>
      </c>
      <c r="BH91" s="346" t="s">
        <v>197</v>
      </c>
      <c r="BI91" s="346" t="str">
        <f t="shared" si="29"/>
        <v>Tintas, Pinturas y Diluyentes</v>
      </c>
      <c r="BJ91" s="346">
        <v>1</v>
      </c>
      <c r="BK91" s="1120">
        <f t="shared" si="30"/>
        <v>5974000</v>
      </c>
    </row>
    <row r="92" spans="1:63" x14ac:dyDescent="0.25">
      <c r="A92" s="340"/>
      <c r="B92" s="340"/>
      <c r="C92" s="342"/>
      <c r="D92" s="342"/>
      <c r="E92" s="342"/>
      <c r="F92" s="342"/>
      <c r="G92" s="342"/>
      <c r="H92" s="342"/>
      <c r="I92" s="342"/>
      <c r="J92" s="342"/>
      <c r="K92" s="342"/>
      <c r="L92" s="342"/>
      <c r="M92" s="342"/>
      <c r="N92" s="342"/>
      <c r="O92" s="342"/>
      <c r="P92" s="342"/>
      <c r="Q92" s="342"/>
      <c r="R92" s="342">
        <f t="shared" si="22"/>
        <v>0</v>
      </c>
      <c r="S92" s="342"/>
      <c r="T92" s="342">
        <f t="shared" si="23"/>
        <v>0</v>
      </c>
      <c r="U92" s="342"/>
      <c r="V92" s="342"/>
      <c r="W92" s="342"/>
      <c r="X92" s="342"/>
      <c r="Y92" s="342"/>
      <c r="Z92" s="342"/>
      <c r="AA92" s="342"/>
      <c r="AB92" s="342"/>
      <c r="AC92" s="342"/>
      <c r="AD92" s="342"/>
      <c r="AE92" s="342"/>
      <c r="AF92" s="342"/>
      <c r="AG92" s="342"/>
      <c r="AH92" s="342"/>
      <c r="AI92" s="342"/>
      <c r="AJ92" s="342"/>
      <c r="AK92" s="342">
        <v>0</v>
      </c>
      <c r="AL92" s="342"/>
      <c r="AM92" s="342"/>
      <c r="AN92" s="342"/>
      <c r="AO92" s="342"/>
      <c r="AP92" s="342"/>
      <c r="AQ92" s="342"/>
      <c r="AR92" s="342"/>
      <c r="AS92" s="342">
        <v>0</v>
      </c>
      <c r="AT92" s="342"/>
      <c r="AU92" s="342"/>
      <c r="AV92" s="342">
        <f t="shared" si="24"/>
        <v>0</v>
      </c>
      <c r="AW92" s="342"/>
      <c r="AX92" s="342"/>
      <c r="AY92" s="342"/>
      <c r="AZ92" s="342"/>
      <c r="BA92" s="342"/>
      <c r="BB92" s="342"/>
      <c r="BC92" s="342"/>
      <c r="BD92" s="342">
        <f t="shared" si="25"/>
        <v>0</v>
      </c>
      <c r="BE92" s="342">
        <f t="shared" si="26"/>
        <v>0</v>
      </c>
      <c r="BF92" s="342">
        <f t="shared" si="27"/>
        <v>0</v>
      </c>
      <c r="BG92" s="342">
        <f t="shared" si="28"/>
        <v>0</v>
      </c>
      <c r="BI92" s="346">
        <f t="shared" si="29"/>
        <v>0</v>
      </c>
      <c r="BJ92" s="346">
        <v>1</v>
      </c>
      <c r="BK92" s="1120">
        <f t="shared" si="30"/>
        <v>0</v>
      </c>
    </row>
    <row r="93" spans="1:63" x14ac:dyDescent="0.25">
      <c r="A93" s="340"/>
      <c r="B93" s="341" t="s">
        <v>1219</v>
      </c>
      <c r="C93" s="343">
        <f>SUM(C89:C92)</f>
        <v>0</v>
      </c>
      <c r="D93" s="343">
        <f t="shared" ref="D93:BD93" si="35">SUM(D89:D92)</f>
        <v>0</v>
      </c>
      <c r="E93" s="343">
        <f t="shared" si="35"/>
        <v>0</v>
      </c>
      <c r="F93" s="343">
        <f t="shared" si="35"/>
        <v>0</v>
      </c>
      <c r="G93" s="343">
        <f t="shared" si="35"/>
        <v>0</v>
      </c>
      <c r="H93" s="343">
        <f t="shared" si="35"/>
        <v>0</v>
      </c>
      <c r="I93" s="343">
        <f t="shared" si="35"/>
        <v>0</v>
      </c>
      <c r="J93" s="343">
        <f t="shared" si="35"/>
        <v>0</v>
      </c>
      <c r="K93" s="343">
        <f t="shared" si="35"/>
        <v>0</v>
      </c>
      <c r="L93" s="343">
        <f t="shared" si="35"/>
        <v>2594400</v>
      </c>
      <c r="M93" s="343">
        <f t="shared" si="35"/>
        <v>500080</v>
      </c>
      <c r="N93" s="343">
        <f t="shared" si="35"/>
        <v>0</v>
      </c>
      <c r="O93" s="343">
        <f t="shared" si="35"/>
        <v>811900</v>
      </c>
      <c r="P93" s="343">
        <f t="shared" si="35"/>
        <v>0</v>
      </c>
      <c r="Q93" s="343">
        <f t="shared" si="35"/>
        <v>5974000</v>
      </c>
      <c r="R93" s="343">
        <f t="shared" si="35"/>
        <v>9880380</v>
      </c>
      <c r="S93" s="343">
        <f t="shared" si="35"/>
        <v>0</v>
      </c>
      <c r="T93" s="343">
        <f t="shared" si="35"/>
        <v>0</v>
      </c>
      <c r="U93" s="343">
        <f t="shared" si="35"/>
        <v>45826006.960000001</v>
      </c>
      <c r="V93" s="343">
        <f t="shared" si="35"/>
        <v>0</v>
      </c>
      <c r="W93" s="343">
        <f t="shared" si="35"/>
        <v>0</v>
      </c>
      <c r="X93" s="343">
        <f t="shared" si="35"/>
        <v>0</v>
      </c>
      <c r="Y93" s="343">
        <f t="shared" si="35"/>
        <v>0</v>
      </c>
      <c r="Z93" s="343">
        <f t="shared" si="35"/>
        <v>0</v>
      </c>
      <c r="AA93" s="343">
        <f t="shared" si="35"/>
        <v>2262320</v>
      </c>
      <c r="AB93" s="343">
        <f t="shared" si="35"/>
        <v>0</v>
      </c>
      <c r="AC93" s="343">
        <f t="shared" si="35"/>
        <v>0</v>
      </c>
      <c r="AD93" s="343">
        <f t="shared" si="35"/>
        <v>31492006.879999999</v>
      </c>
      <c r="AE93" s="343">
        <f t="shared" si="35"/>
        <v>0</v>
      </c>
      <c r="AF93" s="343">
        <f t="shared" si="35"/>
        <v>0</v>
      </c>
      <c r="AG93" s="343">
        <f t="shared" si="35"/>
        <v>0</v>
      </c>
      <c r="AH93" s="343">
        <f t="shared" si="35"/>
        <v>0</v>
      </c>
      <c r="AI93" s="343">
        <f t="shared" si="35"/>
        <v>0</v>
      </c>
      <c r="AJ93" s="343">
        <f t="shared" si="35"/>
        <v>0</v>
      </c>
      <c r="AK93" s="343">
        <f t="shared" si="35"/>
        <v>0</v>
      </c>
      <c r="AL93" s="343">
        <f t="shared" si="35"/>
        <v>320000</v>
      </c>
      <c r="AM93" s="343">
        <f t="shared" si="35"/>
        <v>0</v>
      </c>
      <c r="AN93" s="343">
        <f t="shared" si="35"/>
        <v>0</v>
      </c>
      <c r="AO93" s="343">
        <f t="shared" si="35"/>
        <v>0</v>
      </c>
      <c r="AP93" s="343">
        <f t="shared" si="35"/>
        <v>320000</v>
      </c>
      <c r="AQ93" s="343">
        <f t="shared" si="35"/>
        <v>0</v>
      </c>
      <c r="AR93" s="343">
        <f t="shared" si="35"/>
        <v>0</v>
      </c>
      <c r="AS93" s="343">
        <f t="shared" si="35"/>
        <v>40484005.359999999</v>
      </c>
      <c r="AT93" s="343">
        <f t="shared" si="35"/>
        <v>4088501.6</v>
      </c>
      <c r="AU93" s="343">
        <f t="shared" si="35"/>
        <v>0</v>
      </c>
      <c r="AV93" s="343">
        <f t="shared" si="35"/>
        <v>124792840.8</v>
      </c>
      <c r="AW93" s="343">
        <f t="shared" si="35"/>
        <v>0</v>
      </c>
      <c r="AX93" s="343">
        <f t="shared" si="35"/>
        <v>0</v>
      </c>
      <c r="AY93" s="343">
        <f t="shared" si="35"/>
        <v>0</v>
      </c>
      <c r="AZ93" s="343">
        <f t="shared" si="35"/>
        <v>0</v>
      </c>
      <c r="BA93" s="343">
        <f t="shared" si="35"/>
        <v>0</v>
      </c>
      <c r="BB93" s="343">
        <f t="shared" si="35"/>
        <v>0</v>
      </c>
      <c r="BC93" s="343">
        <f t="shared" si="35"/>
        <v>0</v>
      </c>
      <c r="BD93" s="343">
        <f t="shared" si="35"/>
        <v>0</v>
      </c>
      <c r="BE93" s="343">
        <f t="shared" si="26"/>
        <v>134673220.80000001</v>
      </c>
      <c r="BF93" s="343">
        <f t="shared" si="27"/>
        <v>44572506.960000001</v>
      </c>
      <c r="BG93" s="343">
        <f t="shared" si="28"/>
        <v>90100713.840000004</v>
      </c>
      <c r="BI93" s="346" t="str">
        <f t="shared" si="29"/>
        <v>2.01 - PRODUCTOS QUIMICOS Y CONEXOS</v>
      </c>
      <c r="BJ93" s="346">
        <v>1</v>
      </c>
      <c r="BK93" s="1120">
        <f t="shared" si="30"/>
        <v>9880380</v>
      </c>
    </row>
    <row r="94" spans="1:63" x14ac:dyDescent="0.25">
      <c r="A94" s="340"/>
      <c r="B94" s="341"/>
      <c r="C94" s="343"/>
      <c r="D94" s="343"/>
      <c r="E94" s="343"/>
      <c r="F94" s="343"/>
      <c r="G94" s="343"/>
      <c r="H94" s="343"/>
      <c r="I94" s="343"/>
      <c r="J94" s="343"/>
      <c r="K94" s="343"/>
      <c r="L94" s="343"/>
      <c r="M94" s="343"/>
      <c r="N94" s="343"/>
      <c r="O94" s="343"/>
      <c r="P94" s="343"/>
      <c r="Q94" s="343"/>
      <c r="R94" s="343">
        <f t="shared" si="22"/>
        <v>0</v>
      </c>
      <c r="S94" s="343"/>
      <c r="T94" s="343">
        <f t="shared" si="23"/>
        <v>0</v>
      </c>
      <c r="U94" s="343"/>
      <c r="V94" s="343"/>
      <c r="W94" s="343"/>
      <c r="X94" s="343"/>
      <c r="Y94" s="343"/>
      <c r="Z94" s="343"/>
      <c r="AA94" s="343"/>
      <c r="AB94" s="343"/>
      <c r="AC94" s="343"/>
      <c r="AD94" s="343"/>
      <c r="AE94" s="343"/>
      <c r="AF94" s="343"/>
      <c r="AG94" s="343"/>
      <c r="AH94" s="343"/>
      <c r="AI94" s="343"/>
      <c r="AJ94" s="343"/>
      <c r="AK94" s="343">
        <v>0</v>
      </c>
      <c r="AL94" s="343"/>
      <c r="AM94" s="343"/>
      <c r="AN94" s="343"/>
      <c r="AO94" s="343"/>
      <c r="AP94" s="343"/>
      <c r="AQ94" s="343"/>
      <c r="AR94" s="343"/>
      <c r="AS94" s="343">
        <v>0</v>
      </c>
      <c r="AT94" s="343"/>
      <c r="AU94" s="343"/>
      <c r="AV94" s="343">
        <f t="shared" si="24"/>
        <v>0</v>
      </c>
      <c r="AW94" s="343"/>
      <c r="AX94" s="343"/>
      <c r="AY94" s="343"/>
      <c r="AZ94" s="343"/>
      <c r="BA94" s="343"/>
      <c r="BB94" s="343"/>
      <c r="BC94" s="343"/>
      <c r="BD94" s="343">
        <f t="shared" si="25"/>
        <v>0</v>
      </c>
      <c r="BE94" s="343">
        <f t="shared" si="26"/>
        <v>0</v>
      </c>
      <c r="BF94" s="343">
        <f t="shared" si="27"/>
        <v>0</v>
      </c>
      <c r="BG94" s="343">
        <f t="shared" si="28"/>
        <v>0</v>
      </c>
      <c r="BI94" s="346">
        <f t="shared" si="29"/>
        <v>0</v>
      </c>
      <c r="BJ94" s="346">
        <v>1</v>
      </c>
      <c r="BK94" s="1120">
        <f t="shared" si="30"/>
        <v>0</v>
      </c>
    </row>
    <row r="95" spans="1:63" x14ac:dyDescent="0.25">
      <c r="A95" s="340"/>
      <c r="B95" s="341"/>
      <c r="C95" s="343"/>
      <c r="D95" s="343"/>
      <c r="E95" s="343"/>
      <c r="F95" s="343"/>
      <c r="G95" s="343"/>
      <c r="H95" s="343"/>
      <c r="I95" s="343"/>
      <c r="J95" s="343"/>
      <c r="K95" s="343"/>
      <c r="L95" s="343"/>
      <c r="M95" s="343"/>
      <c r="N95" s="343"/>
      <c r="O95" s="343"/>
      <c r="P95" s="343"/>
      <c r="Q95" s="343"/>
      <c r="R95" s="343">
        <f t="shared" si="22"/>
        <v>0</v>
      </c>
      <c r="S95" s="343"/>
      <c r="T95" s="343">
        <f t="shared" si="23"/>
        <v>0</v>
      </c>
      <c r="U95" s="343"/>
      <c r="V95" s="343"/>
      <c r="W95" s="343"/>
      <c r="X95" s="343"/>
      <c r="Y95" s="343"/>
      <c r="Z95" s="343"/>
      <c r="AA95" s="343"/>
      <c r="AB95" s="343"/>
      <c r="AC95" s="343"/>
      <c r="AD95" s="343"/>
      <c r="AE95" s="343"/>
      <c r="AF95" s="343"/>
      <c r="AG95" s="343"/>
      <c r="AH95" s="343"/>
      <c r="AI95" s="343"/>
      <c r="AJ95" s="343"/>
      <c r="AK95" s="343">
        <v>0</v>
      </c>
      <c r="AL95" s="343"/>
      <c r="AM95" s="343"/>
      <c r="AN95" s="343"/>
      <c r="AO95" s="343"/>
      <c r="AP95" s="343"/>
      <c r="AQ95" s="343"/>
      <c r="AR95" s="343"/>
      <c r="AS95" s="343">
        <v>0</v>
      </c>
      <c r="AT95" s="343"/>
      <c r="AU95" s="343"/>
      <c r="AV95" s="343">
        <f t="shared" si="24"/>
        <v>0</v>
      </c>
      <c r="AW95" s="343"/>
      <c r="AX95" s="343"/>
      <c r="AY95" s="343"/>
      <c r="AZ95" s="343"/>
      <c r="BA95" s="343"/>
      <c r="BB95" s="343"/>
      <c r="BC95" s="343"/>
      <c r="BD95" s="343">
        <f t="shared" si="25"/>
        <v>0</v>
      </c>
      <c r="BE95" s="343">
        <f t="shared" si="26"/>
        <v>0</v>
      </c>
      <c r="BF95" s="343">
        <f t="shared" si="27"/>
        <v>0</v>
      </c>
      <c r="BG95" s="343">
        <f t="shared" si="28"/>
        <v>0</v>
      </c>
      <c r="BI95" s="346">
        <f t="shared" si="29"/>
        <v>0</v>
      </c>
      <c r="BJ95" s="346">
        <v>1</v>
      </c>
      <c r="BK95" s="1120">
        <f t="shared" si="30"/>
        <v>0</v>
      </c>
    </row>
    <row r="96" spans="1:63" x14ac:dyDescent="0.25">
      <c r="A96" s="340" t="s">
        <v>206</v>
      </c>
      <c r="B96" s="340" t="s">
        <v>207</v>
      </c>
      <c r="C96" s="342"/>
      <c r="D96" s="342"/>
      <c r="E96" s="342"/>
      <c r="F96" s="342"/>
      <c r="G96" s="342"/>
      <c r="H96" s="342"/>
      <c r="I96" s="342"/>
      <c r="J96" s="342"/>
      <c r="K96" s="342"/>
      <c r="L96" s="342"/>
      <c r="M96" s="342"/>
      <c r="N96" s="342"/>
      <c r="O96" s="342"/>
      <c r="P96" s="342"/>
      <c r="Q96" s="342"/>
      <c r="R96" s="342">
        <f t="shared" si="22"/>
        <v>0</v>
      </c>
      <c r="S96" s="342"/>
      <c r="T96" s="342">
        <f t="shared" si="23"/>
        <v>0</v>
      </c>
      <c r="U96" s="342">
        <v>2000000</v>
      </c>
      <c r="V96" s="342"/>
      <c r="W96" s="342"/>
      <c r="X96" s="342"/>
      <c r="Y96" s="342"/>
      <c r="Z96" s="342"/>
      <c r="AA96" s="342"/>
      <c r="AB96" s="342"/>
      <c r="AC96" s="342"/>
      <c r="AD96" s="342">
        <v>4510000</v>
      </c>
      <c r="AE96" s="342"/>
      <c r="AF96" s="342"/>
      <c r="AG96" s="342"/>
      <c r="AH96" s="342"/>
      <c r="AI96" s="342"/>
      <c r="AJ96" s="342"/>
      <c r="AK96" s="342">
        <v>0</v>
      </c>
      <c r="AL96" s="342"/>
      <c r="AM96" s="342"/>
      <c r="AN96" s="342"/>
      <c r="AO96" s="342"/>
      <c r="AP96" s="342"/>
      <c r="AQ96" s="342"/>
      <c r="AR96" s="342"/>
      <c r="AS96" s="342">
        <v>2000000</v>
      </c>
      <c r="AT96" s="342"/>
      <c r="AU96" s="342"/>
      <c r="AV96" s="342">
        <f t="shared" si="24"/>
        <v>8510000</v>
      </c>
      <c r="AW96" s="342"/>
      <c r="AX96" s="342"/>
      <c r="AY96" s="342"/>
      <c r="AZ96" s="342"/>
      <c r="BA96" s="342">
        <v>350000</v>
      </c>
      <c r="BB96" s="342"/>
      <c r="BC96" s="342"/>
      <c r="BD96" s="342">
        <f t="shared" si="25"/>
        <v>350000</v>
      </c>
      <c r="BE96" s="342">
        <f t="shared" si="26"/>
        <v>8860000</v>
      </c>
      <c r="BF96" s="342">
        <f t="shared" si="27"/>
        <v>2000000</v>
      </c>
      <c r="BG96" s="342">
        <f t="shared" si="28"/>
        <v>6860000</v>
      </c>
      <c r="BH96" s="346" t="s">
        <v>206</v>
      </c>
      <c r="BI96" s="346" t="str">
        <f t="shared" si="29"/>
        <v>Materiales y Productos Eléctricos, Telefónicos y de Cómputo</v>
      </c>
      <c r="BJ96" s="346">
        <v>1</v>
      </c>
      <c r="BK96" s="1120">
        <f t="shared" si="30"/>
        <v>0</v>
      </c>
    </row>
    <row r="97" spans="1:63" x14ac:dyDescent="0.25">
      <c r="A97" s="340"/>
      <c r="B97" s="340"/>
      <c r="C97" s="342"/>
      <c r="D97" s="342"/>
      <c r="E97" s="342"/>
      <c r="F97" s="342"/>
      <c r="G97" s="342"/>
      <c r="H97" s="342"/>
      <c r="I97" s="342"/>
      <c r="J97" s="342"/>
      <c r="K97" s="342"/>
      <c r="L97" s="342"/>
      <c r="M97" s="342"/>
      <c r="N97" s="342"/>
      <c r="O97" s="342"/>
      <c r="P97" s="342"/>
      <c r="Q97" s="342"/>
      <c r="R97" s="342">
        <f t="shared" si="22"/>
        <v>0</v>
      </c>
      <c r="S97" s="342"/>
      <c r="T97" s="342">
        <f t="shared" si="23"/>
        <v>0</v>
      </c>
      <c r="U97" s="342"/>
      <c r="V97" s="342"/>
      <c r="W97" s="342"/>
      <c r="X97" s="342"/>
      <c r="Y97" s="342"/>
      <c r="Z97" s="342"/>
      <c r="AA97" s="342"/>
      <c r="AB97" s="342"/>
      <c r="AC97" s="342"/>
      <c r="AD97" s="342"/>
      <c r="AE97" s="342"/>
      <c r="AF97" s="342"/>
      <c r="AG97" s="342"/>
      <c r="AH97" s="342"/>
      <c r="AI97" s="342"/>
      <c r="AJ97" s="342"/>
      <c r="AK97" s="342">
        <v>0</v>
      </c>
      <c r="AL97" s="342"/>
      <c r="AM97" s="342"/>
      <c r="AN97" s="342"/>
      <c r="AO97" s="342"/>
      <c r="AP97" s="342"/>
      <c r="AQ97" s="342"/>
      <c r="AR97" s="342"/>
      <c r="AS97" s="342">
        <v>0</v>
      </c>
      <c r="AT97" s="342"/>
      <c r="AU97" s="342"/>
      <c r="AV97" s="342">
        <f t="shared" si="24"/>
        <v>0</v>
      </c>
      <c r="AW97" s="342"/>
      <c r="AX97" s="342"/>
      <c r="AY97" s="342"/>
      <c r="AZ97" s="342"/>
      <c r="BA97" s="342"/>
      <c r="BB97" s="342"/>
      <c r="BC97" s="342"/>
      <c r="BD97" s="342">
        <f t="shared" si="25"/>
        <v>0</v>
      </c>
      <c r="BE97" s="342">
        <f t="shared" si="26"/>
        <v>0</v>
      </c>
      <c r="BF97" s="342">
        <f t="shared" si="27"/>
        <v>0</v>
      </c>
      <c r="BG97" s="342">
        <f t="shared" si="28"/>
        <v>0</v>
      </c>
      <c r="BI97" s="346">
        <f t="shared" si="29"/>
        <v>0</v>
      </c>
      <c r="BJ97" s="346">
        <v>1</v>
      </c>
      <c r="BK97" s="1120">
        <f t="shared" si="30"/>
        <v>0</v>
      </c>
    </row>
    <row r="98" spans="1:63" x14ac:dyDescent="0.25">
      <c r="A98" s="340"/>
      <c r="B98" s="340"/>
      <c r="C98" s="342"/>
      <c r="D98" s="342"/>
      <c r="E98" s="342"/>
      <c r="F98" s="342"/>
      <c r="G98" s="342"/>
      <c r="H98" s="342"/>
      <c r="I98" s="342"/>
      <c r="J98" s="342"/>
      <c r="K98" s="342"/>
      <c r="L98" s="342"/>
      <c r="M98" s="342"/>
      <c r="N98" s="342"/>
      <c r="O98" s="342"/>
      <c r="P98" s="342"/>
      <c r="Q98" s="342"/>
      <c r="R98" s="342">
        <f t="shared" si="22"/>
        <v>0</v>
      </c>
      <c r="S98" s="342"/>
      <c r="T98" s="342">
        <f t="shared" si="23"/>
        <v>0</v>
      </c>
      <c r="U98" s="342"/>
      <c r="V98" s="342"/>
      <c r="W98" s="342"/>
      <c r="X98" s="342"/>
      <c r="Y98" s="342"/>
      <c r="Z98" s="342"/>
      <c r="AA98" s="342"/>
      <c r="AB98" s="342"/>
      <c r="AC98" s="342"/>
      <c r="AD98" s="342"/>
      <c r="AE98" s="342"/>
      <c r="AF98" s="342"/>
      <c r="AG98" s="342"/>
      <c r="AH98" s="342"/>
      <c r="AI98" s="342"/>
      <c r="AJ98" s="342"/>
      <c r="AK98" s="342">
        <v>0</v>
      </c>
      <c r="AL98" s="342"/>
      <c r="AM98" s="342"/>
      <c r="AN98" s="342"/>
      <c r="AO98" s="342"/>
      <c r="AP98" s="342"/>
      <c r="AQ98" s="342"/>
      <c r="AR98" s="342"/>
      <c r="AS98" s="342">
        <v>0</v>
      </c>
      <c r="AT98" s="342"/>
      <c r="AU98" s="342"/>
      <c r="AV98" s="342">
        <f t="shared" si="24"/>
        <v>0</v>
      </c>
      <c r="AW98" s="342"/>
      <c r="AX98" s="342"/>
      <c r="AY98" s="342"/>
      <c r="AZ98" s="342"/>
      <c r="BA98" s="342"/>
      <c r="BB98" s="342"/>
      <c r="BC98" s="342"/>
      <c r="BD98" s="342">
        <f t="shared" si="25"/>
        <v>0</v>
      </c>
      <c r="BE98" s="342">
        <f t="shared" si="26"/>
        <v>0</v>
      </c>
      <c r="BF98" s="342">
        <f t="shared" si="27"/>
        <v>0</v>
      </c>
      <c r="BG98" s="342">
        <f t="shared" si="28"/>
        <v>0</v>
      </c>
      <c r="BI98" s="346">
        <f t="shared" si="29"/>
        <v>0</v>
      </c>
      <c r="BJ98" s="346">
        <v>1</v>
      </c>
      <c r="BK98" s="1120">
        <f t="shared" si="30"/>
        <v>0</v>
      </c>
    </row>
    <row r="99" spans="1:63" x14ac:dyDescent="0.25">
      <c r="A99" s="340"/>
      <c r="B99" s="340"/>
      <c r="C99" s="342"/>
      <c r="D99" s="342"/>
      <c r="E99" s="342"/>
      <c r="F99" s="342"/>
      <c r="G99" s="342"/>
      <c r="H99" s="342"/>
      <c r="I99" s="342"/>
      <c r="J99" s="342"/>
      <c r="K99" s="342"/>
      <c r="L99" s="342"/>
      <c r="M99" s="342"/>
      <c r="N99" s="342"/>
      <c r="O99" s="342"/>
      <c r="P99" s="342"/>
      <c r="Q99" s="342"/>
      <c r="R99" s="342">
        <f t="shared" si="22"/>
        <v>0</v>
      </c>
      <c r="S99" s="342"/>
      <c r="T99" s="342">
        <f t="shared" si="23"/>
        <v>0</v>
      </c>
      <c r="U99" s="342"/>
      <c r="V99" s="342"/>
      <c r="W99" s="342"/>
      <c r="X99" s="342"/>
      <c r="Y99" s="342"/>
      <c r="Z99" s="342"/>
      <c r="AA99" s="342"/>
      <c r="AB99" s="342"/>
      <c r="AC99" s="342"/>
      <c r="AD99" s="342"/>
      <c r="AE99" s="342"/>
      <c r="AF99" s="342"/>
      <c r="AG99" s="342"/>
      <c r="AH99" s="342"/>
      <c r="AI99" s="342"/>
      <c r="AJ99" s="342"/>
      <c r="AK99" s="342">
        <v>0</v>
      </c>
      <c r="AL99" s="342"/>
      <c r="AM99" s="342"/>
      <c r="AN99" s="342"/>
      <c r="AO99" s="342"/>
      <c r="AP99" s="342"/>
      <c r="AQ99" s="342"/>
      <c r="AR99" s="342"/>
      <c r="AS99" s="342">
        <v>0</v>
      </c>
      <c r="AT99" s="342"/>
      <c r="AU99" s="342"/>
      <c r="AV99" s="342">
        <f t="shared" si="24"/>
        <v>0</v>
      </c>
      <c r="AW99" s="342"/>
      <c r="AX99" s="342"/>
      <c r="AY99" s="342"/>
      <c r="AZ99" s="342"/>
      <c r="BA99" s="342"/>
      <c r="BB99" s="342"/>
      <c r="BC99" s="342"/>
      <c r="BD99" s="342">
        <f t="shared" si="25"/>
        <v>0</v>
      </c>
      <c r="BE99" s="342">
        <f t="shared" si="26"/>
        <v>0</v>
      </c>
      <c r="BF99" s="342">
        <f t="shared" si="27"/>
        <v>0</v>
      </c>
      <c r="BG99" s="342">
        <f t="shared" si="28"/>
        <v>0</v>
      </c>
      <c r="BI99" s="346">
        <f t="shared" si="29"/>
        <v>0</v>
      </c>
      <c r="BJ99" s="346">
        <v>1</v>
      </c>
      <c r="BK99" s="1120">
        <f t="shared" si="30"/>
        <v>0</v>
      </c>
    </row>
    <row r="100" spans="1:63" ht="27.6" x14ac:dyDescent="0.25">
      <c r="A100" s="340"/>
      <c r="B100" s="341" t="s">
        <v>1220</v>
      </c>
      <c r="C100" s="343">
        <f>SUM(C94:C99)</f>
        <v>0</v>
      </c>
      <c r="D100" s="343">
        <f t="shared" ref="D100:BD100" si="36">SUM(D94:D99)</f>
        <v>0</v>
      </c>
      <c r="E100" s="343">
        <f t="shared" si="36"/>
        <v>0</v>
      </c>
      <c r="F100" s="343">
        <f t="shared" si="36"/>
        <v>0</v>
      </c>
      <c r="G100" s="343">
        <f t="shared" si="36"/>
        <v>0</v>
      </c>
      <c r="H100" s="343">
        <f t="shared" si="36"/>
        <v>0</v>
      </c>
      <c r="I100" s="343">
        <f t="shared" si="36"/>
        <v>0</v>
      </c>
      <c r="J100" s="343">
        <f t="shared" si="36"/>
        <v>0</v>
      </c>
      <c r="K100" s="343">
        <f t="shared" si="36"/>
        <v>0</v>
      </c>
      <c r="L100" s="343">
        <f t="shared" si="36"/>
        <v>0</v>
      </c>
      <c r="M100" s="343">
        <f t="shared" si="36"/>
        <v>0</v>
      </c>
      <c r="N100" s="343">
        <f t="shared" si="36"/>
        <v>0</v>
      </c>
      <c r="O100" s="343">
        <f t="shared" si="36"/>
        <v>0</v>
      </c>
      <c r="P100" s="343">
        <f t="shared" si="36"/>
        <v>0</v>
      </c>
      <c r="Q100" s="343">
        <f t="shared" si="36"/>
        <v>0</v>
      </c>
      <c r="R100" s="343">
        <f t="shared" si="36"/>
        <v>0</v>
      </c>
      <c r="S100" s="343">
        <f t="shared" si="36"/>
        <v>0</v>
      </c>
      <c r="T100" s="343">
        <f t="shared" si="36"/>
        <v>0</v>
      </c>
      <c r="U100" s="343">
        <f t="shared" si="36"/>
        <v>2000000</v>
      </c>
      <c r="V100" s="343">
        <f t="shared" si="36"/>
        <v>0</v>
      </c>
      <c r="W100" s="343">
        <f t="shared" si="36"/>
        <v>0</v>
      </c>
      <c r="X100" s="343">
        <f t="shared" si="36"/>
        <v>0</v>
      </c>
      <c r="Y100" s="343">
        <f t="shared" si="36"/>
        <v>0</v>
      </c>
      <c r="Z100" s="343">
        <f t="shared" si="36"/>
        <v>0</v>
      </c>
      <c r="AA100" s="343">
        <f t="shared" si="36"/>
        <v>0</v>
      </c>
      <c r="AB100" s="343">
        <f t="shared" si="36"/>
        <v>0</v>
      </c>
      <c r="AC100" s="343">
        <f t="shared" si="36"/>
        <v>0</v>
      </c>
      <c r="AD100" s="343">
        <f t="shared" si="36"/>
        <v>4510000</v>
      </c>
      <c r="AE100" s="343">
        <f t="shared" si="36"/>
        <v>0</v>
      </c>
      <c r="AF100" s="343">
        <f t="shared" si="36"/>
        <v>0</v>
      </c>
      <c r="AG100" s="343">
        <f t="shared" si="36"/>
        <v>0</v>
      </c>
      <c r="AH100" s="343">
        <f t="shared" si="36"/>
        <v>0</v>
      </c>
      <c r="AI100" s="343">
        <f t="shared" si="36"/>
        <v>0</v>
      </c>
      <c r="AJ100" s="343">
        <f t="shared" si="36"/>
        <v>0</v>
      </c>
      <c r="AK100" s="343">
        <f t="shared" si="36"/>
        <v>0</v>
      </c>
      <c r="AL100" s="343">
        <f t="shared" si="36"/>
        <v>0</v>
      </c>
      <c r="AM100" s="343">
        <f t="shared" si="36"/>
        <v>0</v>
      </c>
      <c r="AN100" s="343">
        <f t="shared" si="36"/>
        <v>0</v>
      </c>
      <c r="AO100" s="343">
        <f t="shared" si="36"/>
        <v>0</v>
      </c>
      <c r="AP100" s="343">
        <f t="shared" si="36"/>
        <v>0</v>
      </c>
      <c r="AQ100" s="343">
        <f t="shared" si="36"/>
        <v>0</v>
      </c>
      <c r="AR100" s="343">
        <f t="shared" si="36"/>
        <v>0</v>
      </c>
      <c r="AS100" s="343">
        <f t="shared" si="36"/>
        <v>2000000</v>
      </c>
      <c r="AT100" s="343">
        <f t="shared" si="36"/>
        <v>0</v>
      </c>
      <c r="AU100" s="343">
        <f t="shared" si="36"/>
        <v>0</v>
      </c>
      <c r="AV100" s="343">
        <f t="shared" si="36"/>
        <v>8510000</v>
      </c>
      <c r="AW100" s="343">
        <f t="shared" si="36"/>
        <v>0</v>
      </c>
      <c r="AX100" s="343">
        <f t="shared" si="36"/>
        <v>0</v>
      </c>
      <c r="AY100" s="343">
        <f t="shared" si="36"/>
        <v>0</v>
      </c>
      <c r="AZ100" s="343">
        <f t="shared" si="36"/>
        <v>0</v>
      </c>
      <c r="BA100" s="343">
        <f t="shared" si="36"/>
        <v>350000</v>
      </c>
      <c r="BB100" s="343">
        <f t="shared" si="36"/>
        <v>0</v>
      </c>
      <c r="BC100" s="343">
        <f t="shared" si="36"/>
        <v>0</v>
      </c>
      <c r="BD100" s="343">
        <f t="shared" si="36"/>
        <v>350000</v>
      </c>
      <c r="BE100" s="343">
        <f t="shared" si="26"/>
        <v>8860000</v>
      </c>
      <c r="BF100" s="343">
        <f t="shared" si="27"/>
        <v>2000000</v>
      </c>
      <c r="BG100" s="343">
        <f t="shared" si="28"/>
        <v>6860000</v>
      </c>
      <c r="BI100" s="346" t="str">
        <f t="shared" si="29"/>
        <v>2.03 - MATERIALES Y PRODUCTOS DE USO EN LA CONSTRUCCIÓN Y MANTENIMI</v>
      </c>
      <c r="BJ100" s="346">
        <v>1</v>
      </c>
      <c r="BK100" s="1120">
        <f t="shared" si="30"/>
        <v>0</v>
      </c>
    </row>
    <row r="101" spans="1:63" x14ac:dyDescent="0.25">
      <c r="A101" s="340"/>
      <c r="B101" s="341"/>
      <c r="C101" s="343"/>
      <c r="D101" s="343"/>
      <c r="E101" s="343"/>
      <c r="F101" s="343"/>
      <c r="G101" s="343"/>
      <c r="H101" s="343"/>
      <c r="I101" s="343"/>
      <c r="J101" s="343"/>
      <c r="K101" s="343"/>
      <c r="L101" s="343"/>
      <c r="M101" s="343"/>
      <c r="N101" s="343"/>
      <c r="O101" s="343"/>
      <c r="P101" s="343"/>
      <c r="Q101" s="343"/>
      <c r="R101" s="343">
        <f t="shared" si="22"/>
        <v>0</v>
      </c>
      <c r="S101" s="343"/>
      <c r="T101" s="343">
        <f t="shared" si="23"/>
        <v>0</v>
      </c>
      <c r="U101" s="343"/>
      <c r="V101" s="343"/>
      <c r="W101" s="343"/>
      <c r="X101" s="343"/>
      <c r="Y101" s="343"/>
      <c r="Z101" s="343"/>
      <c r="AA101" s="343"/>
      <c r="AB101" s="343"/>
      <c r="AC101" s="343"/>
      <c r="AD101" s="343"/>
      <c r="AE101" s="343"/>
      <c r="AF101" s="343"/>
      <c r="AG101" s="343"/>
      <c r="AH101" s="343"/>
      <c r="AI101" s="343"/>
      <c r="AJ101" s="343"/>
      <c r="AK101" s="343">
        <v>0</v>
      </c>
      <c r="AL101" s="343"/>
      <c r="AM101" s="343"/>
      <c r="AN101" s="343"/>
      <c r="AO101" s="343"/>
      <c r="AP101" s="343"/>
      <c r="AQ101" s="343"/>
      <c r="AR101" s="343"/>
      <c r="AS101" s="343">
        <v>0</v>
      </c>
      <c r="AT101" s="343"/>
      <c r="AU101" s="343"/>
      <c r="AV101" s="343">
        <f t="shared" si="24"/>
        <v>0</v>
      </c>
      <c r="AW101" s="343"/>
      <c r="AX101" s="343"/>
      <c r="AY101" s="343"/>
      <c r="AZ101" s="343"/>
      <c r="BA101" s="343"/>
      <c r="BB101" s="343"/>
      <c r="BC101" s="343"/>
      <c r="BD101" s="343">
        <f t="shared" si="25"/>
        <v>0</v>
      </c>
      <c r="BE101" s="343">
        <f t="shared" si="26"/>
        <v>0</v>
      </c>
      <c r="BF101" s="343">
        <f t="shared" si="27"/>
        <v>0</v>
      </c>
      <c r="BG101" s="343">
        <f t="shared" si="28"/>
        <v>0</v>
      </c>
      <c r="BI101" s="346">
        <f t="shared" si="29"/>
        <v>0</v>
      </c>
      <c r="BJ101" s="346">
        <v>1</v>
      </c>
      <c r="BK101" s="1120">
        <f t="shared" si="30"/>
        <v>0</v>
      </c>
    </row>
    <row r="102" spans="1:63" x14ac:dyDescent="0.25">
      <c r="A102" s="340" t="s">
        <v>218</v>
      </c>
      <c r="B102" s="340" t="s">
        <v>219</v>
      </c>
      <c r="C102" s="342"/>
      <c r="D102" s="342"/>
      <c r="E102" s="342"/>
      <c r="F102" s="342"/>
      <c r="G102" s="342"/>
      <c r="H102" s="342"/>
      <c r="I102" s="342"/>
      <c r="J102" s="342"/>
      <c r="K102" s="342"/>
      <c r="L102" s="342">
        <v>2111600</v>
      </c>
      <c r="M102" s="342">
        <v>2113900</v>
      </c>
      <c r="N102" s="342"/>
      <c r="O102" s="342"/>
      <c r="P102" s="342"/>
      <c r="Q102" s="342">
        <v>60000</v>
      </c>
      <c r="R102" s="342">
        <f t="shared" si="22"/>
        <v>4285500</v>
      </c>
      <c r="S102" s="342"/>
      <c r="T102" s="342">
        <f t="shared" si="23"/>
        <v>0</v>
      </c>
      <c r="U102" s="342">
        <v>4622450</v>
      </c>
      <c r="V102" s="342"/>
      <c r="W102" s="342"/>
      <c r="X102" s="342"/>
      <c r="Y102" s="342"/>
      <c r="Z102" s="342"/>
      <c r="AA102" s="342"/>
      <c r="AB102" s="342"/>
      <c r="AC102" s="342"/>
      <c r="AD102" s="342">
        <v>5561300</v>
      </c>
      <c r="AE102" s="342"/>
      <c r="AF102" s="342"/>
      <c r="AG102" s="342"/>
      <c r="AH102" s="342"/>
      <c r="AI102" s="342"/>
      <c r="AJ102" s="342"/>
      <c r="AK102" s="342">
        <v>0</v>
      </c>
      <c r="AL102" s="342">
        <v>42000</v>
      </c>
      <c r="AM102" s="342"/>
      <c r="AN102" s="342"/>
      <c r="AO102" s="342">
        <v>0</v>
      </c>
      <c r="AP102" s="342">
        <v>42000</v>
      </c>
      <c r="AQ102" s="342"/>
      <c r="AR102" s="342"/>
      <c r="AS102" s="342">
        <v>3877500</v>
      </c>
      <c r="AT102" s="342">
        <v>373750</v>
      </c>
      <c r="AU102" s="342"/>
      <c r="AV102" s="342">
        <f t="shared" si="24"/>
        <v>14519000</v>
      </c>
      <c r="AW102" s="342"/>
      <c r="AX102" s="342"/>
      <c r="AY102" s="342"/>
      <c r="AZ102" s="342"/>
      <c r="BA102" s="342"/>
      <c r="BB102" s="342"/>
      <c r="BC102" s="342"/>
      <c r="BD102" s="342">
        <f t="shared" si="25"/>
        <v>0</v>
      </c>
      <c r="BE102" s="342">
        <f t="shared" si="26"/>
        <v>18804500</v>
      </c>
      <c r="BF102" s="342">
        <f t="shared" si="27"/>
        <v>4251250</v>
      </c>
      <c r="BG102" s="342">
        <f t="shared" si="28"/>
        <v>14553250</v>
      </c>
      <c r="BH102" s="346" t="s">
        <v>218</v>
      </c>
      <c r="BI102" s="346" t="str">
        <f t="shared" si="29"/>
        <v>Repuestos y Accesorios</v>
      </c>
      <c r="BJ102" s="346">
        <v>1</v>
      </c>
      <c r="BK102" s="1120">
        <f t="shared" si="30"/>
        <v>4285500</v>
      </c>
    </row>
    <row r="103" spans="1:63" x14ac:dyDescent="0.25">
      <c r="A103" s="340"/>
      <c r="B103" s="341" t="s">
        <v>1221</v>
      </c>
      <c r="C103" s="343">
        <f>SUM(C101:C102)</f>
        <v>0</v>
      </c>
      <c r="D103" s="343">
        <f t="shared" ref="D103:BD103" si="37">SUM(D101:D102)</f>
        <v>0</v>
      </c>
      <c r="E103" s="343">
        <f t="shared" si="37"/>
        <v>0</v>
      </c>
      <c r="F103" s="343">
        <f t="shared" si="37"/>
        <v>0</v>
      </c>
      <c r="G103" s="343">
        <f t="shared" si="37"/>
        <v>0</v>
      </c>
      <c r="H103" s="343">
        <f t="shared" si="37"/>
        <v>0</v>
      </c>
      <c r="I103" s="343">
        <f t="shared" si="37"/>
        <v>0</v>
      </c>
      <c r="J103" s="343">
        <f t="shared" si="37"/>
        <v>0</v>
      </c>
      <c r="K103" s="343">
        <f t="shared" si="37"/>
        <v>0</v>
      </c>
      <c r="L103" s="343">
        <f t="shared" si="37"/>
        <v>2111600</v>
      </c>
      <c r="M103" s="343">
        <f t="shared" si="37"/>
        <v>2113900</v>
      </c>
      <c r="N103" s="343">
        <f t="shared" si="37"/>
        <v>0</v>
      </c>
      <c r="O103" s="343">
        <f t="shared" si="37"/>
        <v>0</v>
      </c>
      <c r="P103" s="343">
        <f t="shared" si="37"/>
        <v>0</v>
      </c>
      <c r="Q103" s="343">
        <f t="shared" si="37"/>
        <v>60000</v>
      </c>
      <c r="R103" s="343">
        <f t="shared" si="37"/>
        <v>4285500</v>
      </c>
      <c r="S103" s="343">
        <f t="shared" si="37"/>
        <v>0</v>
      </c>
      <c r="T103" s="343">
        <f t="shared" si="37"/>
        <v>0</v>
      </c>
      <c r="U103" s="343">
        <f t="shared" si="37"/>
        <v>4622450</v>
      </c>
      <c r="V103" s="343">
        <f t="shared" si="37"/>
        <v>0</v>
      </c>
      <c r="W103" s="343">
        <f t="shared" si="37"/>
        <v>0</v>
      </c>
      <c r="X103" s="343">
        <f t="shared" si="37"/>
        <v>0</v>
      </c>
      <c r="Y103" s="343">
        <f t="shared" si="37"/>
        <v>0</v>
      </c>
      <c r="Z103" s="343">
        <f t="shared" si="37"/>
        <v>0</v>
      </c>
      <c r="AA103" s="343">
        <f t="shared" si="37"/>
        <v>0</v>
      </c>
      <c r="AB103" s="343">
        <f t="shared" si="37"/>
        <v>0</v>
      </c>
      <c r="AC103" s="343">
        <f t="shared" si="37"/>
        <v>0</v>
      </c>
      <c r="AD103" s="343">
        <f t="shared" si="37"/>
        <v>5561300</v>
      </c>
      <c r="AE103" s="343">
        <f t="shared" si="37"/>
        <v>0</v>
      </c>
      <c r="AF103" s="343">
        <f t="shared" si="37"/>
        <v>0</v>
      </c>
      <c r="AG103" s="343">
        <f t="shared" si="37"/>
        <v>0</v>
      </c>
      <c r="AH103" s="343">
        <f t="shared" si="37"/>
        <v>0</v>
      </c>
      <c r="AI103" s="343">
        <f t="shared" si="37"/>
        <v>0</v>
      </c>
      <c r="AJ103" s="343">
        <f t="shared" si="37"/>
        <v>0</v>
      </c>
      <c r="AK103" s="343">
        <f t="shared" si="37"/>
        <v>0</v>
      </c>
      <c r="AL103" s="343">
        <f t="shared" si="37"/>
        <v>42000</v>
      </c>
      <c r="AM103" s="343">
        <f t="shared" si="37"/>
        <v>0</v>
      </c>
      <c r="AN103" s="343">
        <f t="shared" si="37"/>
        <v>0</v>
      </c>
      <c r="AO103" s="343">
        <f t="shared" si="37"/>
        <v>0</v>
      </c>
      <c r="AP103" s="343">
        <f t="shared" si="37"/>
        <v>42000</v>
      </c>
      <c r="AQ103" s="343">
        <f t="shared" si="37"/>
        <v>0</v>
      </c>
      <c r="AR103" s="343">
        <f t="shared" si="37"/>
        <v>0</v>
      </c>
      <c r="AS103" s="343">
        <f t="shared" si="37"/>
        <v>3877500</v>
      </c>
      <c r="AT103" s="343">
        <f t="shared" si="37"/>
        <v>373750</v>
      </c>
      <c r="AU103" s="343">
        <f t="shared" si="37"/>
        <v>0</v>
      </c>
      <c r="AV103" s="343">
        <f t="shared" si="37"/>
        <v>14519000</v>
      </c>
      <c r="AW103" s="343">
        <f t="shared" si="37"/>
        <v>0</v>
      </c>
      <c r="AX103" s="343">
        <f t="shared" si="37"/>
        <v>0</v>
      </c>
      <c r="AY103" s="343">
        <f t="shared" si="37"/>
        <v>0</v>
      </c>
      <c r="AZ103" s="343">
        <f t="shared" si="37"/>
        <v>0</v>
      </c>
      <c r="BA103" s="343">
        <f t="shared" si="37"/>
        <v>0</v>
      </c>
      <c r="BB103" s="343">
        <f t="shared" si="37"/>
        <v>0</v>
      </c>
      <c r="BC103" s="343">
        <f t="shared" si="37"/>
        <v>0</v>
      </c>
      <c r="BD103" s="343">
        <f t="shared" si="37"/>
        <v>0</v>
      </c>
      <c r="BE103" s="343">
        <f t="shared" si="26"/>
        <v>18804500</v>
      </c>
      <c r="BF103" s="343">
        <f t="shared" si="27"/>
        <v>4251250</v>
      </c>
      <c r="BG103" s="343">
        <f t="shared" si="28"/>
        <v>14553250</v>
      </c>
      <c r="BI103" s="346" t="str">
        <f t="shared" si="29"/>
        <v>2.04 - HERRAMIENTAS, REPUESTOS Y ACCESORIOS</v>
      </c>
      <c r="BJ103" s="346">
        <v>1</v>
      </c>
      <c r="BK103" s="1120">
        <f t="shared" si="30"/>
        <v>4285500</v>
      </c>
    </row>
    <row r="104" spans="1:63" x14ac:dyDescent="0.25">
      <c r="A104" s="340" t="s">
        <v>221</v>
      </c>
      <c r="B104" s="340" t="s">
        <v>222</v>
      </c>
      <c r="C104" s="342"/>
      <c r="D104" s="342"/>
      <c r="E104" s="342"/>
      <c r="F104" s="342"/>
      <c r="G104" s="342"/>
      <c r="H104" s="342"/>
      <c r="I104" s="342"/>
      <c r="J104" s="342"/>
      <c r="K104" s="342"/>
      <c r="L104" s="342"/>
      <c r="M104" s="342">
        <v>6309</v>
      </c>
      <c r="N104" s="342"/>
      <c r="O104" s="342"/>
      <c r="P104" s="342"/>
      <c r="Q104" s="342">
        <v>3278943</v>
      </c>
      <c r="R104" s="342">
        <f t="shared" si="22"/>
        <v>3285252</v>
      </c>
      <c r="S104" s="342"/>
      <c r="T104" s="342">
        <f t="shared" si="23"/>
        <v>0</v>
      </c>
      <c r="U104" s="342"/>
      <c r="V104" s="342"/>
      <c r="W104" s="342"/>
      <c r="X104" s="342"/>
      <c r="Y104" s="342"/>
      <c r="Z104" s="342"/>
      <c r="AA104" s="342">
        <f>225000+6050</f>
        <v>231050</v>
      </c>
      <c r="AB104" s="342"/>
      <c r="AC104" s="342"/>
      <c r="AD104" s="342"/>
      <c r="AE104" s="342"/>
      <c r="AF104" s="342"/>
      <c r="AG104" s="342"/>
      <c r="AH104" s="342"/>
      <c r="AI104" s="342"/>
      <c r="AJ104" s="342"/>
      <c r="AK104" s="342">
        <v>0</v>
      </c>
      <c r="AL104" s="342"/>
      <c r="AM104" s="342"/>
      <c r="AN104" s="342"/>
      <c r="AO104" s="342"/>
      <c r="AP104" s="342"/>
      <c r="AQ104" s="342"/>
      <c r="AR104" s="342"/>
      <c r="AS104" s="342">
        <v>450000</v>
      </c>
      <c r="AT104" s="342"/>
      <c r="AU104" s="342"/>
      <c r="AV104" s="342">
        <f t="shared" si="24"/>
        <v>681050</v>
      </c>
      <c r="AW104" s="342"/>
      <c r="AX104" s="342"/>
      <c r="AY104" s="342"/>
      <c r="AZ104" s="342"/>
      <c r="BA104" s="342"/>
      <c r="BB104" s="342"/>
      <c r="BC104" s="342"/>
      <c r="BD104" s="342">
        <f t="shared" si="25"/>
        <v>0</v>
      </c>
      <c r="BE104" s="342">
        <f t="shared" si="26"/>
        <v>3966302</v>
      </c>
      <c r="BF104" s="342">
        <f t="shared" si="27"/>
        <v>450000</v>
      </c>
      <c r="BG104" s="342">
        <f t="shared" si="28"/>
        <v>3516302</v>
      </c>
      <c r="BH104" s="346" t="s">
        <v>221</v>
      </c>
      <c r="BI104" s="346" t="str">
        <f t="shared" si="29"/>
        <v>Utiles y Materiales de Oficina y Cómputo</v>
      </c>
      <c r="BJ104" s="346">
        <v>1</v>
      </c>
      <c r="BK104" s="1120">
        <f t="shared" si="30"/>
        <v>3285252</v>
      </c>
    </row>
    <row r="105" spans="1:63" x14ac:dyDescent="0.25">
      <c r="A105" s="340" t="s">
        <v>223</v>
      </c>
      <c r="B105" s="340" t="s">
        <v>279</v>
      </c>
      <c r="C105" s="342"/>
      <c r="D105" s="342"/>
      <c r="E105" s="342"/>
      <c r="F105" s="342"/>
      <c r="G105" s="342"/>
      <c r="H105" s="342"/>
      <c r="I105" s="342"/>
      <c r="J105" s="342"/>
      <c r="K105" s="342"/>
      <c r="L105" s="342"/>
      <c r="M105" s="342"/>
      <c r="N105" s="342"/>
      <c r="O105" s="342">
        <v>1038250</v>
      </c>
      <c r="P105" s="342"/>
      <c r="Q105" s="342"/>
      <c r="R105" s="342">
        <f t="shared" si="22"/>
        <v>1038250</v>
      </c>
      <c r="S105" s="342"/>
      <c r="T105" s="342">
        <f t="shared" si="23"/>
        <v>0</v>
      </c>
      <c r="U105" s="342"/>
      <c r="V105" s="342"/>
      <c r="W105" s="342"/>
      <c r="X105" s="342"/>
      <c r="Y105" s="342"/>
      <c r="Z105" s="342"/>
      <c r="AA105" s="342"/>
      <c r="AB105" s="342"/>
      <c r="AC105" s="342"/>
      <c r="AD105" s="342"/>
      <c r="AE105" s="342"/>
      <c r="AF105" s="342"/>
      <c r="AG105" s="342"/>
      <c r="AH105" s="342"/>
      <c r="AI105" s="342"/>
      <c r="AJ105" s="342"/>
      <c r="AK105" s="342">
        <v>0</v>
      </c>
      <c r="AL105" s="342"/>
      <c r="AM105" s="342"/>
      <c r="AN105" s="342"/>
      <c r="AO105" s="342"/>
      <c r="AP105" s="342"/>
      <c r="AQ105" s="342"/>
      <c r="AR105" s="342"/>
      <c r="AS105" s="342">
        <v>0</v>
      </c>
      <c r="AT105" s="342"/>
      <c r="AU105" s="342"/>
      <c r="AV105" s="342">
        <f t="shared" si="24"/>
        <v>0</v>
      </c>
      <c r="AW105" s="342"/>
      <c r="AX105" s="342"/>
      <c r="AY105" s="342"/>
      <c r="AZ105" s="342"/>
      <c r="BA105" s="342"/>
      <c r="BB105" s="342"/>
      <c r="BC105" s="342"/>
      <c r="BD105" s="342">
        <f t="shared" si="25"/>
        <v>0</v>
      </c>
      <c r="BE105" s="342">
        <f t="shared" si="26"/>
        <v>1038250</v>
      </c>
      <c r="BF105" s="342">
        <f t="shared" si="27"/>
        <v>0</v>
      </c>
      <c r="BG105" s="342">
        <f t="shared" si="28"/>
        <v>1038250</v>
      </c>
      <c r="BH105" s="346" t="s">
        <v>223</v>
      </c>
      <c r="BI105" s="346" t="str">
        <f t="shared" si="29"/>
        <v>Utiles y Materiales Médico, Hospitalario y de Investigación</v>
      </c>
      <c r="BJ105" s="346">
        <v>1</v>
      </c>
      <c r="BK105" s="1120">
        <f t="shared" si="30"/>
        <v>1038250</v>
      </c>
    </row>
    <row r="106" spans="1:63" x14ac:dyDescent="0.25">
      <c r="A106" s="340" t="s">
        <v>224</v>
      </c>
      <c r="B106" s="340" t="s">
        <v>225</v>
      </c>
      <c r="C106" s="342"/>
      <c r="D106" s="342"/>
      <c r="E106" s="342"/>
      <c r="F106" s="342"/>
      <c r="G106" s="342"/>
      <c r="H106" s="342"/>
      <c r="I106" s="342"/>
      <c r="J106" s="342"/>
      <c r="K106" s="342"/>
      <c r="L106" s="342"/>
      <c r="M106" s="342">
        <v>1790500</v>
      </c>
      <c r="N106" s="342"/>
      <c r="O106" s="342">
        <v>72000</v>
      </c>
      <c r="P106" s="342"/>
      <c r="Q106" s="342">
        <v>1398740</v>
      </c>
      <c r="R106" s="342">
        <f t="shared" si="22"/>
        <v>3261240</v>
      </c>
      <c r="S106" s="342"/>
      <c r="T106" s="342">
        <f t="shared" si="23"/>
        <v>0</v>
      </c>
      <c r="U106" s="342"/>
      <c r="V106" s="342"/>
      <c r="W106" s="342"/>
      <c r="X106" s="342"/>
      <c r="Y106" s="342"/>
      <c r="Z106" s="342"/>
      <c r="AA106" s="342">
        <v>35500</v>
      </c>
      <c r="AB106" s="342"/>
      <c r="AC106" s="342"/>
      <c r="AD106" s="342">
        <v>60000</v>
      </c>
      <c r="AE106" s="342"/>
      <c r="AF106" s="342"/>
      <c r="AG106" s="342"/>
      <c r="AH106" s="342"/>
      <c r="AI106" s="342"/>
      <c r="AJ106" s="342"/>
      <c r="AK106" s="342">
        <v>0</v>
      </c>
      <c r="AL106" s="342"/>
      <c r="AM106" s="342"/>
      <c r="AN106" s="342"/>
      <c r="AO106" s="342"/>
      <c r="AP106" s="342"/>
      <c r="AQ106" s="342"/>
      <c r="AR106" s="342"/>
      <c r="AS106" s="342">
        <v>300000</v>
      </c>
      <c r="AT106" s="342"/>
      <c r="AU106" s="342"/>
      <c r="AV106" s="342">
        <f t="shared" si="24"/>
        <v>395500</v>
      </c>
      <c r="AW106" s="342"/>
      <c r="AX106" s="342"/>
      <c r="AY106" s="342"/>
      <c r="AZ106" s="342"/>
      <c r="BA106" s="342"/>
      <c r="BB106" s="342"/>
      <c r="BC106" s="342"/>
      <c r="BD106" s="342">
        <f t="shared" si="25"/>
        <v>0</v>
      </c>
      <c r="BE106" s="342">
        <f t="shared" si="26"/>
        <v>3656740</v>
      </c>
      <c r="BF106" s="342">
        <f t="shared" si="27"/>
        <v>300000</v>
      </c>
      <c r="BG106" s="342">
        <f t="shared" si="28"/>
        <v>3356740</v>
      </c>
      <c r="BH106" s="346" t="s">
        <v>224</v>
      </c>
      <c r="BI106" s="346" t="str">
        <f t="shared" si="29"/>
        <v>Productos de Papel, Cartón e Impresos</v>
      </c>
      <c r="BJ106" s="346">
        <v>1</v>
      </c>
      <c r="BK106" s="1120">
        <f t="shared" si="30"/>
        <v>3261240</v>
      </c>
    </row>
    <row r="107" spans="1:63" x14ac:dyDescent="0.25">
      <c r="A107" s="340" t="s">
        <v>226</v>
      </c>
      <c r="B107" s="340" t="s">
        <v>1222</v>
      </c>
      <c r="C107" s="342"/>
      <c r="D107" s="342"/>
      <c r="E107" s="342"/>
      <c r="F107" s="342"/>
      <c r="G107" s="342"/>
      <c r="H107" s="342"/>
      <c r="I107" s="342"/>
      <c r="J107" s="342"/>
      <c r="K107" s="342">
        <v>350000</v>
      </c>
      <c r="L107" s="342">
        <v>2864336</v>
      </c>
      <c r="M107" s="342">
        <v>853696</v>
      </c>
      <c r="N107" s="342"/>
      <c r="O107" s="342"/>
      <c r="P107" s="342"/>
      <c r="Q107" s="342"/>
      <c r="R107" s="342">
        <f t="shared" si="22"/>
        <v>4068032</v>
      </c>
      <c r="S107" s="342"/>
      <c r="T107" s="342">
        <f t="shared" si="23"/>
        <v>0</v>
      </c>
      <c r="U107" s="342">
        <v>8357160</v>
      </c>
      <c r="V107" s="342"/>
      <c r="W107" s="342"/>
      <c r="X107" s="342"/>
      <c r="Y107" s="342"/>
      <c r="Z107" s="342"/>
      <c r="AA107" s="342">
        <v>818660</v>
      </c>
      <c r="AB107" s="342"/>
      <c r="AC107" s="342"/>
      <c r="AD107" s="342">
        <v>1876480</v>
      </c>
      <c r="AE107" s="342"/>
      <c r="AF107" s="342"/>
      <c r="AG107" s="342"/>
      <c r="AH107" s="342"/>
      <c r="AI107" s="342"/>
      <c r="AJ107" s="342"/>
      <c r="AK107" s="342">
        <v>0</v>
      </c>
      <c r="AL107" s="342"/>
      <c r="AM107" s="342"/>
      <c r="AN107" s="342"/>
      <c r="AO107" s="342"/>
      <c r="AP107" s="342"/>
      <c r="AQ107" s="342"/>
      <c r="AR107" s="342"/>
      <c r="AS107" s="342">
        <v>310000</v>
      </c>
      <c r="AT107" s="342"/>
      <c r="AU107" s="342"/>
      <c r="AV107" s="342">
        <f t="shared" si="24"/>
        <v>11362300</v>
      </c>
      <c r="AW107" s="342"/>
      <c r="AX107" s="342"/>
      <c r="AY107" s="342"/>
      <c r="AZ107" s="342"/>
      <c r="BA107" s="342"/>
      <c r="BB107" s="342"/>
      <c r="BC107" s="342"/>
      <c r="BD107" s="342">
        <f t="shared" si="25"/>
        <v>0</v>
      </c>
      <c r="BE107" s="342">
        <f t="shared" si="26"/>
        <v>15430332</v>
      </c>
      <c r="BF107" s="342">
        <f t="shared" si="27"/>
        <v>310000</v>
      </c>
      <c r="BG107" s="342">
        <f t="shared" si="28"/>
        <v>15120332</v>
      </c>
      <c r="BH107" s="346" t="s">
        <v>226</v>
      </c>
      <c r="BI107" s="346" t="str">
        <f t="shared" si="29"/>
        <v>Textiles y Vestuario</v>
      </c>
      <c r="BJ107" s="346">
        <v>1</v>
      </c>
      <c r="BK107" s="1120">
        <f t="shared" si="30"/>
        <v>4068032</v>
      </c>
    </row>
    <row r="108" spans="1:63" x14ac:dyDescent="0.25">
      <c r="A108" s="340" t="s">
        <v>228</v>
      </c>
      <c r="B108" s="340" t="s">
        <v>229</v>
      </c>
      <c r="C108" s="342"/>
      <c r="D108" s="342"/>
      <c r="E108" s="342"/>
      <c r="F108" s="342"/>
      <c r="G108" s="342"/>
      <c r="H108" s="342"/>
      <c r="I108" s="342"/>
      <c r="J108" s="342"/>
      <c r="K108" s="342"/>
      <c r="L108" s="342">
        <v>460000</v>
      </c>
      <c r="M108" s="342">
        <v>2002077</v>
      </c>
      <c r="N108" s="342"/>
      <c r="O108" s="342"/>
      <c r="P108" s="342"/>
      <c r="Q108" s="342"/>
      <c r="R108" s="342">
        <f t="shared" si="22"/>
        <v>2462077</v>
      </c>
      <c r="S108" s="342"/>
      <c r="T108" s="342">
        <f t="shared" si="23"/>
        <v>0</v>
      </c>
      <c r="U108" s="342">
        <v>28440</v>
      </c>
      <c r="V108" s="342"/>
      <c r="W108" s="342"/>
      <c r="X108" s="342"/>
      <c r="Y108" s="342"/>
      <c r="Z108" s="342"/>
      <c r="AA108" s="342"/>
      <c r="AB108" s="342"/>
      <c r="AC108" s="342"/>
      <c r="AD108" s="342">
        <v>372600</v>
      </c>
      <c r="AE108" s="342"/>
      <c r="AF108" s="342"/>
      <c r="AG108" s="342"/>
      <c r="AH108" s="342"/>
      <c r="AI108" s="342"/>
      <c r="AJ108" s="342"/>
      <c r="AK108" s="342">
        <v>0</v>
      </c>
      <c r="AL108" s="342"/>
      <c r="AM108" s="342"/>
      <c r="AN108" s="342"/>
      <c r="AO108" s="342">
        <v>0</v>
      </c>
      <c r="AP108" s="342"/>
      <c r="AQ108" s="342"/>
      <c r="AR108" s="342"/>
      <c r="AS108" s="342">
        <v>0</v>
      </c>
      <c r="AT108" s="342">
        <v>49500</v>
      </c>
      <c r="AU108" s="342"/>
      <c r="AV108" s="342">
        <f t="shared" si="24"/>
        <v>450540</v>
      </c>
      <c r="AW108" s="342"/>
      <c r="AX108" s="342"/>
      <c r="AY108" s="342"/>
      <c r="AZ108" s="342"/>
      <c r="BA108" s="342"/>
      <c r="BB108" s="342"/>
      <c r="BC108" s="342"/>
      <c r="BD108" s="342">
        <f t="shared" si="25"/>
        <v>0</v>
      </c>
      <c r="BE108" s="342">
        <f t="shared" si="26"/>
        <v>2912617</v>
      </c>
      <c r="BF108" s="342">
        <f t="shared" si="27"/>
        <v>49500</v>
      </c>
      <c r="BG108" s="342">
        <f t="shared" si="28"/>
        <v>2863117</v>
      </c>
      <c r="BH108" s="346" t="s">
        <v>228</v>
      </c>
      <c r="BI108" s="346" t="str">
        <f t="shared" si="29"/>
        <v>Utiles y Materiales de Limpieza</v>
      </c>
      <c r="BJ108" s="346">
        <v>1</v>
      </c>
      <c r="BK108" s="1120">
        <f t="shared" si="30"/>
        <v>2462077</v>
      </c>
    </row>
    <row r="109" spans="1:63" x14ac:dyDescent="0.25">
      <c r="A109" s="340" t="s">
        <v>230</v>
      </c>
      <c r="B109" s="340" t="s">
        <v>231</v>
      </c>
      <c r="C109" s="342"/>
      <c r="D109" s="342"/>
      <c r="E109" s="342"/>
      <c r="F109" s="342"/>
      <c r="G109" s="342"/>
      <c r="H109" s="342"/>
      <c r="I109" s="342"/>
      <c r="J109" s="342"/>
      <c r="K109" s="342"/>
      <c r="L109" s="342">
        <v>74500</v>
      </c>
      <c r="M109" s="342"/>
      <c r="N109" s="342"/>
      <c r="O109" s="342"/>
      <c r="P109" s="342"/>
      <c r="Q109" s="342"/>
      <c r="R109" s="342">
        <f t="shared" si="22"/>
        <v>74500</v>
      </c>
      <c r="S109" s="342"/>
      <c r="T109" s="342">
        <f t="shared" si="23"/>
        <v>0</v>
      </c>
      <c r="U109" s="342"/>
      <c r="V109" s="342"/>
      <c r="W109" s="342"/>
      <c r="X109" s="342"/>
      <c r="Y109" s="342"/>
      <c r="Z109" s="342"/>
      <c r="AA109" s="342"/>
      <c r="AB109" s="342"/>
      <c r="AC109" s="342"/>
      <c r="AD109" s="342"/>
      <c r="AE109" s="342"/>
      <c r="AF109" s="342"/>
      <c r="AG109" s="342"/>
      <c r="AH109" s="342"/>
      <c r="AI109" s="342"/>
      <c r="AJ109" s="342"/>
      <c r="AK109" s="342">
        <v>0</v>
      </c>
      <c r="AL109" s="342"/>
      <c r="AM109" s="342"/>
      <c r="AN109" s="342"/>
      <c r="AO109" s="342"/>
      <c r="AP109" s="342"/>
      <c r="AQ109" s="342"/>
      <c r="AR109" s="342"/>
      <c r="AS109" s="342">
        <v>0</v>
      </c>
      <c r="AT109" s="342"/>
      <c r="AU109" s="342"/>
      <c r="AV109" s="342">
        <f t="shared" si="24"/>
        <v>0</v>
      </c>
      <c r="AW109" s="342"/>
      <c r="AX109" s="342"/>
      <c r="AY109" s="342"/>
      <c r="AZ109" s="342"/>
      <c r="BA109" s="342"/>
      <c r="BB109" s="342"/>
      <c r="BC109" s="342"/>
      <c r="BD109" s="342">
        <f t="shared" si="25"/>
        <v>0</v>
      </c>
      <c r="BE109" s="342">
        <f t="shared" si="26"/>
        <v>74500</v>
      </c>
      <c r="BF109" s="342">
        <f t="shared" si="27"/>
        <v>0</v>
      </c>
      <c r="BG109" s="342">
        <f t="shared" si="28"/>
        <v>74500</v>
      </c>
      <c r="BH109" s="346" t="s">
        <v>230</v>
      </c>
      <c r="BI109" s="346" t="str">
        <f t="shared" si="29"/>
        <v>Utiles y Materiales de Resguardo y Seguridad</v>
      </c>
      <c r="BJ109" s="346">
        <v>1</v>
      </c>
      <c r="BK109" s="1120">
        <f t="shared" si="30"/>
        <v>74500</v>
      </c>
    </row>
    <row r="110" spans="1:63" x14ac:dyDescent="0.25">
      <c r="A110" s="340"/>
      <c r="B110" s="340"/>
      <c r="C110" s="342"/>
      <c r="D110" s="342"/>
      <c r="E110" s="342"/>
      <c r="F110" s="342"/>
      <c r="G110" s="342"/>
      <c r="H110" s="342"/>
      <c r="I110" s="342"/>
      <c r="J110" s="342"/>
      <c r="K110" s="342"/>
      <c r="L110" s="342"/>
      <c r="M110" s="342"/>
      <c r="N110" s="342"/>
      <c r="O110" s="342"/>
      <c r="P110" s="342"/>
      <c r="Q110" s="342"/>
      <c r="R110" s="342">
        <f t="shared" si="22"/>
        <v>0</v>
      </c>
      <c r="S110" s="342"/>
      <c r="T110" s="342">
        <f t="shared" si="23"/>
        <v>0</v>
      </c>
      <c r="U110" s="342"/>
      <c r="V110" s="342"/>
      <c r="W110" s="342"/>
      <c r="X110" s="342"/>
      <c r="Y110" s="342"/>
      <c r="Z110" s="342"/>
      <c r="AA110" s="342"/>
      <c r="AB110" s="342"/>
      <c r="AC110" s="342"/>
      <c r="AD110" s="342"/>
      <c r="AE110" s="342"/>
      <c r="AF110" s="342"/>
      <c r="AG110" s="342"/>
      <c r="AH110" s="342"/>
      <c r="AI110" s="342"/>
      <c r="AJ110" s="342"/>
      <c r="AK110" s="342">
        <v>0</v>
      </c>
      <c r="AL110" s="342"/>
      <c r="AM110" s="342"/>
      <c r="AN110" s="342"/>
      <c r="AO110" s="342"/>
      <c r="AP110" s="342"/>
      <c r="AQ110" s="342"/>
      <c r="AR110" s="342"/>
      <c r="AS110" s="342">
        <v>0</v>
      </c>
      <c r="AT110" s="342"/>
      <c r="AU110" s="342"/>
      <c r="AV110" s="342">
        <f t="shared" si="24"/>
        <v>0</v>
      </c>
      <c r="AW110" s="342"/>
      <c r="AX110" s="342"/>
      <c r="AY110" s="342"/>
      <c r="AZ110" s="342"/>
      <c r="BA110" s="342"/>
      <c r="BB110" s="342"/>
      <c r="BC110" s="342"/>
      <c r="BD110" s="342">
        <f t="shared" si="25"/>
        <v>0</v>
      </c>
      <c r="BE110" s="342">
        <f t="shared" si="26"/>
        <v>0</v>
      </c>
      <c r="BF110" s="342">
        <f t="shared" si="27"/>
        <v>0</v>
      </c>
      <c r="BG110" s="342">
        <f t="shared" si="28"/>
        <v>0</v>
      </c>
      <c r="BI110" s="346">
        <f t="shared" si="29"/>
        <v>0</v>
      </c>
      <c r="BJ110" s="346">
        <v>1</v>
      </c>
      <c r="BK110" s="1120">
        <f t="shared" si="30"/>
        <v>0</v>
      </c>
    </row>
    <row r="111" spans="1:63" x14ac:dyDescent="0.25">
      <c r="A111" s="340" t="s">
        <v>232</v>
      </c>
      <c r="B111" s="340" t="s">
        <v>1223</v>
      </c>
      <c r="C111" s="342"/>
      <c r="D111" s="342"/>
      <c r="E111" s="342"/>
      <c r="F111" s="342"/>
      <c r="G111" s="342"/>
      <c r="H111" s="342"/>
      <c r="I111" s="342"/>
      <c r="J111" s="342"/>
      <c r="K111" s="342">
        <v>688500</v>
      </c>
      <c r="L111" s="342"/>
      <c r="M111" s="342">
        <v>63000</v>
      </c>
      <c r="N111" s="342"/>
      <c r="O111" s="342"/>
      <c r="P111" s="342"/>
      <c r="Q111" s="342"/>
      <c r="R111" s="342">
        <f t="shared" si="22"/>
        <v>751500</v>
      </c>
      <c r="S111" s="342"/>
      <c r="T111" s="342">
        <f t="shared" si="23"/>
        <v>0</v>
      </c>
      <c r="U111" s="342">
        <v>367500</v>
      </c>
      <c r="V111" s="342"/>
      <c r="W111" s="342"/>
      <c r="X111" s="342"/>
      <c r="Y111" s="342"/>
      <c r="Z111" s="342"/>
      <c r="AA111" s="342"/>
      <c r="AB111" s="342"/>
      <c r="AC111" s="342"/>
      <c r="AD111" s="342">
        <v>52500</v>
      </c>
      <c r="AE111" s="342"/>
      <c r="AF111" s="342"/>
      <c r="AG111" s="342"/>
      <c r="AH111" s="342"/>
      <c r="AI111" s="342"/>
      <c r="AJ111" s="342"/>
      <c r="AK111" s="342">
        <v>0</v>
      </c>
      <c r="AL111" s="342"/>
      <c r="AM111" s="342"/>
      <c r="AN111" s="342"/>
      <c r="AO111" s="342"/>
      <c r="AP111" s="342"/>
      <c r="AQ111" s="342"/>
      <c r="AR111" s="342"/>
      <c r="AS111" s="342">
        <v>0</v>
      </c>
      <c r="AT111" s="342"/>
      <c r="AU111" s="342"/>
      <c r="AV111" s="342">
        <f t="shared" si="24"/>
        <v>420000</v>
      </c>
      <c r="AW111" s="342"/>
      <c r="AX111" s="342"/>
      <c r="AY111" s="342"/>
      <c r="AZ111" s="342"/>
      <c r="BA111" s="342"/>
      <c r="BB111" s="342"/>
      <c r="BC111" s="342"/>
      <c r="BD111" s="342">
        <f t="shared" si="25"/>
        <v>0</v>
      </c>
      <c r="BE111" s="342">
        <f t="shared" si="26"/>
        <v>1171500</v>
      </c>
      <c r="BF111" s="342">
        <f t="shared" si="27"/>
        <v>0</v>
      </c>
      <c r="BG111" s="342">
        <f t="shared" si="28"/>
        <v>1171500</v>
      </c>
      <c r="BH111" s="346" t="s">
        <v>232</v>
      </c>
      <c r="BI111" s="346" t="str">
        <f t="shared" si="29"/>
        <v>Otros Utiles, Materiales y Suministros diversos</v>
      </c>
      <c r="BJ111" s="346">
        <v>1</v>
      </c>
      <c r="BK111" s="1120">
        <f t="shared" si="30"/>
        <v>751500</v>
      </c>
    </row>
    <row r="112" spans="1:63" x14ac:dyDescent="0.25">
      <c r="A112" s="340"/>
      <c r="B112" s="341" t="s">
        <v>1224</v>
      </c>
      <c r="C112" s="343">
        <f>SUM(C104:C111)</f>
        <v>0</v>
      </c>
      <c r="D112" s="343">
        <f t="shared" ref="D112:BD112" si="38">SUM(D104:D111)</f>
        <v>0</v>
      </c>
      <c r="E112" s="343">
        <f t="shared" si="38"/>
        <v>0</v>
      </c>
      <c r="F112" s="343">
        <f t="shared" si="38"/>
        <v>0</v>
      </c>
      <c r="G112" s="343">
        <f t="shared" si="38"/>
        <v>0</v>
      </c>
      <c r="H112" s="343">
        <f t="shared" si="38"/>
        <v>0</v>
      </c>
      <c r="I112" s="343">
        <f t="shared" si="38"/>
        <v>0</v>
      </c>
      <c r="J112" s="343">
        <f t="shared" si="38"/>
        <v>0</v>
      </c>
      <c r="K112" s="343">
        <f t="shared" si="38"/>
        <v>1038500</v>
      </c>
      <c r="L112" s="343">
        <f t="shared" si="38"/>
        <v>3398836</v>
      </c>
      <c r="M112" s="343">
        <f t="shared" si="38"/>
        <v>4715582</v>
      </c>
      <c r="N112" s="343">
        <f t="shared" si="38"/>
        <v>0</v>
      </c>
      <c r="O112" s="343">
        <f t="shared" si="38"/>
        <v>1110250</v>
      </c>
      <c r="P112" s="343">
        <f t="shared" si="38"/>
        <v>0</v>
      </c>
      <c r="Q112" s="343">
        <f t="shared" si="38"/>
        <v>4677683</v>
      </c>
      <c r="R112" s="343">
        <f t="shared" si="38"/>
        <v>14940851</v>
      </c>
      <c r="S112" s="343">
        <f t="shared" si="38"/>
        <v>0</v>
      </c>
      <c r="T112" s="343">
        <f t="shared" si="38"/>
        <v>0</v>
      </c>
      <c r="U112" s="343">
        <f t="shared" si="38"/>
        <v>8753100</v>
      </c>
      <c r="V112" s="343">
        <f t="shared" si="38"/>
        <v>0</v>
      </c>
      <c r="W112" s="343">
        <f t="shared" si="38"/>
        <v>0</v>
      </c>
      <c r="X112" s="343">
        <f t="shared" si="38"/>
        <v>0</v>
      </c>
      <c r="Y112" s="343">
        <f t="shared" si="38"/>
        <v>0</v>
      </c>
      <c r="Z112" s="343">
        <f t="shared" si="38"/>
        <v>0</v>
      </c>
      <c r="AA112" s="343">
        <f t="shared" si="38"/>
        <v>1085210</v>
      </c>
      <c r="AB112" s="343">
        <f t="shared" si="38"/>
        <v>0</v>
      </c>
      <c r="AC112" s="343">
        <f t="shared" si="38"/>
        <v>0</v>
      </c>
      <c r="AD112" s="343">
        <f t="shared" si="38"/>
        <v>2361580</v>
      </c>
      <c r="AE112" s="343">
        <f t="shared" si="38"/>
        <v>0</v>
      </c>
      <c r="AF112" s="343">
        <f t="shared" si="38"/>
        <v>0</v>
      </c>
      <c r="AG112" s="343">
        <f t="shared" si="38"/>
        <v>0</v>
      </c>
      <c r="AH112" s="343">
        <f t="shared" si="38"/>
        <v>0</v>
      </c>
      <c r="AI112" s="343">
        <f t="shared" si="38"/>
        <v>0</v>
      </c>
      <c r="AJ112" s="343">
        <f t="shared" si="38"/>
        <v>0</v>
      </c>
      <c r="AK112" s="343">
        <f t="shared" si="38"/>
        <v>0</v>
      </c>
      <c r="AL112" s="343">
        <f t="shared" si="38"/>
        <v>0</v>
      </c>
      <c r="AM112" s="343">
        <f t="shared" si="38"/>
        <v>0</v>
      </c>
      <c r="AN112" s="343">
        <f t="shared" si="38"/>
        <v>0</v>
      </c>
      <c r="AO112" s="343">
        <f t="shared" si="38"/>
        <v>0</v>
      </c>
      <c r="AP112" s="343">
        <f t="shared" si="38"/>
        <v>0</v>
      </c>
      <c r="AQ112" s="343">
        <f t="shared" si="38"/>
        <v>0</v>
      </c>
      <c r="AR112" s="343">
        <f t="shared" si="38"/>
        <v>0</v>
      </c>
      <c r="AS112" s="343">
        <f t="shared" si="38"/>
        <v>1060000</v>
      </c>
      <c r="AT112" s="343">
        <f t="shared" si="38"/>
        <v>49500</v>
      </c>
      <c r="AU112" s="343">
        <f t="shared" si="38"/>
        <v>0</v>
      </c>
      <c r="AV112" s="343">
        <f t="shared" si="38"/>
        <v>13309390</v>
      </c>
      <c r="AW112" s="343">
        <f t="shared" si="38"/>
        <v>0</v>
      </c>
      <c r="AX112" s="343">
        <f t="shared" si="38"/>
        <v>0</v>
      </c>
      <c r="AY112" s="343">
        <f t="shared" si="38"/>
        <v>0</v>
      </c>
      <c r="AZ112" s="343">
        <f t="shared" si="38"/>
        <v>0</v>
      </c>
      <c r="BA112" s="343">
        <f t="shared" si="38"/>
        <v>0</v>
      </c>
      <c r="BB112" s="343">
        <f t="shared" si="38"/>
        <v>0</v>
      </c>
      <c r="BC112" s="343">
        <f t="shared" si="38"/>
        <v>0</v>
      </c>
      <c r="BD112" s="343">
        <f t="shared" si="38"/>
        <v>0</v>
      </c>
      <c r="BE112" s="343">
        <f t="shared" si="26"/>
        <v>28250241</v>
      </c>
      <c r="BF112" s="343">
        <f t="shared" si="27"/>
        <v>1109500</v>
      </c>
      <c r="BG112" s="343">
        <f t="shared" si="28"/>
        <v>27140741</v>
      </c>
      <c r="BI112" s="346" t="str">
        <f t="shared" si="29"/>
        <v>2.99 - UTILES, MATERIALES Y SUMINISTROS DIVERSOS</v>
      </c>
      <c r="BJ112" s="346">
        <v>1</v>
      </c>
      <c r="BK112" s="1120">
        <f t="shared" si="30"/>
        <v>14940851</v>
      </c>
    </row>
    <row r="113" spans="1:63" s="346" customFormat="1" outlineLevel="1" x14ac:dyDescent="0.25">
      <c r="A113" s="352"/>
      <c r="B113" s="352" t="s">
        <v>1225</v>
      </c>
      <c r="C113" s="353">
        <f>+C112+C103+C100+C93</f>
        <v>0</v>
      </c>
      <c r="D113" s="353">
        <f t="shared" ref="D113:BD113" si="39">+D112+D103+D100+D93</f>
        <v>0</v>
      </c>
      <c r="E113" s="353">
        <f t="shared" si="39"/>
        <v>0</v>
      </c>
      <c r="F113" s="353">
        <f t="shared" si="39"/>
        <v>0</v>
      </c>
      <c r="G113" s="353">
        <f t="shared" si="39"/>
        <v>0</v>
      </c>
      <c r="H113" s="353">
        <f t="shared" si="39"/>
        <v>0</v>
      </c>
      <c r="I113" s="353">
        <f t="shared" si="39"/>
        <v>0</v>
      </c>
      <c r="J113" s="353">
        <f t="shared" si="39"/>
        <v>0</v>
      </c>
      <c r="K113" s="353">
        <f t="shared" si="39"/>
        <v>1038500</v>
      </c>
      <c r="L113" s="353">
        <f t="shared" si="39"/>
        <v>8104836</v>
      </c>
      <c r="M113" s="353">
        <f t="shared" si="39"/>
        <v>7329562</v>
      </c>
      <c r="N113" s="353">
        <f t="shared" si="39"/>
        <v>0</v>
      </c>
      <c r="O113" s="353">
        <f t="shared" si="39"/>
        <v>1922150</v>
      </c>
      <c r="P113" s="353">
        <f t="shared" si="39"/>
        <v>0</v>
      </c>
      <c r="Q113" s="353">
        <f t="shared" si="39"/>
        <v>10711683</v>
      </c>
      <c r="R113" s="353">
        <f t="shared" si="39"/>
        <v>29106731</v>
      </c>
      <c r="S113" s="353">
        <f t="shared" si="39"/>
        <v>0</v>
      </c>
      <c r="T113" s="353">
        <f t="shared" si="39"/>
        <v>0</v>
      </c>
      <c r="U113" s="353">
        <f t="shared" si="39"/>
        <v>61201556.960000001</v>
      </c>
      <c r="V113" s="353">
        <f t="shared" si="39"/>
        <v>0</v>
      </c>
      <c r="W113" s="353">
        <f t="shared" si="39"/>
        <v>0</v>
      </c>
      <c r="X113" s="353">
        <f t="shared" si="39"/>
        <v>0</v>
      </c>
      <c r="Y113" s="353">
        <f t="shared" si="39"/>
        <v>0</v>
      </c>
      <c r="Z113" s="353">
        <f t="shared" si="39"/>
        <v>0</v>
      </c>
      <c r="AA113" s="353">
        <f t="shared" si="39"/>
        <v>3347530</v>
      </c>
      <c r="AB113" s="353">
        <f t="shared" si="39"/>
        <v>0</v>
      </c>
      <c r="AC113" s="353">
        <f t="shared" si="39"/>
        <v>0</v>
      </c>
      <c r="AD113" s="353">
        <f t="shared" si="39"/>
        <v>43924886.879999995</v>
      </c>
      <c r="AE113" s="353">
        <f t="shared" si="39"/>
        <v>0</v>
      </c>
      <c r="AF113" s="353">
        <f t="shared" si="39"/>
        <v>0</v>
      </c>
      <c r="AG113" s="353">
        <f t="shared" si="39"/>
        <v>0</v>
      </c>
      <c r="AH113" s="353">
        <f t="shared" si="39"/>
        <v>0</v>
      </c>
      <c r="AI113" s="353">
        <f t="shared" si="39"/>
        <v>0</v>
      </c>
      <c r="AJ113" s="353">
        <f t="shared" si="39"/>
        <v>0</v>
      </c>
      <c r="AK113" s="353">
        <f t="shared" si="39"/>
        <v>0</v>
      </c>
      <c r="AL113" s="353">
        <f t="shared" si="39"/>
        <v>362000</v>
      </c>
      <c r="AM113" s="353">
        <f t="shared" si="39"/>
        <v>0</v>
      </c>
      <c r="AN113" s="353">
        <f t="shared" si="39"/>
        <v>0</v>
      </c>
      <c r="AO113" s="353">
        <f t="shared" si="39"/>
        <v>0</v>
      </c>
      <c r="AP113" s="353">
        <f t="shared" si="39"/>
        <v>362000</v>
      </c>
      <c r="AQ113" s="353">
        <f t="shared" si="39"/>
        <v>0</v>
      </c>
      <c r="AR113" s="353">
        <f t="shared" si="39"/>
        <v>0</v>
      </c>
      <c r="AS113" s="353">
        <f t="shared" si="39"/>
        <v>47421505.359999999</v>
      </c>
      <c r="AT113" s="353">
        <f t="shared" si="39"/>
        <v>4511751.5999999996</v>
      </c>
      <c r="AU113" s="353">
        <f t="shared" si="39"/>
        <v>0</v>
      </c>
      <c r="AV113" s="353">
        <f t="shared" si="39"/>
        <v>161131230.80000001</v>
      </c>
      <c r="AW113" s="353">
        <f t="shared" si="39"/>
        <v>0</v>
      </c>
      <c r="AX113" s="353">
        <f t="shared" si="39"/>
        <v>0</v>
      </c>
      <c r="AY113" s="353">
        <f t="shared" si="39"/>
        <v>0</v>
      </c>
      <c r="AZ113" s="353">
        <f t="shared" si="39"/>
        <v>0</v>
      </c>
      <c r="BA113" s="353">
        <f t="shared" si="39"/>
        <v>350000</v>
      </c>
      <c r="BB113" s="353">
        <f t="shared" si="39"/>
        <v>0</v>
      </c>
      <c r="BC113" s="353">
        <f t="shared" si="39"/>
        <v>0</v>
      </c>
      <c r="BD113" s="353">
        <f t="shared" si="39"/>
        <v>350000</v>
      </c>
      <c r="BE113" s="353">
        <f t="shared" si="26"/>
        <v>190587961.80000001</v>
      </c>
      <c r="BF113" s="353">
        <f t="shared" si="27"/>
        <v>51933256.960000001</v>
      </c>
      <c r="BG113" s="353">
        <f t="shared" si="28"/>
        <v>138654704.84</v>
      </c>
      <c r="BI113" s="346" t="str">
        <f t="shared" si="29"/>
        <v>2 - MATERIALES Y SUMINISTROS</v>
      </c>
      <c r="BJ113" s="346">
        <v>1</v>
      </c>
      <c r="BK113" s="1120">
        <f t="shared" si="30"/>
        <v>29106731</v>
      </c>
    </row>
    <row r="114" spans="1:63" x14ac:dyDescent="0.25">
      <c r="A114" s="339"/>
      <c r="B114" s="341"/>
      <c r="C114" s="343"/>
      <c r="D114" s="343"/>
      <c r="E114" s="343"/>
      <c r="F114" s="343"/>
      <c r="G114" s="343"/>
      <c r="H114" s="343"/>
      <c r="I114" s="343"/>
      <c r="J114" s="343"/>
      <c r="K114" s="343"/>
      <c r="L114" s="343"/>
      <c r="M114" s="343"/>
      <c r="N114" s="343"/>
      <c r="O114" s="343"/>
      <c r="P114" s="343"/>
      <c r="Q114" s="343"/>
      <c r="R114" s="343">
        <f t="shared" si="22"/>
        <v>0</v>
      </c>
      <c r="S114" s="343"/>
      <c r="T114" s="343">
        <f t="shared" si="23"/>
        <v>0</v>
      </c>
      <c r="U114" s="343"/>
      <c r="V114" s="343"/>
      <c r="W114" s="343"/>
      <c r="X114" s="343"/>
      <c r="Y114" s="343"/>
      <c r="Z114" s="343"/>
      <c r="AA114" s="343"/>
      <c r="AB114" s="343"/>
      <c r="AC114" s="343"/>
      <c r="AD114" s="343"/>
      <c r="AE114" s="343"/>
      <c r="AF114" s="343"/>
      <c r="AG114" s="343"/>
      <c r="AH114" s="343"/>
      <c r="AI114" s="343"/>
      <c r="AJ114" s="343"/>
      <c r="AK114" s="343">
        <v>0</v>
      </c>
      <c r="AL114" s="343"/>
      <c r="AM114" s="343"/>
      <c r="AN114" s="343"/>
      <c r="AO114" s="343"/>
      <c r="AP114" s="343"/>
      <c r="AQ114" s="343"/>
      <c r="AR114" s="343"/>
      <c r="AS114" s="343">
        <v>0</v>
      </c>
      <c r="AT114" s="343"/>
      <c r="AU114" s="343"/>
      <c r="AV114" s="343">
        <f t="shared" si="24"/>
        <v>0</v>
      </c>
      <c r="AW114" s="343"/>
      <c r="AX114" s="343"/>
      <c r="AY114" s="343"/>
      <c r="AZ114" s="343"/>
      <c r="BA114" s="343"/>
      <c r="BB114" s="343"/>
      <c r="BC114" s="343"/>
      <c r="BD114" s="343">
        <f t="shared" si="25"/>
        <v>0</v>
      </c>
      <c r="BE114" s="343">
        <f t="shared" si="26"/>
        <v>0</v>
      </c>
      <c r="BF114" s="343">
        <f t="shared" si="27"/>
        <v>0</v>
      </c>
      <c r="BG114" s="343">
        <f t="shared" si="28"/>
        <v>0</v>
      </c>
      <c r="BI114" s="346">
        <f t="shared" si="29"/>
        <v>0</v>
      </c>
      <c r="BJ114" s="346">
        <v>1</v>
      </c>
      <c r="BK114" s="1120">
        <f t="shared" si="30"/>
        <v>0</v>
      </c>
    </row>
    <row r="115" spans="1:63" x14ac:dyDescent="0.25">
      <c r="A115" s="340" t="s">
        <v>236</v>
      </c>
      <c r="B115" s="340" t="s">
        <v>874</v>
      </c>
      <c r="C115" s="343"/>
      <c r="D115" s="343"/>
      <c r="E115" s="343"/>
      <c r="F115" s="343"/>
      <c r="G115" s="343"/>
      <c r="H115" s="343"/>
      <c r="I115" s="343"/>
      <c r="J115" s="343"/>
      <c r="K115" s="343"/>
      <c r="L115" s="343">
        <v>150000000</v>
      </c>
      <c r="M115" s="343"/>
      <c r="N115" s="343"/>
      <c r="O115" s="343"/>
      <c r="P115" s="343"/>
      <c r="Q115" s="343"/>
      <c r="R115" s="343">
        <f t="shared" si="22"/>
        <v>150000000</v>
      </c>
      <c r="S115" s="343"/>
      <c r="T115" s="343">
        <f t="shared" si="23"/>
        <v>0</v>
      </c>
      <c r="U115" s="343"/>
      <c r="V115" s="343"/>
      <c r="W115" s="343"/>
      <c r="X115" s="343"/>
      <c r="Y115" s="343"/>
      <c r="Z115" s="343"/>
      <c r="AA115" s="343"/>
      <c r="AB115" s="343"/>
      <c r="AC115" s="343"/>
      <c r="AD115" s="343"/>
      <c r="AE115" s="343"/>
      <c r="AF115" s="343"/>
      <c r="AG115" s="343"/>
      <c r="AH115" s="343"/>
      <c r="AI115" s="343"/>
      <c r="AJ115" s="343"/>
      <c r="AK115" s="343">
        <v>0</v>
      </c>
      <c r="AL115" s="343"/>
      <c r="AM115" s="343"/>
      <c r="AN115" s="343"/>
      <c r="AO115" s="343"/>
      <c r="AP115" s="343"/>
      <c r="AQ115" s="343"/>
      <c r="AR115" s="343"/>
      <c r="AS115" s="343">
        <v>0</v>
      </c>
      <c r="AT115" s="343"/>
      <c r="AU115" s="343"/>
      <c r="AV115" s="343">
        <f t="shared" si="24"/>
        <v>0</v>
      </c>
      <c r="AW115" s="343"/>
      <c r="AX115" s="343"/>
      <c r="AY115" s="343"/>
      <c r="AZ115" s="343"/>
      <c r="BA115" s="343"/>
      <c r="BB115" s="343"/>
      <c r="BC115" s="343"/>
      <c r="BD115" s="343">
        <f t="shared" si="25"/>
        <v>0</v>
      </c>
      <c r="BE115" s="342">
        <f t="shared" si="26"/>
        <v>150000000</v>
      </c>
      <c r="BF115" s="343">
        <f t="shared" si="27"/>
        <v>0</v>
      </c>
      <c r="BG115" s="343">
        <f t="shared" si="28"/>
        <v>150000000</v>
      </c>
      <c r="BH115" s="346" t="s">
        <v>236</v>
      </c>
      <c r="BI115" s="346" t="str">
        <f t="shared" si="29"/>
        <v>Equipo de transporte</v>
      </c>
      <c r="BJ115" s="346">
        <v>1</v>
      </c>
      <c r="BK115" s="1120">
        <f t="shared" si="30"/>
        <v>150000000</v>
      </c>
    </row>
    <row r="116" spans="1:63" x14ac:dyDescent="0.25">
      <c r="A116" s="340" t="s">
        <v>238</v>
      </c>
      <c r="B116" s="340" t="s">
        <v>239</v>
      </c>
      <c r="C116" s="342"/>
      <c r="D116" s="342"/>
      <c r="E116" s="342"/>
      <c r="F116" s="342"/>
      <c r="G116" s="342"/>
      <c r="H116" s="342"/>
      <c r="I116" s="342"/>
      <c r="J116" s="342"/>
      <c r="K116" s="342"/>
      <c r="L116" s="342"/>
      <c r="M116" s="342">
        <v>2550000</v>
      </c>
      <c r="N116" s="342"/>
      <c r="O116" s="342"/>
      <c r="P116" s="342">
        <v>850000</v>
      </c>
      <c r="Q116" s="342"/>
      <c r="R116" s="342">
        <f t="shared" si="22"/>
        <v>3400000</v>
      </c>
      <c r="S116" s="342"/>
      <c r="T116" s="342">
        <f t="shared" si="23"/>
        <v>0</v>
      </c>
      <c r="U116" s="342"/>
      <c r="V116" s="342"/>
      <c r="W116" s="342"/>
      <c r="X116" s="342"/>
      <c r="Y116" s="342"/>
      <c r="Z116" s="342"/>
      <c r="AA116" s="342"/>
      <c r="AB116" s="342"/>
      <c r="AC116" s="342"/>
      <c r="AD116" s="342"/>
      <c r="AE116" s="342"/>
      <c r="AF116" s="342"/>
      <c r="AG116" s="342"/>
      <c r="AH116" s="342"/>
      <c r="AI116" s="342"/>
      <c r="AJ116" s="342"/>
      <c r="AK116" s="342">
        <v>0</v>
      </c>
      <c r="AL116" s="342"/>
      <c r="AM116" s="342"/>
      <c r="AN116" s="342"/>
      <c r="AO116" s="342"/>
      <c r="AP116" s="342"/>
      <c r="AQ116" s="342"/>
      <c r="AR116" s="342"/>
      <c r="AS116" s="342">
        <v>0</v>
      </c>
      <c r="AT116" s="342"/>
      <c r="AU116" s="342"/>
      <c r="AV116" s="342">
        <f t="shared" si="24"/>
        <v>0</v>
      </c>
      <c r="AW116" s="342"/>
      <c r="AX116" s="342"/>
      <c r="AY116" s="342"/>
      <c r="AZ116" s="342"/>
      <c r="BA116" s="342"/>
      <c r="BB116" s="342"/>
      <c r="BC116" s="342"/>
      <c r="BD116" s="342">
        <f t="shared" si="25"/>
        <v>0</v>
      </c>
      <c r="BE116" s="342">
        <f t="shared" si="26"/>
        <v>3400000</v>
      </c>
      <c r="BF116" s="342">
        <f t="shared" si="27"/>
        <v>0</v>
      </c>
      <c r="BG116" s="342">
        <f t="shared" si="28"/>
        <v>3400000</v>
      </c>
      <c r="BH116" s="346" t="s">
        <v>238</v>
      </c>
      <c r="BI116" s="346" t="str">
        <f t="shared" si="29"/>
        <v>Equipo de Comunicación</v>
      </c>
      <c r="BJ116" s="346">
        <v>1</v>
      </c>
      <c r="BK116" s="1120">
        <f t="shared" si="30"/>
        <v>3400000</v>
      </c>
    </row>
    <row r="117" spans="1:63" ht="14.1" customHeight="1" x14ac:dyDescent="0.25">
      <c r="A117" s="340" t="s">
        <v>240</v>
      </c>
      <c r="B117" s="340" t="s">
        <v>241</v>
      </c>
      <c r="C117" s="342"/>
      <c r="D117" s="342"/>
      <c r="E117" s="342"/>
      <c r="F117" s="342"/>
      <c r="G117" s="342"/>
      <c r="H117" s="342"/>
      <c r="I117" s="342"/>
      <c r="J117" s="342"/>
      <c r="K117" s="342"/>
      <c r="L117" s="342"/>
      <c r="M117" s="342"/>
      <c r="N117" s="342"/>
      <c r="O117" s="342"/>
      <c r="P117" s="342"/>
      <c r="Q117" s="342"/>
      <c r="R117" s="342">
        <f t="shared" si="22"/>
        <v>0</v>
      </c>
      <c r="S117" s="342"/>
      <c r="T117" s="342">
        <f t="shared" si="23"/>
        <v>0</v>
      </c>
      <c r="U117" s="342"/>
      <c r="V117" s="342"/>
      <c r="W117" s="342"/>
      <c r="X117" s="342"/>
      <c r="Y117" s="342"/>
      <c r="Z117" s="342"/>
      <c r="AA117" s="342"/>
      <c r="AB117" s="342"/>
      <c r="AC117" s="342"/>
      <c r="AD117" s="342"/>
      <c r="AE117" s="342"/>
      <c r="AF117" s="342"/>
      <c r="AG117" s="342"/>
      <c r="AH117" s="342"/>
      <c r="AI117" s="342"/>
      <c r="AJ117" s="342"/>
      <c r="AK117" s="342">
        <v>0</v>
      </c>
      <c r="AL117" s="342"/>
      <c r="AM117" s="342"/>
      <c r="AN117" s="342"/>
      <c r="AO117" s="342"/>
      <c r="AP117" s="342"/>
      <c r="AQ117" s="342"/>
      <c r="AR117" s="342"/>
      <c r="AS117" s="342">
        <v>0</v>
      </c>
      <c r="AT117" s="342"/>
      <c r="AU117" s="342"/>
      <c r="AV117" s="342">
        <f t="shared" si="24"/>
        <v>0</v>
      </c>
      <c r="AW117" s="342"/>
      <c r="AX117" s="342"/>
      <c r="AY117" s="342"/>
      <c r="AZ117" s="342"/>
      <c r="BA117" s="342"/>
      <c r="BB117" s="342"/>
      <c r="BC117" s="342"/>
      <c r="BD117" s="342">
        <f t="shared" si="25"/>
        <v>0</v>
      </c>
      <c r="BE117" s="342">
        <f t="shared" si="26"/>
        <v>0</v>
      </c>
      <c r="BF117" s="342">
        <f t="shared" si="27"/>
        <v>0</v>
      </c>
      <c r="BG117" s="342">
        <f t="shared" si="28"/>
        <v>0</v>
      </c>
      <c r="BH117" s="346" t="s">
        <v>240</v>
      </c>
      <c r="BI117" s="346" t="str">
        <f t="shared" si="29"/>
        <v>Equipo y Mobiliario de Oficina</v>
      </c>
      <c r="BJ117" s="346">
        <v>1</v>
      </c>
      <c r="BK117" s="1120">
        <f t="shared" si="30"/>
        <v>0</v>
      </c>
    </row>
    <row r="118" spans="1:63" ht="14.1" customHeight="1" x14ac:dyDescent="0.25">
      <c r="A118" s="340" t="s">
        <v>242</v>
      </c>
      <c r="B118" s="340" t="s">
        <v>1336</v>
      </c>
      <c r="C118" s="342"/>
      <c r="D118" s="342"/>
      <c r="E118" s="342"/>
      <c r="F118" s="342"/>
      <c r="G118" s="342"/>
      <c r="H118" s="342"/>
      <c r="I118" s="342"/>
      <c r="J118" s="342"/>
      <c r="K118" s="342"/>
      <c r="L118" s="342">
        <v>0</v>
      </c>
      <c r="M118" s="342"/>
      <c r="N118" s="342"/>
      <c r="O118" s="342"/>
      <c r="P118" s="342">
        <v>100000000</v>
      </c>
      <c r="Q118" s="342">
        <v>0</v>
      </c>
      <c r="R118" s="342">
        <f t="shared" si="22"/>
        <v>100000000</v>
      </c>
      <c r="S118" s="342"/>
      <c r="T118" s="342">
        <f t="shared" si="23"/>
        <v>0</v>
      </c>
      <c r="U118" s="342"/>
      <c r="V118" s="342"/>
      <c r="W118" s="342"/>
      <c r="X118" s="342"/>
      <c r="Y118" s="342"/>
      <c r="Z118" s="342"/>
      <c r="AA118" s="342"/>
      <c r="AB118" s="342"/>
      <c r="AC118" s="342"/>
      <c r="AD118" s="342"/>
      <c r="AE118" s="342"/>
      <c r="AF118" s="342"/>
      <c r="AG118" s="342"/>
      <c r="AH118" s="342"/>
      <c r="AI118" s="342"/>
      <c r="AJ118" s="342"/>
      <c r="AK118" s="342">
        <v>0</v>
      </c>
      <c r="AL118" s="342"/>
      <c r="AM118" s="342"/>
      <c r="AN118" s="342"/>
      <c r="AO118" s="342"/>
      <c r="AP118" s="342"/>
      <c r="AQ118" s="342"/>
      <c r="AR118" s="342"/>
      <c r="AS118" s="342">
        <v>0</v>
      </c>
      <c r="AT118" s="342"/>
      <c r="AU118" s="342"/>
      <c r="AV118" s="342">
        <f t="shared" si="24"/>
        <v>0</v>
      </c>
      <c r="AW118" s="342"/>
      <c r="AX118" s="342"/>
      <c r="AY118" s="342"/>
      <c r="AZ118" s="342"/>
      <c r="BA118" s="342"/>
      <c r="BB118" s="342"/>
      <c r="BC118" s="342"/>
      <c r="BD118" s="342">
        <f t="shared" si="25"/>
        <v>0</v>
      </c>
      <c r="BE118" s="342">
        <f t="shared" si="26"/>
        <v>100000000</v>
      </c>
      <c r="BF118" s="342">
        <f t="shared" si="27"/>
        <v>0</v>
      </c>
      <c r="BG118" s="342">
        <f t="shared" si="28"/>
        <v>100000000</v>
      </c>
      <c r="BH118" s="346" t="s">
        <v>242</v>
      </c>
      <c r="BI118" s="346" t="str">
        <f t="shared" si="29"/>
        <v>Equipo de Cómputo</v>
      </c>
      <c r="BJ118" s="346">
        <v>1</v>
      </c>
      <c r="BK118" s="1120">
        <f t="shared" si="30"/>
        <v>100000000</v>
      </c>
    </row>
    <row r="119" spans="1:63" ht="14.1" customHeight="1" x14ac:dyDescent="0.25">
      <c r="A119" s="340" t="s">
        <v>244</v>
      </c>
      <c r="B119" s="340" t="s">
        <v>245</v>
      </c>
      <c r="C119" s="342"/>
      <c r="D119" s="342"/>
      <c r="E119" s="342"/>
      <c r="F119" s="342"/>
      <c r="G119" s="342"/>
      <c r="H119" s="342"/>
      <c r="I119" s="342"/>
      <c r="J119" s="342"/>
      <c r="K119" s="342"/>
      <c r="L119" s="342"/>
      <c r="M119" s="342"/>
      <c r="N119" s="342"/>
      <c r="O119" s="342">
        <v>2500000</v>
      </c>
      <c r="P119" s="342"/>
      <c r="Q119" s="342"/>
      <c r="R119" s="342">
        <f t="shared" si="22"/>
        <v>2500000</v>
      </c>
      <c r="S119" s="342"/>
      <c r="T119" s="342">
        <f t="shared" si="23"/>
        <v>0</v>
      </c>
      <c r="U119" s="342"/>
      <c r="V119" s="342"/>
      <c r="W119" s="342"/>
      <c r="X119" s="342"/>
      <c r="Y119" s="342"/>
      <c r="Z119" s="342"/>
      <c r="AA119" s="342"/>
      <c r="AB119" s="342"/>
      <c r="AC119" s="342"/>
      <c r="AD119" s="342"/>
      <c r="AE119" s="342"/>
      <c r="AF119" s="342"/>
      <c r="AG119" s="342"/>
      <c r="AH119" s="342"/>
      <c r="AI119" s="342"/>
      <c r="AJ119" s="342"/>
      <c r="AK119" s="342">
        <v>0</v>
      </c>
      <c r="AL119" s="342"/>
      <c r="AM119" s="342"/>
      <c r="AN119" s="342"/>
      <c r="AO119" s="342"/>
      <c r="AP119" s="342"/>
      <c r="AQ119" s="342"/>
      <c r="AR119" s="342"/>
      <c r="AS119" s="342">
        <v>0</v>
      </c>
      <c r="AT119" s="342"/>
      <c r="AU119" s="342"/>
      <c r="AV119" s="342">
        <f t="shared" si="24"/>
        <v>0</v>
      </c>
      <c r="AW119" s="342"/>
      <c r="AX119" s="342"/>
      <c r="AY119" s="342"/>
      <c r="AZ119" s="342"/>
      <c r="BA119" s="342"/>
      <c r="BB119" s="342"/>
      <c r="BC119" s="342"/>
      <c r="BD119" s="342">
        <f t="shared" si="25"/>
        <v>0</v>
      </c>
      <c r="BE119" s="342">
        <f t="shared" si="26"/>
        <v>2500000</v>
      </c>
      <c r="BF119" s="342">
        <f t="shared" si="27"/>
        <v>0</v>
      </c>
      <c r="BG119" s="342">
        <f t="shared" si="28"/>
        <v>2500000</v>
      </c>
      <c r="BH119" s="346" t="s">
        <v>244</v>
      </c>
      <c r="BI119" s="346" t="str">
        <f t="shared" si="29"/>
        <v>Equipo Sanitario, de Laboratorio e Investigación</v>
      </c>
      <c r="BJ119" s="346">
        <v>1</v>
      </c>
      <c r="BK119" s="1120">
        <f t="shared" si="30"/>
        <v>2500000</v>
      </c>
    </row>
    <row r="120" spans="1:63" ht="14.1" customHeight="1" x14ac:dyDescent="0.25">
      <c r="A120" s="340"/>
      <c r="B120" s="340"/>
      <c r="C120" s="342"/>
      <c r="D120" s="342"/>
      <c r="E120" s="342"/>
      <c r="F120" s="342"/>
      <c r="G120" s="342"/>
      <c r="H120" s="342"/>
      <c r="I120" s="342"/>
      <c r="J120" s="342"/>
      <c r="K120" s="342"/>
      <c r="L120" s="342"/>
      <c r="M120" s="342"/>
      <c r="N120" s="342"/>
      <c r="O120" s="342"/>
      <c r="P120" s="342"/>
      <c r="Q120" s="342"/>
      <c r="R120" s="342">
        <f t="shared" si="22"/>
        <v>0</v>
      </c>
      <c r="S120" s="342"/>
      <c r="T120" s="342">
        <f t="shared" si="23"/>
        <v>0</v>
      </c>
      <c r="U120" s="342"/>
      <c r="V120" s="342"/>
      <c r="W120" s="342"/>
      <c r="X120" s="342"/>
      <c r="Y120" s="342"/>
      <c r="Z120" s="342"/>
      <c r="AA120" s="342"/>
      <c r="AB120" s="342"/>
      <c r="AC120" s="342"/>
      <c r="AD120" s="342"/>
      <c r="AE120" s="342"/>
      <c r="AF120" s="342"/>
      <c r="AG120" s="342"/>
      <c r="AH120" s="342"/>
      <c r="AI120" s="342"/>
      <c r="AJ120" s="342"/>
      <c r="AK120" s="342">
        <v>0</v>
      </c>
      <c r="AL120" s="342"/>
      <c r="AM120" s="342"/>
      <c r="AN120" s="342"/>
      <c r="AO120" s="342"/>
      <c r="AP120" s="342"/>
      <c r="AQ120" s="342"/>
      <c r="AR120" s="342"/>
      <c r="AS120" s="342">
        <v>0</v>
      </c>
      <c r="AT120" s="342"/>
      <c r="AU120" s="342"/>
      <c r="AV120" s="342">
        <f t="shared" si="24"/>
        <v>0</v>
      </c>
      <c r="AW120" s="342"/>
      <c r="AX120" s="342"/>
      <c r="AY120" s="342"/>
      <c r="AZ120" s="342"/>
      <c r="BA120" s="342"/>
      <c r="BB120" s="342"/>
      <c r="BC120" s="342"/>
      <c r="BD120" s="342">
        <f t="shared" si="25"/>
        <v>0</v>
      </c>
      <c r="BE120" s="342">
        <f t="shared" si="26"/>
        <v>0</v>
      </c>
      <c r="BF120" s="342">
        <f t="shared" si="27"/>
        <v>0</v>
      </c>
      <c r="BG120" s="342">
        <f t="shared" si="28"/>
        <v>0</v>
      </c>
      <c r="BI120" s="346">
        <f t="shared" si="29"/>
        <v>0</v>
      </c>
      <c r="BJ120" s="346">
        <v>1</v>
      </c>
      <c r="BK120" s="1120">
        <f t="shared" si="30"/>
        <v>0</v>
      </c>
    </row>
    <row r="121" spans="1:63" ht="15" customHeight="1" x14ac:dyDescent="0.25">
      <c r="A121" s="340"/>
      <c r="B121" s="340"/>
      <c r="C121" s="342"/>
      <c r="D121" s="342"/>
      <c r="E121" s="342"/>
      <c r="F121" s="342"/>
      <c r="G121" s="342"/>
      <c r="H121" s="342"/>
      <c r="I121" s="342"/>
      <c r="J121" s="342"/>
      <c r="K121" s="342"/>
      <c r="L121" s="342"/>
      <c r="M121" s="342"/>
      <c r="N121" s="342"/>
      <c r="O121" s="342"/>
      <c r="P121" s="342"/>
      <c r="Q121" s="342"/>
      <c r="R121" s="342">
        <f t="shared" si="22"/>
        <v>0</v>
      </c>
      <c r="S121" s="342"/>
      <c r="T121" s="342">
        <f t="shared" si="23"/>
        <v>0</v>
      </c>
      <c r="U121" s="342"/>
      <c r="V121" s="342"/>
      <c r="W121" s="342"/>
      <c r="X121" s="342"/>
      <c r="Y121" s="342"/>
      <c r="Z121" s="342"/>
      <c r="AA121" s="342"/>
      <c r="AB121" s="342"/>
      <c r="AC121" s="342"/>
      <c r="AD121" s="342"/>
      <c r="AE121" s="342"/>
      <c r="AF121" s="342"/>
      <c r="AG121" s="342"/>
      <c r="AH121" s="342"/>
      <c r="AI121" s="342"/>
      <c r="AJ121" s="342"/>
      <c r="AK121" s="342">
        <v>0</v>
      </c>
      <c r="AL121" s="342"/>
      <c r="AM121" s="342"/>
      <c r="AN121" s="342"/>
      <c r="AO121" s="342"/>
      <c r="AP121" s="342"/>
      <c r="AQ121" s="342"/>
      <c r="AR121" s="342"/>
      <c r="AS121" s="342">
        <v>0</v>
      </c>
      <c r="AT121" s="342"/>
      <c r="AU121" s="342"/>
      <c r="AV121" s="342">
        <f t="shared" si="24"/>
        <v>0</v>
      </c>
      <c r="AW121" s="342"/>
      <c r="AX121" s="342"/>
      <c r="AY121" s="342"/>
      <c r="AZ121" s="342"/>
      <c r="BA121" s="342"/>
      <c r="BB121" s="342"/>
      <c r="BC121" s="342"/>
      <c r="BD121" s="342">
        <f t="shared" si="25"/>
        <v>0</v>
      </c>
      <c r="BE121" s="342">
        <f t="shared" si="26"/>
        <v>0</v>
      </c>
      <c r="BF121" s="342">
        <f t="shared" si="27"/>
        <v>0</v>
      </c>
      <c r="BG121" s="342">
        <f t="shared" si="28"/>
        <v>0</v>
      </c>
      <c r="BI121" s="346">
        <f t="shared" si="29"/>
        <v>0</v>
      </c>
      <c r="BJ121" s="346">
        <v>1</v>
      </c>
      <c r="BK121" s="1120">
        <f t="shared" si="30"/>
        <v>0</v>
      </c>
    </row>
    <row r="122" spans="1:63" ht="14.1" customHeight="1" x14ac:dyDescent="0.25">
      <c r="A122" s="340"/>
      <c r="B122" s="341" t="s">
        <v>1226</v>
      </c>
      <c r="C122" s="343">
        <f>SUM(C114:C121)</f>
        <v>0</v>
      </c>
      <c r="D122" s="343">
        <f t="shared" ref="D122:BD122" si="40">SUM(D114:D121)</f>
        <v>0</v>
      </c>
      <c r="E122" s="343">
        <f t="shared" si="40"/>
        <v>0</v>
      </c>
      <c r="F122" s="343">
        <f t="shared" si="40"/>
        <v>0</v>
      </c>
      <c r="G122" s="343">
        <f t="shared" si="40"/>
        <v>0</v>
      </c>
      <c r="H122" s="343">
        <f t="shared" si="40"/>
        <v>0</v>
      </c>
      <c r="I122" s="343">
        <f t="shared" si="40"/>
        <v>0</v>
      </c>
      <c r="J122" s="343">
        <f t="shared" si="40"/>
        <v>0</v>
      </c>
      <c r="K122" s="343">
        <f t="shared" si="40"/>
        <v>0</v>
      </c>
      <c r="L122" s="343">
        <f t="shared" si="40"/>
        <v>150000000</v>
      </c>
      <c r="M122" s="343">
        <f t="shared" si="40"/>
        <v>2550000</v>
      </c>
      <c r="N122" s="343">
        <f t="shared" si="40"/>
        <v>0</v>
      </c>
      <c r="O122" s="343">
        <f t="shared" si="40"/>
        <v>2500000</v>
      </c>
      <c r="P122" s="343">
        <f t="shared" si="40"/>
        <v>100850000</v>
      </c>
      <c r="Q122" s="343">
        <f t="shared" si="40"/>
        <v>0</v>
      </c>
      <c r="R122" s="343">
        <f t="shared" si="40"/>
        <v>255900000</v>
      </c>
      <c r="S122" s="343">
        <f t="shared" si="40"/>
        <v>0</v>
      </c>
      <c r="T122" s="343">
        <f t="shared" si="40"/>
        <v>0</v>
      </c>
      <c r="U122" s="343">
        <f t="shared" si="40"/>
        <v>0</v>
      </c>
      <c r="V122" s="343">
        <f t="shared" si="40"/>
        <v>0</v>
      </c>
      <c r="W122" s="343">
        <f t="shared" si="40"/>
        <v>0</v>
      </c>
      <c r="X122" s="343">
        <f t="shared" si="40"/>
        <v>0</v>
      </c>
      <c r="Y122" s="343">
        <f t="shared" si="40"/>
        <v>0</v>
      </c>
      <c r="Z122" s="343">
        <f t="shared" si="40"/>
        <v>0</v>
      </c>
      <c r="AA122" s="343">
        <f t="shared" si="40"/>
        <v>0</v>
      </c>
      <c r="AB122" s="343">
        <f t="shared" si="40"/>
        <v>0</v>
      </c>
      <c r="AC122" s="343">
        <f t="shared" si="40"/>
        <v>0</v>
      </c>
      <c r="AD122" s="343">
        <f t="shared" si="40"/>
        <v>0</v>
      </c>
      <c r="AE122" s="343">
        <f t="shared" si="40"/>
        <v>0</v>
      </c>
      <c r="AF122" s="343">
        <f t="shared" si="40"/>
        <v>0</v>
      </c>
      <c r="AG122" s="343">
        <f t="shared" si="40"/>
        <v>0</v>
      </c>
      <c r="AH122" s="343">
        <f t="shared" si="40"/>
        <v>0</v>
      </c>
      <c r="AI122" s="343">
        <f t="shared" si="40"/>
        <v>0</v>
      </c>
      <c r="AJ122" s="343">
        <f t="shared" si="40"/>
        <v>0</v>
      </c>
      <c r="AK122" s="343">
        <f t="shared" si="40"/>
        <v>0</v>
      </c>
      <c r="AL122" s="343">
        <f t="shared" si="40"/>
        <v>0</v>
      </c>
      <c r="AM122" s="343">
        <f t="shared" si="40"/>
        <v>0</v>
      </c>
      <c r="AN122" s="343">
        <f t="shared" si="40"/>
        <v>0</v>
      </c>
      <c r="AO122" s="343">
        <f t="shared" si="40"/>
        <v>0</v>
      </c>
      <c r="AP122" s="343">
        <f t="shared" si="40"/>
        <v>0</v>
      </c>
      <c r="AQ122" s="343">
        <f t="shared" si="40"/>
        <v>0</v>
      </c>
      <c r="AR122" s="343">
        <f t="shared" si="40"/>
        <v>0</v>
      </c>
      <c r="AS122" s="343">
        <f t="shared" si="40"/>
        <v>0</v>
      </c>
      <c r="AT122" s="343">
        <f t="shared" si="40"/>
        <v>0</v>
      </c>
      <c r="AU122" s="343">
        <f t="shared" si="40"/>
        <v>0</v>
      </c>
      <c r="AV122" s="343">
        <f t="shared" si="40"/>
        <v>0</v>
      </c>
      <c r="AW122" s="343">
        <f t="shared" si="40"/>
        <v>0</v>
      </c>
      <c r="AX122" s="343">
        <f t="shared" si="40"/>
        <v>0</v>
      </c>
      <c r="AY122" s="343">
        <f t="shared" si="40"/>
        <v>0</v>
      </c>
      <c r="AZ122" s="343">
        <f t="shared" si="40"/>
        <v>0</v>
      </c>
      <c r="BA122" s="343">
        <f t="shared" si="40"/>
        <v>0</v>
      </c>
      <c r="BB122" s="343">
        <f t="shared" si="40"/>
        <v>0</v>
      </c>
      <c r="BC122" s="343">
        <f t="shared" si="40"/>
        <v>0</v>
      </c>
      <c r="BD122" s="343">
        <f t="shared" si="40"/>
        <v>0</v>
      </c>
      <c r="BE122" s="343">
        <f t="shared" si="26"/>
        <v>255900000</v>
      </c>
      <c r="BF122" s="343">
        <f t="shared" si="27"/>
        <v>0</v>
      </c>
      <c r="BG122" s="343">
        <f t="shared" si="28"/>
        <v>255900000</v>
      </c>
      <c r="BI122" s="346" t="str">
        <f t="shared" si="29"/>
        <v>5.01 - MAQUINARIA, EQUIPO Y MOBILIARIO</v>
      </c>
      <c r="BJ122" s="346">
        <v>1</v>
      </c>
      <c r="BK122" s="1120">
        <f t="shared" si="30"/>
        <v>255900000</v>
      </c>
    </row>
    <row r="123" spans="1:63" ht="14.1" customHeight="1" x14ac:dyDescent="0.25">
      <c r="A123" s="340" t="s">
        <v>1227</v>
      </c>
      <c r="B123" s="340" t="s">
        <v>1228</v>
      </c>
      <c r="C123" s="342"/>
      <c r="D123" s="342"/>
      <c r="E123" s="342"/>
      <c r="F123" s="342"/>
      <c r="G123" s="342"/>
      <c r="H123" s="342"/>
      <c r="I123" s="342"/>
      <c r="J123" s="342"/>
      <c r="K123" s="342"/>
      <c r="L123" s="342"/>
      <c r="M123" s="342"/>
      <c r="N123" s="342"/>
      <c r="O123" s="342"/>
      <c r="P123" s="342">
        <f>343787753.92-30000000+100000000+0.08</f>
        <v>413787754</v>
      </c>
      <c r="Q123" s="342"/>
      <c r="R123" s="342">
        <f t="shared" si="22"/>
        <v>413787754</v>
      </c>
      <c r="S123" s="342"/>
      <c r="T123" s="342">
        <f t="shared" si="23"/>
        <v>0</v>
      </c>
      <c r="U123" s="342"/>
      <c r="V123" s="342"/>
      <c r="W123" s="342"/>
      <c r="X123" s="342"/>
      <c r="Y123" s="342"/>
      <c r="Z123" s="342"/>
      <c r="AA123" s="342"/>
      <c r="AB123" s="342"/>
      <c r="AC123" s="342"/>
      <c r="AD123" s="342"/>
      <c r="AE123" s="342"/>
      <c r="AF123" s="342"/>
      <c r="AG123" s="342"/>
      <c r="AH123" s="342"/>
      <c r="AI123" s="342"/>
      <c r="AJ123" s="342"/>
      <c r="AK123" s="342">
        <v>0</v>
      </c>
      <c r="AL123" s="342"/>
      <c r="AM123" s="342"/>
      <c r="AN123" s="342"/>
      <c r="AO123" s="342"/>
      <c r="AP123" s="342"/>
      <c r="AQ123" s="342">
        <v>6469196.0999999996</v>
      </c>
      <c r="AR123" s="342"/>
      <c r="AS123" s="342">
        <v>3436067.9</v>
      </c>
      <c r="AT123" s="342"/>
      <c r="AU123" s="342"/>
      <c r="AV123" s="342">
        <f t="shared" si="24"/>
        <v>9905264</v>
      </c>
      <c r="AW123" s="342"/>
      <c r="AX123" s="342"/>
      <c r="AY123" s="342"/>
      <c r="AZ123" s="342"/>
      <c r="BA123" s="342"/>
      <c r="BB123" s="342"/>
      <c r="BC123" s="342"/>
      <c r="BD123" s="342">
        <f t="shared" si="25"/>
        <v>0</v>
      </c>
      <c r="BE123" s="342">
        <f t="shared" si="26"/>
        <v>423693018</v>
      </c>
      <c r="BF123" s="342">
        <f t="shared" si="27"/>
        <v>9905264</v>
      </c>
      <c r="BG123" s="342">
        <f t="shared" si="28"/>
        <v>413787754</v>
      </c>
      <c r="BH123" s="346" t="s">
        <v>411</v>
      </c>
      <c r="BI123" s="346" t="str">
        <f t="shared" si="29"/>
        <v>Derechos de autor</v>
      </c>
      <c r="BJ123" s="346">
        <v>1</v>
      </c>
      <c r="BK123" s="1120">
        <f t="shared" si="30"/>
        <v>413787754</v>
      </c>
    </row>
    <row r="124" spans="1:63" ht="14.1" customHeight="1" x14ac:dyDescent="0.25">
      <c r="A124" s="340"/>
      <c r="B124" s="341" t="s">
        <v>1229</v>
      </c>
      <c r="C124" s="343">
        <f>+C123</f>
        <v>0</v>
      </c>
      <c r="D124" s="343">
        <f t="shared" ref="D124:BD124" si="41">+D123</f>
        <v>0</v>
      </c>
      <c r="E124" s="343">
        <f t="shared" si="41"/>
        <v>0</v>
      </c>
      <c r="F124" s="343">
        <f t="shared" si="41"/>
        <v>0</v>
      </c>
      <c r="G124" s="343">
        <f t="shared" si="41"/>
        <v>0</v>
      </c>
      <c r="H124" s="343">
        <f t="shared" si="41"/>
        <v>0</v>
      </c>
      <c r="I124" s="343">
        <f t="shared" si="41"/>
        <v>0</v>
      </c>
      <c r="J124" s="343">
        <f t="shared" si="41"/>
        <v>0</v>
      </c>
      <c r="K124" s="343">
        <f t="shared" si="41"/>
        <v>0</v>
      </c>
      <c r="L124" s="343">
        <f t="shared" si="41"/>
        <v>0</v>
      </c>
      <c r="M124" s="343">
        <f t="shared" si="41"/>
        <v>0</v>
      </c>
      <c r="N124" s="343">
        <f t="shared" si="41"/>
        <v>0</v>
      </c>
      <c r="O124" s="343">
        <f t="shared" si="41"/>
        <v>0</v>
      </c>
      <c r="P124" s="343">
        <f t="shared" si="41"/>
        <v>413787754</v>
      </c>
      <c r="Q124" s="343">
        <f t="shared" si="41"/>
        <v>0</v>
      </c>
      <c r="R124" s="343">
        <f t="shared" si="41"/>
        <v>413787754</v>
      </c>
      <c r="S124" s="343">
        <f t="shared" si="41"/>
        <v>0</v>
      </c>
      <c r="T124" s="343">
        <f t="shared" si="41"/>
        <v>0</v>
      </c>
      <c r="U124" s="343">
        <f t="shared" si="41"/>
        <v>0</v>
      </c>
      <c r="V124" s="343">
        <f t="shared" si="41"/>
        <v>0</v>
      </c>
      <c r="W124" s="343">
        <f t="shared" si="41"/>
        <v>0</v>
      </c>
      <c r="X124" s="343">
        <f t="shared" si="41"/>
        <v>0</v>
      </c>
      <c r="Y124" s="343">
        <f t="shared" si="41"/>
        <v>0</v>
      </c>
      <c r="Z124" s="343">
        <f t="shared" si="41"/>
        <v>0</v>
      </c>
      <c r="AA124" s="343">
        <f t="shared" si="41"/>
        <v>0</v>
      </c>
      <c r="AB124" s="343">
        <f t="shared" si="41"/>
        <v>0</v>
      </c>
      <c r="AC124" s="343">
        <f t="shared" si="41"/>
        <v>0</v>
      </c>
      <c r="AD124" s="343">
        <f t="shared" si="41"/>
        <v>0</v>
      </c>
      <c r="AE124" s="343">
        <f t="shared" si="41"/>
        <v>0</v>
      </c>
      <c r="AF124" s="343">
        <f t="shared" si="41"/>
        <v>0</v>
      </c>
      <c r="AG124" s="343">
        <f t="shared" si="41"/>
        <v>0</v>
      </c>
      <c r="AH124" s="343">
        <f t="shared" si="41"/>
        <v>0</v>
      </c>
      <c r="AI124" s="343">
        <f t="shared" si="41"/>
        <v>0</v>
      </c>
      <c r="AJ124" s="343">
        <f t="shared" si="41"/>
        <v>0</v>
      </c>
      <c r="AK124" s="343">
        <f t="shared" si="41"/>
        <v>0</v>
      </c>
      <c r="AL124" s="343">
        <f t="shared" si="41"/>
        <v>0</v>
      </c>
      <c r="AM124" s="343">
        <f t="shared" si="41"/>
        <v>0</v>
      </c>
      <c r="AN124" s="343">
        <f t="shared" si="41"/>
        <v>0</v>
      </c>
      <c r="AO124" s="343">
        <f t="shared" si="41"/>
        <v>0</v>
      </c>
      <c r="AP124" s="343">
        <f t="shared" si="41"/>
        <v>0</v>
      </c>
      <c r="AQ124" s="343">
        <f t="shared" si="41"/>
        <v>6469196.0999999996</v>
      </c>
      <c r="AR124" s="343">
        <f t="shared" si="41"/>
        <v>0</v>
      </c>
      <c r="AS124" s="343">
        <f t="shared" si="41"/>
        <v>3436067.9</v>
      </c>
      <c r="AT124" s="343">
        <f t="shared" si="41"/>
        <v>0</v>
      </c>
      <c r="AU124" s="343">
        <f t="shared" si="41"/>
        <v>0</v>
      </c>
      <c r="AV124" s="343">
        <f t="shared" si="41"/>
        <v>9905264</v>
      </c>
      <c r="AW124" s="343">
        <f t="shared" si="41"/>
        <v>0</v>
      </c>
      <c r="AX124" s="343">
        <f t="shared" si="41"/>
        <v>0</v>
      </c>
      <c r="AY124" s="343">
        <f t="shared" si="41"/>
        <v>0</v>
      </c>
      <c r="AZ124" s="343">
        <f t="shared" si="41"/>
        <v>0</v>
      </c>
      <c r="BA124" s="343">
        <f t="shared" si="41"/>
        <v>0</v>
      </c>
      <c r="BB124" s="343">
        <f t="shared" si="41"/>
        <v>0</v>
      </c>
      <c r="BC124" s="343">
        <f t="shared" si="41"/>
        <v>0</v>
      </c>
      <c r="BD124" s="343">
        <f t="shared" si="41"/>
        <v>0</v>
      </c>
      <c r="BE124" s="343">
        <f t="shared" si="26"/>
        <v>423693018</v>
      </c>
      <c r="BF124" s="343">
        <f t="shared" si="27"/>
        <v>9905264</v>
      </c>
      <c r="BG124" s="343">
        <f t="shared" si="28"/>
        <v>413787754</v>
      </c>
      <c r="BI124" s="346" t="str">
        <f t="shared" si="29"/>
        <v>5.99 - CONSTRUCCIONES, ADICIONES Y MEJORAS</v>
      </c>
      <c r="BJ124" s="346">
        <v>1</v>
      </c>
      <c r="BK124" s="1120">
        <f t="shared" si="30"/>
        <v>413787754</v>
      </c>
    </row>
    <row r="125" spans="1:63" s="346" customFormat="1" outlineLevel="1" x14ac:dyDescent="0.25">
      <c r="A125" s="352"/>
      <c r="B125" s="352" t="s">
        <v>1230</v>
      </c>
      <c r="C125" s="353">
        <f>+C124+C122</f>
        <v>0</v>
      </c>
      <c r="D125" s="353">
        <f t="shared" ref="D125:BD125" si="42">+D124+D122</f>
        <v>0</v>
      </c>
      <c r="E125" s="353">
        <f t="shared" si="42"/>
        <v>0</v>
      </c>
      <c r="F125" s="353">
        <f t="shared" si="42"/>
        <v>0</v>
      </c>
      <c r="G125" s="353">
        <f t="shared" si="42"/>
        <v>0</v>
      </c>
      <c r="H125" s="353">
        <f t="shared" si="42"/>
        <v>0</v>
      </c>
      <c r="I125" s="353">
        <f t="shared" si="42"/>
        <v>0</v>
      </c>
      <c r="J125" s="353">
        <f t="shared" si="42"/>
        <v>0</v>
      </c>
      <c r="K125" s="353">
        <f t="shared" si="42"/>
        <v>0</v>
      </c>
      <c r="L125" s="353">
        <f>+L124+L122</f>
        <v>150000000</v>
      </c>
      <c r="M125" s="353">
        <f t="shared" si="42"/>
        <v>2550000</v>
      </c>
      <c r="N125" s="353">
        <f t="shared" si="42"/>
        <v>0</v>
      </c>
      <c r="O125" s="353">
        <f t="shared" si="42"/>
        <v>2500000</v>
      </c>
      <c r="P125" s="353">
        <f t="shared" si="42"/>
        <v>514637754</v>
      </c>
      <c r="Q125" s="353">
        <f t="shared" si="42"/>
        <v>0</v>
      </c>
      <c r="R125" s="353">
        <f t="shared" si="42"/>
        <v>669687754</v>
      </c>
      <c r="S125" s="353">
        <f t="shared" si="42"/>
        <v>0</v>
      </c>
      <c r="T125" s="353">
        <f t="shared" si="42"/>
        <v>0</v>
      </c>
      <c r="U125" s="353">
        <f t="shared" si="42"/>
        <v>0</v>
      </c>
      <c r="V125" s="353">
        <f t="shared" si="42"/>
        <v>0</v>
      </c>
      <c r="W125" s="353">
        <f t="shared" si="42"/>
        <v>0</v>
      </c>
      <c r="X125" s="353">
        <f t="shared" si="42"/>
        <v>0</v>
      </c>
      <c r="Y125" s="353">
        <f t="shared" si="42"/>
        <v>0</v>
      </c>
      <c r="Z125" s="353">
        <f t="shared" si="42"/>
        <v>0</v>
      </c>
      <c r="AA125" s="353">
        <f t="shared" si="42"/>
        <v>0</v>
      </c>
      <c r="AB125" s="353">
        <f t="shared" si="42"/>
        <v>0</v>
      </c>
      <c r="AC125" s="353">
        <f t="shared" si="42"/>
        <v>0</v>
      </c>
      <c r="AD125" s="353">
        <f t="shared" si="42"/>
        <v>0</v>
      </c>
      <c r="AE125" s="353">
        <f t="shared" si="42"/>
        <v>0</v>
      </c>
      <c r="AF125" s="353">
        <f t="shared" si="42"/>
        <v>0</v>
      </c>
      <c r="AG125" s="353">
        <f t="shared" si="42"/>
        <v>0</v>
      </c>
      <c r="AH125" s="353">
        <f t="shared" si="42"/>
        <v>0</v>
      </c>
      <c r="AI125" s="353">
        <f t="shared" si="42"/>
        <v>0</v>
      </c>
      <c r="AJ125" s="353">
        <f t="shared" si="42"/>
        <v>0</v>
      </c>
      <c r="AK125" s="353">
        <f t="shared" si="42"/>
        <v>0</v>
      </c>
      <c r="AL125" s="353">
        <f t="shared" si="42"/>
        <v>0</v>
      </c>
      <c r="AM125" s="353">
        <f t="shared" si="42"/>
        <v>0</v>
      </c>
      <c r="AN125" s="353">
        <f t="shared" si="42"/>
        <v>0</v>
      </c>
      <c r="AO125" s="353">
        <f t="shared" si="42"/>
        <v>0</v>
      </c>
      <c r="AP125" s="353">
        <f t="shared" si="42"/>
        <v>0</v>
      </c>
      <c r="AQ125" s="353">
        <f t="shared" si="42"/>
        <v>6469196.0999999996</v>
      </c>
      <c r="AR125" s="353">
        <f t="shared" si="42"/>
        <v>0</v>
      </c>
      <c r="AS125" s="353">
        <f t="shared" si="42"/>
        <v>3436067.9</v>
      </c>
      <c r="AT125" s="353">
        <f t="shared" si="42"/>
        <v>0</v>
      </c>
      <c r="AU125" s="353">
        <f t="shared" si="42"/>
        <v>0</v>
      </c>
      <c r="AV125" s="353">
        <f t="shared" si="42"/>
        <v>9905264</v>
      </c>
      <c r="AW125" s="353">
        <f t="shared" si="42"/>
        <v>0</v>
      </c>
      <c r="AX125" s="353">
        <f t="shared" si="42"/>
        <v>0</v>
      </c>
      <c r="AY125" s="353">
        <f t="shared" si="42"/>
        <v>0</v>
      </c>
      <c r="AZ125" s="353">
        <f t="shared" si="42"/>
        <v>0</v>
      </c>
      <c r="BA125" s="353">
        <f t="shared" si="42"/>
        <v>0</v>
      </c>
      <c r="BB125" s="353">
        <f t="shared" si="42"/>
        <v>0</v>
      </c>
      <c r="BC125" s="353">
        <f t="shared" si="42"/>
        <v>0</v>
      </c>
      <c r="BD125" s="353">
        <f t="shared" si="42"/>
        <v>0</v>
      </c>
      <c r="BE125" s="353">
        <f t="shared" si="26"/>
        <v>679593018</v>
      </c>
      <c r="BF125" s="353">
        <f t="shared" si="27"/>
        <v>9905264</v>
      </c>
      <c r="BG125" s="353">
        <f t="shared" si="28"/>
        <v>669687754</v>
      </c>
      <c r="BI125" s="346" t="str">
        <f t="shared" si="29"/>
        <v>5 - BIENES DURADEROS</v>
      </c>
      <c r="BJ125" s="346">
        <v>1</v>
      </c>
      <c r="BK125" s="1120">
        <f t="shared" si="30"/>
        <v>669687754</v>
      </c>
    </row>
    <row r="126" spans="1:63" ht="14.1" customHeight="1" x14ac:dyDescent="0.25">
      <c r="A126" s="340" t="s">
        <v>353</v>
      </c>
      <c r="B126" s="340" t="s">
        <v>413</v>
      </c>
      <c r="C126" s="342"/>
      <c r="D126" s="342"/>
      <c r="E126" s="342"/>
      <c r="F126" s="342"/>
      <c r="G126" s="342"/>
      <c r="H126" s="342"/>
      <c r="I126" s="342"/>
      <c r="J126" s="342"/>
      <c r="K126" s="342"/>
      <c r="L126" s="342"/>
      <c r="M126" s="342"/>
      <c r="N126" s="342"/>
      <c r="O126" s="342"/>
      <c r="P126" s="342"/>
      <c r="Q126" s="342">
        <v>30000000</v>
      </c>
      <c r="R126" s="342">
        <f t="shared" si="22"/>
        <v>30000000</v>
      </c>
      <c r="S126" s="342"/>
      <c r="T126" s="342">
        <f t="shared" si="23"/>
        <v>0</v>
      </c>
      <c r="U126" s="342"/>
      <c r="V126" s="342"/>
      <c r="W126" s="342"/>
      <c r="X126" s="342"/>
      <c r="Y126" s="342"/>
      <c r="Z126" s="342"/>
      <c r="AA126" s="342"/>
      <c r="AB126" s="342"/>
      <c r="AC126" s="342"/>
      <c r="AD126" s="342"/>
      <c r="AE126" s="342"/>
      <c r="AF126" s="342"/>
      <c r="AG126" s="342"/>
      <c r="AH126" s="342"/>
      <c r="AI126" s="342"/>
      <c r="AJ126" s="342">
        <v>411894272</v>
      </c>
      <c r="AK126" s="342">
        <v>0</v>
      </c>
      <c r="AL126" s="342"/>
      <c r="AM126" s="342"/>
      <c r="AN126" s="342"/>
      <c r="AO126" s="342"/>
      <c r="AP126" s="342"/>
      <c r="AQ126" s="342"/>
      <c r="AR126" s="342"/>
      <c r="AS126" s="342">
        <v>0</v>
      </c>
      <c r="AT126" s="342"/>
      <c r="AU126" s="342"/>
      <c r="AV126" s="342">
        <f t="shared" si="24"/>
        <v>411894272</v>
      </c>
      <c r="AW126" s="342"/>
      <c r="AX126" s="342"/>
      <c r="AY126" s="342"/>
      <c r="AZ126" s="342"/>
      <c r="BA126" s="342"/>
      <c r="BB126" s="342"/>
      <c r="BC126" s="342"/>
      <c r="BD126" s="342">
        <f t="shared" si="25"/>
        <v>0</v>
      </c>
      <c r="BE126" s="342">
        <f t="shared" si="26"/>
        <v>441894272</v>
      </c>
      <c r="BF126" s="342">
        <f t="shared" si="27"/>
        <v>0</v>
      </c>
      <c r="BG126" s="342">
        <f t="shared" si="28"/>
        <v>441894272</v>
      </c>
      <c r="BH126" s="346" t="s">
        <v>353</v>
      </c>
      <c r="BI126" s="346" t="str">
        <f t="shared" si="29"/>
        <v>Transferencias corrientes al Gobierno Central</v>
      </c>
      <c r="BJ126" s="346">
        <v>1</v>
      </c>
      <c r="BK126" s="1120">
        <f t="shared" si="30"/>
        <v>30000000</v>
      </c>
    </row>
    <row r="127" spans="1:63" ht="14.1" customHeight="1" x14ac:dyDescent="0.25">
      <c r="A127" s="340"/>
      <c r="B127" s="340"/>
      <c r="C127" s="342"/>
      <c r="D127" s="342"/>
      <c r="E127" s="342"/>
      <c r="F127" s="342"/>
      <c r="G127" s="342"/>
      <c r="H127" s="342"/>
      <c r="I127" s="342"/>
      <c r="J127" s="342"/>
      <c r="K127" s="342"/>
      <c r="L127" s="342"/>
      <c r="M127" s="342"/>
      <c r="N127" s="342"/>
      <c r="O127" s="342"/>
      <c r="P127" s="342"/>
      <c r="Q127" s="342"/>
      <c r="R127" s="342">
        <f t="shared" si="22"/>
        <v>0</v>
      </c>
      <c r="S127" s="342"/>
      <c r="T127" s="342">
        <f t="shared" si="23"/>
        <v>0</v>
      </c>
      <c r="U127" s="342"/>
      <c r="V127" s="342"/>
      <c r="W127" s="342"/>
      <c r="X127" s="342"/>
      <c r="Y127" s="342"/>
      <c r="Z127" s="342"/>
      <c r="AA127" s="342"/>
      <c r="AB127" s="342"/>
      <c r="AC127" s="342"/>
      <c r="AD127" s="342"/>
      <c r="AE127" s="342"/>
      <c r="AF127" s="342"/>
      <c r="AG127" s="342"/>
      <c r="AH127" s="342"/>
      <c r="AI127" s="342"/>
      <c r="AJ127" s="342"/>
      <c r="AK127" s="342">
        <v>0</v>
      </c>
      <c r="AL127" s="342"/>
      <c r="AM127" s="342"/>
      <c r="AN127" s="342"/>
      <c r="AO127" s="342"/>
      <c r="AP127" s="342"/>
      <c r="AQ127" s="342"/>
      <c r="AR127" s="342"/>
      <c r="AS127" s="342">
        <v>0</v>
      </c>
      <c r="AT127" s="342"/>
      <c r="AU127" s="342"/>
      <c r="AV127" s="342">
        <f t="shared" si="24"/>
        <v>0</v>
      </c>
      <c r="AW127" s="342"/>
      <c r="AX127" s="342"/>
      <c r="AY127" s="342"/>
      <c r="AZ127" s="342"/>
      <c r="BA127" s="342"/>
      <c r="BB127" s="342"/>
      <c r="BC127" s="342"/>
      <c r="BD127" s="342">
        <f t="shared" si="25"/>
        <v>0</v>
      </c>
      <c r="BE127" s="342">
        <f t="shared" si="26"/>
        <v>0</v>
      </c>
      <c r="BF127" s="342">
        <f t="shared" si="27"/>
        <v>0</v>
      </c>
      <c r="BG127" s="342">
        <f t="shared" si="28"/>
        <v>0</v>
      </c>
      <c r="BI127" s="346">
        <f t="shared" si="29"/>
        <v>0</v>
      </c>
      <c r="BJ127" s="346">
        <v>1</v>
      </c>
      <c r="BK127" s="1120">
        <f t="shared" si="30"/>
        <v>0</v>
      </c>
    </row>
    <row r="128" spans="1:63" ht="14.1" customHeight="1" x14ac:dyDescent="0.25">
      <c r="A128" s="340"/>
      <c r="B128" s="341" t="s">
        <v>1231</v>
      </c>
      <c r="C128" s="343">
        <f>+C126+C127</f>
        <v>0</v>
      </c>
      <c r="D128" s="343">
        <f t="shared" ref="D128:BD128" si="43">+D126+D127</f>
        <v>0</v>
      </c>
      <c r="E128" s="343">
        <f t="shared" si="43"/>
        <v>0</v>
      </c>
      <c r="F128" s="343">
        <f t="shared" si="43"/>
        <v>0</v>
      </c>
      <c r="G128" s="343">
        <f t="shared" si="43"/>
        <v>0</v>
      </c>
      <c r="H128" s="343">
        <f t="shared" si="43"/>
        <v>0</v>
      </c>
      <c r="I128" s="343">
        <f t="shared" si="43"/>
        <v>0</v>
      </c>
      <c r="J128" s="343">
        <f t="shared" si="43"/>
        <v>0</v>
      </c>
      <c r="K128" s="343">
        <f t="shared" si="43"/>
        <v>0</v>
      </c>
      <c r="L128" s="343">
        <f t="shared" si="43"/>
        <v>0</v>
      </c>
      <c r="M128" s="343">
        <f t="shared" si="43"/>
        <v>0</v>
      </c>
      <c r="N128" s="343">
        <f t="shared" si="43"/>
        <v>0</v>
      </c>
      <c r="O128" s="343">
        <f t="shared" si="43"/>
        <v>0</v>
      </c>
      <c r="P128" s="343">
        <f t="shared" si="43"/>
        <v>0</v>
      </c>
      <c r="Q128" s="343">
        <f t="shared" si="43"/>
        <v>30000000</v>
      </c>
      <c r="R128" s="343">
        <f t="shared" si="43"/>
        <v>30000000</v>
      </c>
      <c r="S128" s="343">
        <f t="shared" si="43"/>
        <v>0</v>
      </c>
      <c r="T128" s="343">
        <f t="shared" si="43"/>
        <v>0</v>
      </c>
      <c r="U128" s="343">
        <f t="shared" si="43"/>
        <v>0</v>
      </c>
      <c r="V128" s="343">
        <f t="shared" si="43"/>
        <v>0</v>
      </c>
      <c r="W128" s="343">
        <f t="shared" si="43"/>
        <v>0</v>
      </c>
      <c r="X128" s="343">
        <f t="shared" si="43"/>
        <v>0</v>
      </c>
      <c r="Y128" s="343">
        <f t="shared" si="43"/>
        <v>0</v>
      </c>
      <c r="Z128" s="343">
        <f t="shared" si="43"/>
        <v>0</v>
      </c>
      <c r="AA128" s="343">
        <f t="shared" si="43"/>
        <v>0</v>
      </c>
      <c r="AB128" s="343">
        <f t="shared" si="43"/>
        <v>0</v>
      </c>
      <c r="AC128" s="343">
        <f t="shared" si="43"/>
        <v>0</v>
      </c>
      <c r="AD128" s="343">
        <f t="shared" si="43"/>
        <v>0</v>
      </c>
      <c r="AE128" s="343">
        <f t="shared" si="43"/>
        <v>0</v>
      </c>
      <c r="AF128" s="343">
        <f t="shared" si="43"/>
        <v>0</v>
      </c>
      <c r="AG128" s="343">
        <f t="shared" si="43"/>
        <v>0</v>
      </c>
      <c r="AH128" s="343">
        <f t="shared" si="43"/>
        <v>0</v>
      </c>
      <c r="AI128" s="343">
        <f t="shared" si="43"/>
        <v>0</v>
      </c>
      <c r="AJ128" s="343">
        <f t="shared" si="43"/>
        <v>411894272</v>
      </c>
      <c r="AK128" s="343">
        <f t="shared" si="43"/>
        <v>0</v>
      </c>
      <c r="AL128" s="343">
        <f t="shared" si="43"/>
        <v>0</v>
      </c>
      <c r="AM128" s="343">
        <f t="shared" si="43"/>
        <v>0</v>
      </c>
      <c r="AN128" s="343">
        <f t="shared" si="43"/>
        <v>0</v>
      </c>
      <c r="AO128" s="343">
        <f t="shared" si="43"/>
        <v>0</v>
      </c>
      <c r="AP128" s="343">
        <f t="shared" si="43"/>
        <v>0</v>
      </c>
      <c r="AQ128" s="343">
        <f t="shared" si="43"/>
        <v>0</v>
      </c>
      <c r="AR128" s="343">
        <f t="shared" si="43"/>
        <v>0</v>
      </c>
      <c r="AS128" s="343">
        <f t="shared" si="43"/>
        <v>0</v>
      </c>
      <c r="AT128" s="343">
        <f t="shared" si="43"/>
        <v>0</v>
      </c>
      <c r="AU128" s="343">
        <f t="shared" si="43"/>
        <v>0</v>
      </c>
      <c r="AV128" s="343">
        <f t="shared" si="43"/>
        <v>411894272</v>
      </c>
      <c r="AW128" s="343">
        <f t="shared" si="43"/>
        <v>0</v>
      </c>
      <c r="AX128" s="343">
        <f t="shared" si="43"/>
        <v>0</v>
      </c>
      <c r="AY128" s="343">
        <f t="shared" si="43"/>
        <v>0</v>
      </c>
      <c r="AZ128" s="343">
        <f t="shared" si="43"/>
        <v>0</v>
      </c>
      <c r="BA128" s="343">
        <f t="shared" si="43"/>
        <v>0</v>
      </c>
      <c r="BB128" s="343">
        <f t="shared" si="43"/>
        <v>0</v>
      </c>
      <c r="BC128" s="343">
        <f t="shared" si="43"/>
        <v>0</v>
      </c>
      <c r="BD128" s="343">
        <f t="shared" si="43"/>
        <v>0</v>
      </c>
      <c r="BE128" s="343">
        <f t="shared" si="26"/>
        <v>441894272</v>
      </c>
      <c r="BF128" s="343">
        <f t="shared" si="27"/>
        <v>0</v>
      </c>
      <c r="BG128" s="343">
        <f t="shared" si="28"/>
        <v>441894272</v>
      </c>
      <c r="BI128" s="346" t="str">
        <f t="shared" si="29"/>
        <v>6.01 - TRANSFERENCIAS CORRIENTES AL SECTOR PUBLICO</v>
      </c>
      <c r="BJ128" s="346">
        <v>1</v>
      </c>
      <c r="BK128" s="1120">
        <f t="shared" si="30"/>
        <v>30000000</v>
      </c>
    </row>
    <row r="129" spans="1:63" ht="14.1" customHeight="1" x14ac:dyDescent="0.25">
      <c r="A129" s="340" t="s">
        <v>809</v>
      </c>
      <c r="B129" s="340" t="s">
        <v>810</v>
      </c>
      <c r="C129" s="342"/>
      <c r="D129" s="342"/>
      <c r="E129" s="342"/>
      <c r="F129" s="342"/>
      <c r="G129" s="342"/>
      <c r="H129" s="342"/>
      <c r="I129" s="342"/>
      <c r="J129" s="342"/>
      <c r="K129" s="342">
        <v>7780000</v>
      </c>
      <c r="L129" s="342"/>
      <c r="M129" s="342"/>
      <c r="N129" s="342"/>
      <c r="O129" s="342"/>
      <c r="P129" s="342"/>
      <c r="Q129" s="342"/>
      <c r="R129" s="342">
        <f t="shared" si="22"/>
        <v>7780000</v>
      </c>
      <c r="S129" s="342"/>
      <c r="T129" s="342">
        <f t="shared" si="23"/>
        <v>0</v>
      </c>
      <c r="U129" s="342"/>
      <c r="V129" s="342"/>
      <c r="W129" s="342"/>
      <c r="X129" s="342"/>
      <c r="Y129" s="342"/>
      <c r="Z129" s="342"/>
      <c r="AA129" s="342"/>
      <c r="AB129" s="342"/>
      <c r="AC129" s="342"/>
      <c r="AD129" s="342"/>
      <c r="AE129" s="342"/>
      <c r="AF129" s="342"/>
      <c r="AG129" s="342"/>
      <c r="AH129" s="342"/>
      <c r="AI129" s="342"/>
      <c r="AJ129" s="342"/>
      <c r="AK129" s="342">
        <v>0</v>
      </c>
      <c r="AL129" s="342"/>
      <c r="AM129" s="342"/>
      <c r="AN129" s="342"/>
      <c r="AO129" s="342"/>
      <c r="AP129" s="342"/>
      <c r="AQ129" s="342"/>
      <c r="AR129" s="342"/>
      <c r="AS129" s="342">
        <v>0</v>
      </c>
      <c r="AT129" s="342"/>
      <c r="AU129" s="342"/>
      <c r="AV129" s="342">
        <f t="shared" si="24"/>
        <v>0</v>
      </c>
      <c r="AW129" s="342"/>
      <c r="AX129" s="342"/>
      <c r="AY129" s="342"/>
      <c r="AZ129" s="342"/>
      <c r="BA129" s="342"/>
      <c r="BB129" s="342"/>
      <c r="BC129" s="342"/>
      <c r="BD129" s="342">
        <f t="shared" si="25"/>
        <v>0</v>
      </c>
      <c r="BE129" s="342">
        <f t="shared" si="26"/>
        <v>7780000</v>
      </c>
      <c r="BF129" s="342">
        <f t="shared" si="27"/>
        <v>0</v>
      </c>
      <c r="BG129" s="342">
        <f t="shared" si="28"/>
        <v>7780000</v>
      </c>
      <c r="BH129" s="346" t="s">
        <v>809</v>
      </c>
      <c r="BI129" s="346" t="str">
        <f t="shared" si="29"/>
        <v>Becas a terceras personas</v>
      </c>
      <c r="BJ129" s="346">
        <v>1</v>
      </c>
      <c r="BK129" s="1120">
        <f t="shared" si="30"/>
        <v>7780000</v>
      </c>
    </row>
    <row r="130" spans="1:63" ht="14.1" customHeight="1" x14ac:dyDescent="0.25">
      <c r="A130" s="340"/>
      <c r="B130" s="341" t="s">
        <v>1232</v>
      </c>
      <c r="C130" s="343">
        <f>+C129</f>
        <v>0</v>
      </c>
      <c r="D130" s="343">
        <f t="shared" ref="D130:BD130" si="44">+D129</f>
        <v>0</v>
      </c>
      <c r="E130" s="343">
        <f t="shared" si="44"/>
        <v>0</v>
      </c>
      <c r="F130" s="343">
        <f t="shared" si="44"/>
        <v>0</v>
      </c>
      <c r="G130" s="343">
        <f t="shared" si="44"/>
        <v>0</v>
      </c>
      <c r="H130" s="343">
        <f t="shared" si="44"/>
        <v>0</v>
      </c>
      <c r="I130" s="343">
        <f t="shared" si="44"/>
        <v>0</v>
      </c>
      <c r="J130" s="343">
        <f t="shared" si="44"/>
        <v>0</v>
      </c>
      <c r="K130" s="343">
        <f t="shared" si="44"/>
        <v>7780000</v>
      </c>
      <c r="L130" s="343">
        <f t="shared" si="44"/>
        <v>0</v>
      </c>
      <c r="M130" s="343">
        <f t="shared" si="44"/>
        <v>0</v>
      </c>
      <c r="N130" s="343">
        <f t="shared" si="44"/>
        <v>0</v>
      </c>
      <c r="O130" s="343">
        <f t="shared" si="44"/>
        <v>0</v>
      </c>
      <c r="P130" s="343">
        <f t="shared" si="44"/>
        <v>0</v>
      </c>
      <c r="Q130" s="343">
        <f t="shared" si="44"/>
        <v>0</v>
      </c>
      <c r="R130" s="343">
        <f t="shared" si="44"/>
        <v>7780000</v>
      </c>
      <c r="S130" s="343">
        <f t="shared" si="44"/>
        <v>0</v>
      </c>
      <c r="T130" s="343">
        <f t="shared" si="44"/>
        <v>0</v>
      </c>
      <c r="U130" s="343">
        <f t="shared" si="44"/>
        <v>0</v>
      </c>
      <c r="V130" s="343">
        <f t="shared" si="44"/>
        <v>0</v>
      </c>
      <c r="W130" s="343">
        <f t="shared" si="44"/>
        <v>0</v>
      </c>
      <c r="X130" s="343">
        <f t="shared" si="44"/>
        <v>0</v>
      </c>
      <c r="Y130" s="343">
        <f t="shared" si="44"/>
        <v>0</v>
      </c>
      <c r="Z130" s="343">
        <f t="shared" si="44"/>
        <v>0</v>
      </c>
      <c r="AA130" s="343">
        <f t="shared" si="44"/>
        <v>0</v>
      </c>
      <c r="AB130" s="343">
        <f t="shared" si="44"/>
        <v>0</v>
      </c>
      <c r="AC130" s="343">
        <f t="shared" si="44"/>
        <v>0</v>
      </c>
      <c r="AD130" s="343">
        <f t="shared" si="44"/>
        <v>0</v>
      </c>
      <c r="AE130" s="343">
        <f t="shared" si="44"/>
        <v>0</v>
      </c>
      <c r="AF130" s="343">
        <f t="shared" si="44"/>
        <v>0</v>
      </c>
      <c r="AG130" s="343">
        <f t="shared" si="44"/>
        <v>0</v>
      </c>
      <c r="AH130" s="343">
        <f t="shared" si="44"/>
        <v>0</v>
      </c>
      <c r="AI130" s="343">
        <f t="shared" si="44"/>
        <v>0</v>
      </c>
      <c r="AJ130" s="343">
        <f t="shared" si="44"/>
        <v>0</v>
      </c>
      <c r="AK130" s="343">
        <f t="shared" si="44"/>
        <v>0</v>
      </c>
      <c r="AL130" s="343">
        <f t="shared" si="44"/>
        <v>0</v>
      </c>
      <c r="AM130" s="343">
        <f t="shared" si="44"/>
        <v>0</v>
      </c>
      <c r="AN130" s="343">
        <f t="shared" si="44"/>
        <v>0</v>
      </c>
      <c r="AO130" s="343">
        <f t="shared" si="44"/>
        <v>0</v>
      </c>
      <c r="AP130" s="343">
        <f t="shared" si="44"/>
        <v>0</v>
      </c>
      <c r="AQ130" s="343">
        <f t="shared" si="44"/>
        <v>0</v>
      </c>
      <c r="AR130" s="343">
        <f t="shared" si="44"/>
        <v>0</v>
      </c>
      <c r="AS130" s="343">
        <f t="shared" si="44"/>
        <v>0</v>
      </c>
      <c r="AT130" s="343">
        <f t="shared" si="44"/>
        <v>0</v>
      </c>
      <c r="AU130" s="343">
        <f t="shared" si="44"/>
        <v>0</v>
      </c>
      <c r="AV130" s="343">
        <f t="shared" si="44"/>
        <v>0</v>
      </c>
      <c r="AW130" s="343">
        <f t="shared" si="44"/>
        <v>0</v>
      </c>
      <c r="AX130" s="343">
        <f t="shared" si="44"/>
        <v>0</v>
      </c>
      <c r="AY130" s="343">
        <f t="shared" si="44"/>
        <v>0</v>
      </c>
      <c r="AZ130" s="343">
        <f t="shared" si="44"/>
        <v>0</v>
      </c>
      <c r="BA130" s="343">
        <f t="shared" si="44"/>
        <v>0</v>
      </c>
      <c r="BB130" s="343">
        <f t="shared" si="44"/>
        <v>0</v>
      </c>
      <c r="BC130" s="343">
        <f t="shared" si="44"/>
        <v>0</v>
      </c>
      <c r="BD130" s="343">
        <f t="shared" si="44"/>
        <v>0</v>
      </c>
      <c r="BE130" s="343">
        <f t="shared" si="26"/>
        <v>7780000</v>
      </c>
      <c r="BF130" s="343">
        <f t="shared" si="27"/>
        <v>0</v>
      </c>
      <c r="BG130" s="343">
        <f t="shared" si="28"/>
        <v>7780000</v>
      </c>
      <c r="BI130" s="346" t="str">
        <f t="shared" si="29"/>
        <v>6.02 - TRANSFERENCIAS CORRIENTES A PERSONAS</v>
      </c>
      <c r="BJ130" s="346">
        <v>1</v>
      </c>
      <c r="BK130" s="1120">
        <f t="shared" si="30"/>
        <v>7780000</v>
      </c>
    </row>
    <row r="131" spans="1:63" ht="15" customHeight="1" x14ac:dyDescent="0.25">
      <c r="A131" s="340" t="s">
        <v>345</v>
      </c>
      <c r="B131" s="340" t="s">
        <v>36</v>
      </c>
      <c r="C131" s="342"/>
      <c r="D131" s="342"/>
      <c r="E131" s="342"/>
      <c r="F131" s="342"/>
      <c r="G131" s="342"/>
      <c r="H131" s="342"/>
      <c r="I131" s="342"/>
      <c r="J131" s="342"/>
      <c r="K131" s="342">
        <v>50000000</v>
      </c>
      <c r="L131" s="342"/>
      <c r="M131" s="342"/>
      <c r="N131" s="342"/>
      <c r="O131" s="342"/>
      <c r="P131" s="342"/>
      <c r="Q131" s="342"/>
      <c r="R131" s="342">
        <f t="shared" si="22"/>
        <v>50000000</v>
      </c>
      <c r="S131" s="342"/>
      <c r="T131" s="342">
        <f t="shared" si="23"/>
        <v>0</v>
      </c>
      <c r="U131" s="342"/>
      <c r="V131" s="342"/>
      <c r="W131" s="342"/>
      <c r="X131" s="342">
        <v>1000000</v>
      </c>
      <c r="Y131" s="342"/>
      <c r="Z131" s="342"/>
      <c r="AA131" s="342">
        <v>1000000</v>
      </c>
      <c r="AB131" s="342"/>
      <c r="AC131" s="342"/>
      <c r="AD131" s="342"/>
      <c r="AE131" s="342"/>
      <c r="AF131" s="342">
        <v>103000</v>
      </c>
      <c r="AG131" s="342"/>
      <c r="AH131" s="342"/>
      <c r="AI131" s="342"/>
      <c r="AJ131" s="342"/>
      <c r="AK131" s="342">
        <v>0</v>
      </c>
      <c r="AL131" s="342"/>
      <c r="AM131" s="342"/>
      <c r="AN131" s="342"/>
      <c r="AO131" s="342"/>
      <c r="AP131" s="342"/>
      <c r="AQ131" s="342"/>
      <c r="AR131" s="342"/>
      <c r="AS131" s="342">
        <v>0</v>
      </c>
      <c r="AT131" s="342"/>
      <c r="AU131" s="342"/>
      <c r="AV131" s="342">
        <f t="shared" si="24"/>
        <v>2103000</v>
      </c>
      <c r="AW131" s="342"/>
      <c r="AX131" s="342"/>
      <c r="AY131" s="342"/>
      <c r="AZ131" s="342"/>
      <c r="BA131" s="342"/>
      <c r="BB131" s="342"/>
      <c r="BC131" s="342"/>
      <c r="BD131" s="342">
        <f t="shared" si="25"/>
        <v>0</v>
      </c>
      <c r="BE131" s="342">
        <f t="shared" si="26"/>
        <v>52103000</v>
      </c>
      <c r="BF131" s="342">
        <f t="shared" si="27"/>
        <v>0</v>
      </c>
      <c r="BG131" s="342">
        <f t="shared" si="28"/>
        <v>52103000</v>
      </c>
      <c r="BH131" s="346" t="s">
        <v>345</v>
      </c>
      <c r="BI131" s="346" t="str">
        <f t="shared" si="29"/>
        <v>Prestaciones Legales</v>
      </c>
      <c r="BJ131" s="346">
        <v>1</v>
      </c>
      <c r="BK131" s="1120">
        <f t="shared" si="30"/>
        <v>50000000</v>
      </c>
    </row>
    <row r="132" spans="1:63" x14ac:dyDescent="0.25">
      <c r="A132" s="340"/>
      <c r="B132" s="341" t="s">
        <v>1233</v>
      </c>
      <c r="C132" s="343">
        <f>+C131</f>
        <v>0</v>
      </c>
      <c r="D132" s="343">
        <f t="shared" ref="D132:BE132" si="45">+D131</f>
        <v>0</v>
      </c>
      <c r="E132" s="343">
        <f t="shared" si="45"/>
        <v>0</v>
      </c>
      <c r="F132" s="343">
        <f t="shared" si="45"/>
        <v>0</v>
      </c>
      <c r="G132" s="343">
        <f t="shared" si="45"/>
        <v>0</v>
      </c>
      <c r="H132" s="343">
        <f t="shared" si="45"/>
        <v>0</v>
      </c>
      <c r="I132" s="343">
        <f t="shared" si="45"/>
        <v>0</v>
      </c>
      <c r="J132" s="343">
        <f t="shared" si="45"/>
        <v>0</v>
      </c>
      <c r="K132" s="343">
        <f t="shared" si="45"/>
        <v>50000000</v>
      </c>
      <c r="L132" s="343">
        <f t="shared" si="45"/>
        <v>0</v>
      </c>
      <c r="M132" s="343">
        <f t="shared" si="45"/>
        <v>0</v>
      </c>
      <c r="N132" s="343">
        <f t="shared" si="45"/>
        <v>0</v>
      </c>
      <c r="O132" s="343">
        <f t="shared" si="45"/>
        <v>0</v>
      </c>
      <c r="P132" s="343">
        <f t="shared" si="45"/>
        <v>0</v>
      </c>
      <c r="Q132" s="343">
        <f t="shared" si="45"/>
        <v>0</v>
      </c>
      <c r="R132" s="343">
        <f t="shared" si="45"/>
        <v>50000000</v>
      </c>
      <c r="S132" s="343">
        <f t="shared" si="45"/>
        <v>0</v>
      </c>
      <c r="T132" s="343">
        <f t="shared" si="45"/>
        <v>0</v>
      </c>
      <c r="U132" s="343">
        <f t="shared" si="45"/>
        <v>0</v>
      </c>
      <c r="V132" s="343">
        <f t="shared" si="45"/>
        <v>0</v>
      </c>
      <c r="W132" s="343">
        <f t="shared" si="45"/>
        <v>0</v>
      </c>
      <c r="X132" s="343">
        <f t="shared" si="45"/>
        <v>1000000</v>
      </c>
      <c r="Y132" s="343">
        <f t="shared" si="45"/>
        <v>0</v>
      </c>
      <c r="Z132" s="343">
        <f t="shared" si="45"/>
        <v>0</v>
      </c>
      <c r="AA132" s="343">
        <f t="shared" si="45"/>
        <v>1000000</v>
      </c>
      <c r="AB132" s="343">
        <f t="shared" si="45"/>
        <v>0</v>
      </c>
      <c r="AC132" s="343">
        <f t="shared" si="45"/>
        <v>0</v>
      </c>
      <c r="AD132" s="343">
        <f t="shared" si="45"/>
        <v>0</v>
      </c>
      <c r="AE132" s="343">
        <f t="shared" si="45"/>
        <v>0</v>
      </c>
      <c r="AF132" s="343">
        <f t="shared" si="45"/>
        <v>103000</v>
      </c>
      <c r="AG132" s="343">
        <f t="shared" si="45"/>
        <v>0</v>
      </c>
      <c r="AH132" s="343">
        <f t="shared" si="45"/>
        <v>0</v>
      </c>
      <c r="AI132" s="343">
        <f t="shared" si="45"/>
        <v>0</v>
      </c>
      <c r="AJ132" s="343">
        <f t="shared" si="45"/>
        <v>0</v>
      </c>
      <c r="AK132" s="343">
        <f t="shared" si="45"/>
        <v>0</v>
      </c>
      <c r="AL132" s="343">
        <f t="shared" si="45"/>
        <v>0</v>
      </c>
      <c r="AM132" s="343">
        <f t="shared" si="45"/>
        <v>0</v>
      </c>
      <c r="AN132" s="343">
        <f t="shared" si="45"/>
        <v>0</v>
      </c>
      <c r="AO132" s="343">
        <f t="shared" si="45"/>
        <v>0</v>
      </c>
      <c r="AP132" s="343">
        <f t="shared" si="45"/>
        <v>0</v>
      </c>
      <c r="AQ132" s="343">
        <f t="shared" si="45"/>
        <v>0</v>
      </c>
      <c r="AR132" s="343">
        <f t="shared" si="45"/>
        <v>0</v>
      </c>
      <c r="AS132" s="343">
        <f t="shared" si="45"/>
        <v>0</v>
      </c>
      <c r="AT132" s="343">
        <f t="shared" si="45"/>
        <v>0</v>
      </c>
      <c r="AU132" s="343">
        <f t="shared" si="45"/>
        <v>0</v>
      </c>
      <c r="AV132" s="343">
        <f t="shared" si="45"/>
        <v>2103000</v>
      </c>
      <c r="AW132" s="343">
        <f t="shared" si="45"/>
        <v>0</v>
      </c>
      <c r="AX132" s="343">
        <f t="shared" si="45"/>
        <v>0</v>
      </c>
      <c r="AY132" s="343">
        <f t="shared" si="45"/>
        <v>0</v>
      </c>
      <c r="AZ132" s="343">
        <f t="shared" si="45"/>
        <v>0</v>
      </c>
      <c r="BA132" s="343">
        <f t="shared" si="45"/>
        <v>0</v>
      </c>
      <c r="BB132" s="343">
        <f t="shared" si="45"/>
        <v>0</v>
      </c>
      <c r="BC132" s="343">
        <f t="shared" si="45"/>
        <v>0</v>
      </c>
      <c r="BD132" s="343">
        <f t="shared" si="45"/>
        <v>0</v>
      </c>
      <c r="BE132" s="343">
        <f t="shared" si="45"/>
        <v>52103000</v>
      </c>
      <c r="BF132" s="343">
        <f t="shared" si="27"/>
        <v>0</v>
      </c>
      <c r="BG132" s="343">
        <f t="shared" si="28"/>
        <v>52103000</v>
      </c>
      <c r="BI132" s="346" t="str">
        <f t="shared" si="29"/>
        <v>6.03 - PRESTACIONES</v>
      </c>
      <c r="BJ132" s="346">
        <v>1</v>
      </c>
      <c r="BK132" s="1120">
        <f t="shared" si="30"/>
        <v>50000000</v>
      </c>
    </row>
    <row r="133" spans="1:63" x14ac:dyDescent="0.25">
      <c r="A133" s="340" t="s">
        <v>359</v>
      </c>
      <c r="B133" s="340" t="s">
        <v>1234</v>
      </c>
      <c r="C133" s="342"/>
      <c r="D133" s="342"/>
      <c r="E133" s="342"/>
      <c r="F133" s="342"/>
      <c r="G133" s="342"/>
      <c r="H133" s="342"/>
      <c r="I133" s="342"/>
      <c r="J133" s="342"/>
      <c r="K133" s="342"/>
      <c r="L133" s="342"/>
      <c r="M133" s="342"/>
      <c r="N133" s="342"/>
      <c r="O133" s="342"/>
      <c r="P133" s="342"/>
      <c r="Q133" s="342"/>
      <c r="R133" s="342">
        <f t="shared" si="22"/>
        <v>0</v>
      </c>
      <c r="S133" s="342"/>
      <c r="T133" s="342">
        <f t="shared" si="23"/>
        <v>0</v>
      </c>
      <c r="U133" s="342"/>
      <c r="V133" s="342"/>
      <c r="W133" s="342"/>
      <c r="X133" s="342"/>
      <c r="Y133" s="342"/>
      <c r="Z133" s="342"/>
      <c r="AA133" s="342"/>
      <c r="AB133" s="342"/>
      <c r="AC133" s="342"/>
      <c r="AD133" s="342"/>
      <c r="AE133" s="342"/>
      <c r="AF133" s="342"/>
      <c r="AG133" s="342"/>
      <c r="AH133" s="342"/>
      <c r="AI133" s="342"/>
      <c r="AJ133" s="342"/>
      <c r="AK133" s="342">
        <v>0</v>
      </c>
      <c r="AL133" s="342"/>
      <c r="AM133" s="342"/>
      <c r="AN133" s="342"/>
      <c r="AO133" s="342"/>
      <c r="AP133" s="342"/>
      <c r="AQ133" s="342"/>
      <c r="AR133" s="342"/>
      <c r="AS133" s="342">
        <v>0</v>
      </c>
      <c r="AT133" s="342"/>
      <c r="AU133" s="342"/>
      <c r="AV133" s="342">
        <f t="shared" si="24"/>
        <v>0</v>
      </c>
      <c r="AW133" s="342"/>
      <c r="AX133" s="342"/>
      <c r="AY133" s="342"/>
      <c r="AZ133" s="342"/>
      <c r="BA133" s="342"/>
      <c r="BB133" s="342">
        <v>1200000</v>
      </c>
      <c r="BC133" s="342"/>
      <c r="BD133" s="342">
        <f t="shared" si="25"/>
        <v>1200000</v>
      </c>
      <c r="BE133" s="342">
        <f t="shared" si="26"/>
        <v>1200000</v>
      </c>
      <c r="BF133" s="342">
        <f t="shared" si="27"/>
        <v>0</v>
      </c>
      <c r="BG133" s="342">
        <f t="shared" si="28"/>
        <v>1200000</v>
      </c>
      <c r="BH133" s="346" t="s">
        <v>359</v>
      </c>
      <c r="BI133" s="346" t="str">
        <f t="shared" si="29"/>
        <v>Otras Transferencias corrientes al Sector Externo</v>
      </c>
      <c r="BJ133" s="346">
        <v>1</v>
      </c>
      <c r="BK133" s="1120">
        <f t="shared" si="30"/>
        <v>0</v>
      </c>
    </row>
    <row r="134" spans="1:63" x14ac:dyDescent="0.25">
      <c r="A134" s="340"/>
      <c r="B134" s="341" t="s">
        <v>1235</v>
      </c>
      <c r="C134" s="343">
        <f>+C133</f>
        <v>0</v>
      </c>
      <c r="D134" s="343">
        <f t="shared" ref="D134:BD134" si="46">+D133</f>
        <v>0</v>
      </c>
      <c r="E134" s="343">
        <f t="shared" si="46"/>
        <v>0</v>
      </c>
      <c r="F134" s="343">
        <f t="shared" si="46"/>
        <v>0</v>
      </c>
      <c r="G134" s="343">
        <f t="shared" si="46"/>
        <v>0</v>
      </c>
      <c r="H134" s="343">
        <f t="shared" si="46"/>
        <v>0</v>
      </c>
      <c r="I134" s="343">
        <f t="shared" si="46"/>
        <v>0</v>
      </c>
      <c r="J134" s="343">
        <f t="shared" si="46"/>
        <v>0</v>
      </c>
      <c r="K134" s="343">
        <f t="shared" si="46"/>
        <v>0</v>
      </c>
      <c r="L134" s="343">
        <f t="shared" si="46"/>
        <v>0</v>
      </c>
      <c r="M134" s="343">
        <f t="shared" si="46"/>
        <v>0</v>
      </c>
      <c r="N134" s="343">
        <f t="shared" si="46"/>
        <v>0</v>
      </c>
      <c r="O134" s="343">
        <f t="shared" si="46"/>
        <v>0</v>
      </c>
      <c r="P134" s="343">
        <f t="shared" si="46"/>
        <v>0</v>
      </c>
      <c r="Q134" s="343">
        <f t="shared" si="46"/>
        <v>0</v>
      </c>
      <c r="R134" s="343">
        <f t="shared" si="46"/>
        <v>0</v>
      </c>
      <c r="S134" s="343">
        <f t="shared" si="46"/>
        <v>0</v>
      </c>
      <c r="T134" s="343">
        <f t="shared" si="46"/>
        <v>0</v>
      </c>
      <c r="U134" s="343">
        <f t="shared" si="46"/>
        <v>0</v>
      </c>
      <c r="V134" s="343">
        <f t="shared" si="46"/>
        <v>0</v>
      </c>
      <c r="W134" s="343">
        <f t="shared" si="46"/>
        <v>0</v>
      </c>
      <c r="X134" s="343">
        <f t="shared" si="46"/>
        <v>0</v>
      </c>
      <c r="Y134" s="343">
        <f t="shared" si="46"/>
        <v>0</v>
      </c>
      <c r="Z134" s="343">
        <f t="shared" si="46"/>
        <v>0</v>
      </c>
      <c r="AA134" s="343">
        <f t="shared" si="46"/>
        <v>0</v>
      </c>
      <c r="AB134" s="343">
        <f t="shared" si="46"/>
        <v>0</v>
      </c>
      <c r="AC134" s="343">
        <f t="shared" si="46"/>
        <v>0</v>
      </c>
      <c r="AD134" s="343">
        <f t="shared" si="46"/>
        <v>0</v>
      </c>
      <c r="AE134" s="343">
        <f t="shared" si="46"/>
        <v>0</v>
      </c>
      <c r="AF134" s="343">
        <f t="shared" si="46"/>
        <v>0</v>
      </c>
      <c r="AG134" s="343">
        <f t="shared" si="46"/>
        <v>0</v>
      </c>
      <c r="AH134" s="343">
        <f t="shared" si="46"/>
        <v>0</v>
      </c>
      <c r="AI134" s="343">
        <f t="shared" si="46"/>
        <v>0</v>
      </c>
      <c r="AJ134" s="343">
        <f t="shared" si="46"/>
        <v>0</v>
      </c>
      <c r="AK134" s="343">
        <f t="shared" si="46"/>
        <v>0</v>
      </c>
      <c r="AL134" s="343">
        <f t="shared" si="46"/>
        <v>0</v>
      </c>
      <c r="AM134" s="343">
        <f t="shared" si="46"/>
        <v>0</v>
      </c>
      <c r="AN134" s="343">
        <f t="shared" si="46"/>
        <v>0</v>
      </c>
      <c r="AO134" s="343">
        <f t="shared" si="46"/>
        <v>0</v>
      </c>
      <c r="AP134" s="343">
        <f t="shared" si="46"/>
        <v>0</v>
      </c>
      <c r="AQ134" s="343">
        <f t="shared" si="46"/>
        <v>0</v>
      </c>
      <c r="AR134" s="343">
        <f t="shared" si="46"/>
        <v>0</v>
      </c>
      <c r="AS134" s="343">
        <f t="shared" si="46"/>
        <v>0</v>
      </c>
      <c r="AT134" s="343">
        <f t="shared" si="46"/>
        <v>0</v>
      </c>
      <c r="AU134" s="343">
        <f t="shared" si="46"/>
        <v>0</v>
      </c>
      <c r="AV134" s="343">
        <f t="shared" si="46"/>
        <v>0</v>
      </c>
      <c r="AW134" s="343">
        <f t="shared" si="46"/>
        <v>0</v>
      </c>
      <c r="AX134" s="343">
        <f t="shared" si="46"/>
        <v>0</v>
      </c>
      <c r="AY134" s="343">
        <f t="shared" si="46"/>
        <v>0</v>
      </c>
      <c r="AZ134" s="343">
        <f t="shared" si="46"/>
        <v>0</v>
      </c>
      <c r="BA134" s="343">
        <f t="shared" si="46"/>
        <v>0</v>
      </c>
      <c r="BB134" s="343">
        <f t="shared" si="46"/>
        <v>1200000</v>
      </c>
      <c r="BC134" s="343">
        <f t="shared" si="46"/>
        <v>0</v>
      </c>
      <c r="BD134" s="343">
        <f t="shared" si="46"/>
        <v>1200000</v>
      </c>
      <c r="BE134" s="343">
        <f t="shared" si="26"/>
        <v>1200000</v>
      </c>
      <c r="BF134" s="343">
        <f t="shared" si="27"/>
        <v>0</v>
      </c>
      <c r="BG134" s="343">
        <f t="shared" si="28"/>
        <v>1200000</v>
      </c>
      <c r="BI134" s="346" t="str">
        <f t="shared" si="29"/>
        <v>6.07 - TRANSFERENCIAS CORRIENTES AL SECTOR EXTERNO</v>
      </c>
      <c r="BJ134" s="346">
        <v>1</v>
      </c>
      <c r="BK134" s="1120">
        <f t="shared" si="30"/>
        <v>0</v>
      </c>
    </row>
    <row r="135" spans="1:63" s="346" customFormat="1" outlineLevel="1" x14ac:dyDescent="0.25">
      <c r="A135" s="352"/>
      <c r="B135" s="352" t="s">
        <v>1236</v>
      </c>
      <c r="C135" s="353">
        <f>+C128+C130+C132+C134</f>
        <v>0</v>
      </c>
      <c r="D135" s="353">
        <f t="shared" ref="D135:BD135" si="47">+D128+D130+D132+D134</f>
        <v>0</v>
      </c>
      <c r="E135" s="353">
        <f t="shared" si="47"/>
        <v>0</v>
      </c>
      <c r="F135" s="353">
        <f t="shared" si="47"/>
        <v>0</v>
      </c>
      <c r="G135" s="353">
        <f t="shared" si="47"/>
        <v>0</v>
      </c>
      <c r="H135" s="353">
        <f t="shared" si="47"/>
        <v>0</v>
      </c>
      <c r="I135" s="353">
        <f t="shared" si="47"/>
        <v>0</v>
      </c>
      <c r="J135" s="353">
        <f t="shared" si="47"/>
        <v>0</v>
      </c>
      <c r="K135" s="353">
        <f t="shared" si="47"/>
        <v>57780000</v>
      </c>
      <c r="L135" s="353">
        <f t="shared" si="47"/>
        <v>0</v>
      </c>
      <c r="M135" s="353">
        <f t="shared" si="47"/>
        <v>0</v>
      </c>
      <c r="N135" s="353">
        <f t="shared" si="47"/>
        <v>0</v>
      </c>
      <c r="O135" s="353">
        <f t="shared" si="47"/>
        <v>0</v>
      </c>
      <c r="P135" s="353">
        <f t="shared" si="47"/>
        <v>0</v>
      </c>
      <c r="Q135" s="353">
        <f t="shared" si="47"/>
        <v>30000000</v>
      </c>
      <c r="R135" s="353">
        <f t="shared" si="47"/>
        <v>87780000</v>
      </c>
      <c r="S135" s="353">
        <f t="shared" si="47"/>
        <v>0</v>
      </c>
      <c r="T135" s="353">
        <f t="shared" si="47"/>
        <v>0</v>
      </c>
      <c r="U135" s="353">
        <f t="shared" si="47"/>
        <v>0</v>
      </c>
      <c r="V135" s="353">
        <f t="shared" si="47"/>
        <v>0</v>
      </c>
      <c r="W135" s="353">
        <f t="shared" si="47"/>
        <v>0</v>
      </c>
      <c r="X135" s="353">
        <f t="shared" si="47"/>
        <v>1000000</v>
      </c>
      <c r="Y135" s="353">
        <f t="shared" si="47"/>
        <v>0</v>
      </c>
      <c r="Z135" s="353">
        <f t="shared" si="47"/>
        <v>0</v>
      </c>
      <c r="AA135" s="353">
        <f t="shared" si="47"/>
        <v>1000000</v>
      </c>
      <c r="AB135" s="353">
        <f t="shared" si="47"/>
        <v>0</v>
      </c>
      <c r="AC135" s="353">
        <f t="shared" si="47"/>
        <v>0</v>
      </c>
      <c r="AD135" s="353">
        <f t="shared" si="47"/>
        <v>0</v>
      </c>
      <c r="AE135" s="353">
        <f t="shared" si="47"/>
        <v>0</v>
      </c>
      <c r="AF135" s="353">
        <f t="shared" si="47"/>
        <v>103000</v>
      </c>
      <c r="AG135" s="353">
        <f t="shared" si="47"/>
        <v>0</v>
      </c>
      <c r="AH135" s="353">
        <f t="shared" si="47"/>
        <v>0</v>
      </c>
      <c r="AI135" s="353">
        <f t="shared" si="47"/>
        <v>0</v>
      </c>
      <c r="AJ135" s="353">
        <f t="shared" si="47"/>
        <v>411894272</v>
      </c>
      <c r="AK135" s="353">
        <f t="shared" si="47"/>
        <v>0</v>
      </c>
      <c r="AL135" s="353">
        <f t="shared" si="47"/>
        <v>0</v>
      </c>
      <c r="AM135" s="353">
        <f t="shared" si="47"/>
        <v>0</v>
      </c>
      <c r="AN135" s="353">
        <f t="shared" si="47"/>
        <v>0</v>
      </c>
      <c r="AO135" s="353">
        <f t="shared" si="47"/>
        <v>0</v>
      </c>
      <c r="AP135" s="353">
        <f t="shared" si="47"/>
        <v>0</v>
      </c>
      <c r="AQ135" s="353">
        <f t="shared" si="47"/>
        <v>0</v>
      </c>
      <c r="AR135" s="353">
        <f t="shared" si="47"/>
        <v>0</v>
      </c>
      <c r="AS135" s="353">
        <f t="shared" si="47"/>
        <v>0</v>
      </c>
      <c r="AT135" s="353">
        <f t="shared" si="47"/>
        <v>0</v>
      </c>
      <c r="AU135" s="353">
        <f t="shared" si="47"/>
        <v>0</v>
      </c>
      <c r="AV135" s="353">
        <f t="shared" si="47"/>
        <v>413997272</v>
      </c>
      <c r="AW135" s="353">
        <f t="shared" si="47"/>
        <v>0</v>
      </c>
      <c r="AX135" s="353">
        <f t="shared" si="47"/>
        <v>0</v>
      </c>
      <c r="AY135" s="353">
        <f t="shared" si="47"/>
        <v>0</v>
      </c>
      <c r="AZ135" s="353">
        <f t="shared" si="47"/>
        <v>0</v>
      </c>
      <c r="BA135" s="353">
        <f t="shared" si="47"/>
        <v>0</v>
      </c>
      <c r="BB135" s="353">
        <f t="shared" si="47"/>
        <v>1200000</v>
      </c>
      <c r="BC135" s="353">
        <f t="shared" si="47"/>
        <v>0</v>
      </c>
      <c r="BD135" s="353">
        <f t="shared" si="47"/>
        <v>1200000</v>
      </c>
      <c r="BE135" s="353">
        <f t="shared" si="26"/>
        <v>502977272</v>
      </c>
      <c r="BF135" s="353">
        <f t="shared" si="27"/>
        <v>0</v>
      </c>
      <c r="BG135" s="353">
        <f t="shared" si="28"/>
        <v>502977272</v>
      </c>
      <c r="BI135" s="346" t="str">
        <f t="shared" si="29"/>
        <v>6 - TRANSFERENCIAS CORRIENTES</v>
      </c>
      <c r="BJ135" s="346">
        <v>1</v>
      </c>
      <c r="BK135" s="1120">
        <f t="shared" si="30"/>
        <v>87780000</v>
      </c>
    </row>
    <row r="136" spans="1:63" s="83" customFormat="1" x14ac:dyDescent="0.25">
      <c r="A136" s="354"/>
      <c r="B136" s="354" t="s">
        <v>21</v>
      </c>
      <c r="C136" s="355">
        <f>+C135+C125+C113+C88+C34</f>
        <v>217064800</v>
      </c>
      <c r="D136" s="355">
        <f t="shared" ref="D136:BD136" si="48">+D135+D125+D113+D88+D34</f>
        <v>26665880</v>
      </c>
      <c r="E136" s="355">
        <f t="shared" si="48"/>
        <v>195965900</v>
      </c>
      <c r="F136" s="355">
        <f t="shared" si="48"/>
        <v>242946100</v>
      </c>
      <c r="G136" s="355">
        <f t="shared" si="48"/>
        <v>84528000</v>
      </c>
      <c r="H136" s="355">
        <f t="shared" si="48"/>
        <v>110577800</v>
      </c>
      <c r="I136" s="355">
        <f t="shared" si="48"/>
        <v>250703900</v>
      </c>
      <c r="J136" s="355">
        <f t="shared" si="48"/>
        <v>169972700</v>
      </c>
      <c r="K136" s="355">
        <f t="shared" si="48"/>
        <v>519091500</v>
      </c>
      <c r="L136" s="355">
        <f t="shared" si="48"/>
        <v>237838236</v>
      </c>
      <c r="M136" s="355">
        <f t="shared" si="48"/>
        <v>72192382</v>
      </c>
      <c r="N136" s="355">
        <f t="shared" si="48"/>
        <v>60361200</v>
      </c>
      <c r="O136" s="355">
        <f t="shared" si="48"/>
        <v>82494330</v>
      </c>
      <c r="P136" s="355">
        <f t="shared" si="48"/>
        <v>1513333862</v>
      </c>
      <c r="Q136" s="355">
        <f t="shared" si="48"/>
        <v>78080583</v>
      </c>
      <c r="R136" s="355">
        <f t="shared" si="48"/>
        <v>3861817173</v>
      </c>
      <c r="S136" s="355">
        <f t="shared" si="48"/>
        <v>552019300</v>
      </c>
      <c r="T136" s="355">
        <f t="shared" si="48"/>
        <v>552019300</v>
      </c>
      <c r="U136" s="355">
        <f t="shared" si="48"/>
        <v>693415656.96000004</v>
      </c>
      <c r="V136" s="355">
        <f t="shared" si="48"/>
        <v>542743300</v>
      </c>
      <c r="W136" s="355">
        <f t="shared" si="48"/>
        <v>175181700</v>
      </c>
      <c r="X136" s="355">
        <f t="shared" si="48"/>
        <v>703881400</v>
      </c>
      <c r="Y136" s="355">
        <f t="shared" si="48"/>
        <v>188928100</v>
      </c>
      <c r="Z136" s="355">
        <f t="shared" si="48"/>
        <v>262661300</v>
      </c>
      <c r="AA136" s="355">
        <f t="shared" si="48"/>
        <v>572556330</v>
      </c>
      <c r="AB136" s="355">
        <f t="shared" si="48"/>
        <v>123476700</v>
      </c>
      <c r="AC136" s="355">
        <f t="shared" si="48"/>
        <v>5831700</v>
      </c>
      <c r="AD136" s="355">
        <f t="shared" si="48"/>
        <v>174550186.88</v>
      </c>
      <c r="AE136" s="355">
        <f t="shared" si="48"/>
        <v>532789800</v>
      </c>
      <c r="AF136" s="355">
        <f t="shared" si="48"/>
        <v>500121900</v>
      </c>
      <c r="AG136" s="355">
        <f t="shared" si="48"/>
        <v>148932600</v>
      </c>
      <c r="AH136" s="355">
        <f t="shared" si="48"/>
        <v>134599600</v>
      </c>
      <c r="AI136" s="355">
        <f t="shared" si="48"/>
        <v>78805500</v>
      </c>
      <c r="AJ136" s="355">
        <f t="shared" si="48"/>
        <v>411894272</v>
      </c>
      <c r="AK136" s="355">
        <f t="shared" si="48"/>
        <v>139795300</v>
      </c>
      <c r="AL136" s="355">
        <f t="shared" si="48"/>
        <v>87322200</v>
      </c>
      <c r="AM136" s="355">
        <f t="shared" si="48"/>
        <v>0</v>
      </c>
      <c r="AN136" s="355">
        <f t="shared" si="48"/>
        <v>252000</v>
      </c>
      <c r="AO136" s="355">
        <f t="shared" si="48"/>
        <v>172540400</v>
      </c>
      <c r="AP136" s="355">
        <f t="shared" si="48"/>
        <v>87560900</v>
      </c>
      <c r="AQ136" s="355">
        <f t="shared" si="48"/>
        <v>18464996.100000001</v>
      </c>
      <c r="AR136" s="355">
        <f t="shared" si="48"/>
        <v>0</v>
      </c>
      <c r="AS136" s="355">
        <f t="shared" si="48"/>
        <v>1492694573.26</v>
      </c>
      <c r="AT136" s="355">
        <f t="shared" si="48"/>
        <v>98253751.599999994</v>
      </c>
      <c r="AU136" s="355">
        <f t="shared" si="48"/>
        <v>133244200</v>
      </c>
      <c r="AV136" s="355">
        <f t="shared" si="48"/>
        <v>7480498366.8000002</v>
      </c>
      <c r="AW136" s="355">
        <f t="shared" si="48"/>
        <v>77441800</v>
      </c>
      <c r="AX136" s="355">
        <f t="shared" si="48"/>
        <v>137884900</v>
      </c>
      <c r="AY136" s="355">
        <f t="shared" si="48"/>
        <v>57989000</v>
      </c>
      <c r="AZ136" s="355">
        <f t="shared" si="48"/>
        <v>50375000</v>
      </c>
      <c r="BA136" s="355">
        <f t="shared" si="48"/>
        <v>76333300</v>
      </c>
      <c r="BB136" s="355">
        <f t="shared" si="48"/>
        <v>141327200</v>
      </c>
      <c r="BC136" s="355">
        <f t="shared" si="48"/>
        <v>20158400</v>
      </c>
      <c r="BD136" s="355">
        <f t="shared" si="48"/>
        <v>561509600</v>
      </c>
      <c r="BE136" s="355">
        <f t="shared" si="26"/>
        <v>12455844439.799999</v>
      </c>
      <c r="BF136" s="355">
        <f t="shared" si="27"/>
        <v>1615245020.9599998</v>
      </c>
      <c r="BG136" s="355">
        <f t="shared" si="28"/>
        <v>10840599418.84</v>
      </c>
      <c r="BI136" s="346" t="str">
        <f t="shared" si="29"/>
        <v>TOTAL GENERAL</v>
      </c>
      <c r="BJ136" s="346">
        <v>1</v>
      </c>
      <c r="BK136" s="1120">
        <f t="shared" si="30"/>
        <v>3861817173</v>
      </c>
    </row>
    <row r="138" spans="1:63" x14ac:dyDescent="0.25">
      <c r="A138" s="85" t="s">
        <v>1741</v>
      </c>
      <c r="R138" s="1430" t="s">
        <v>382</v>
      </c>
      <c r="S138" s="84" t="e">
        <f>+S136-[6]SALARIOS!#REF!</f>
        <v>#REF!</v>
      </c>
      <c r="AA138" s="84"/>
      <c r="AV138" s="84" t="e">
        <f>+AV136-[6]SALARIOS!#REF!</f>
        <v>#REF!</v>
      </c>
      <c r="BE138" s="342">
        <f>+R139</f>
        <v>2546194511.6500001</v>
      </c>
      <c r="BG138" s="85">
        <v>2977155811.6500001</v>
      </c>
    </row>
    <row r="139" spans="1:63" x14ac:dyDescent="0.25">
      <c r="C139" s="84"/>
      <c r="D139" s="84"/>
      <c r="E139" s="84"/>
      <c r="F139" s="84"/>
      <c r="G139" s="84"/>
      <c r="H139" s="84"/>
      <c r="I139" s="84"/>
      <c r="J139" s="84"/>
      <c r="K139" s="84"/>
      <c r="L139" s="84"/>
      <c r="M139" s="84"/>
      <c r="N139" s="84"/>
      <c r="O139" s="84"/>
      <c r="P139" s="84"/>
      <c r="Q139" s="84"/>
      <c r="R139" s="84">
        <f>+'Distribución OyA Detalle'!G1385</f>
        <v>2546194511.6500001</v>
      </c>
      <c r="S139" s="84"/>
      <c r="T139" s="84"/>
      <c r="U139" s="84"/>
      <c r="V139" s="84"/>
      <c r="W139" s="84"/>
      <c r="X139" s="84"/>
      <c r="Y139" s="84"/>
      <c r="Z139" s="84"/>
      <c r="AA139" s="84"/>
      <c r="AB139" s="84"/>
      <c r="AC139" s="84"/>
      <c r="AD139" s="84"/>
      <c r="AE139" s="84"/>
      <c r="AF139" s="84"/>
      <c r="AG139" s="84"/>
      <c r="AH139" s="84"/>
      <c r="AI139" s="84"/>
      <c r="AJ139" s="84"/>
      <c r="AK139" s="84"/>
      <c r="AL139" s="84"/>
      <c r="AM139" s="84"/>
      <c r="AN139" s="84"/>
      <c r="AO139" s="84"/>
      <c r="AP139" s="84"/>
      <c r="AQ139" s="84"/>
      <c r="AR139" s="84"/>
      <c r="AS139" s="84"/>
      <c r="AT139" s="84"/>
      <c r="AU139" s="84"/>
      <c r="AV139" s="84"/>
      <c r="AW139" s="84"/>
      <c r="AX139" s="84"/>
      <c r="AY139" s="84"/>
      <c r="AZ139" s="84"/>
      <c r="BA139" s="84"/>
      <c r="BB139" s="84"/>
      <c r="BC139" s="84"/>
      <c r="BD139" s="84" t="e">
        <f>+BD136-[6]SALARIOS!#REF!</f>
        <v>#REF!</v>
      </c>
      <c r="BE139" s="84"/>
      <c r="BF139" s="84"/>
      <c r="BG139" s="84"/>
    </row>
    <row r="140" spans="1:63" x14ac:dyDescent="0.25">
      <c r="A140" s="85" t="s">
        <v>1742</v>
      </c>
      <c r="R140" s="84">
        <f>+R139+R136</f>
        <v>6408011684.6499996</v>
      </c>
      <c r="BE140" s="1431">
        <f>+BE136+BE138</f>
        <v>15002038951.449999</v>
      </c>
      <c r="BG140" s="84">
        <f>+BG136+BG138</f>
        <v>13817755230.49</v>
      </c>
    </row>
    <row r="141" spans="1:63" x14ac:dyDescent="0.25">
      <c r="C141" s="84"/>
      <c r="R141" s="84" t="e">
        <f>+R140-[6]SALARIOS!#REF!</f>
        <v>#REF!</v>
      </c>
    </row>
    <row r="142" spans="1:63" x14ac:dyDescent="0.25">
      <c r="C142" s="84"/>
      <c r="R142" s="84"/>
      <c r="AA142" s="84"/>
    </row>
    <row r="143" spans="1:63" x14ac:dyDescent="0.25">
      <c r="R143" s="84"/>
      <c r="BE143" s="84">
        <f>+BE140-'EST.ORIGEN Y APLICACION'!G38</f>
        <v>0</v>
      </c>
    </row>
    <row r="144" spans="1:63" x14ac:dyDescent="0.25">
      <c r="C144" s="84"/>
      <c r="D144" s="84"/>
      <c r="E144" s="84"/>
      <c r="F144" s="84"/>
      <c r="G144" s="84"/>
      <c r="H144" s="84"/>
      <c r="I144" s="84"/>
      <c r="J144" s="84"/>
      <c r="K144" s="84"/>
      <c r="L144" s="84"/>
      <c r="M144" s="84"/>
      <c r="N144" s="84"/>
      <c r="O144" s="84"/>
      <c r="P144" s="84"/>
      <c r="Q144" s="84"/>
      <c r="R144" s="84"/>
      <c r="S144" s="84"/>
      <c r="T144" s="84"/>
      <c r="U144" s="84"/>
      <c r="V144" s="84"/>
      <c r="W144" s="84"/>
      <c r="X144" s="84"/>
      <c r="Y144" s="84"/>
      <c r="Z144" s="84"/>
      <c r="AA144" s="84"/>
      <c r="AB144" s="84"/>
      <c r="AC144" s="84"/>
      <c r="AD144" s="84"/>
      <c r="AE144" s="84"/>
      <c r="AF144" s="84"/>
      <c r="AG144" s="84"/>
      <c r="AH144" s="84"/>
      <c r="AI144" s="84"/>
      <c r="AJ144" s="84"/>
      <c r="AK144" s="84"/>
      <c r="AL144" s="84"/>
      <c r="AM144" s="84"/>
      <c r="AN144" s="84"/>
      <c r="AO144" s="84"/>
      <c r="AP144" s="84"/>
      <c r="AQ144" s="84"/>
      <c r="AR144" s="84"/>
      <c r="AS144" s="84"/>
      <c r="AT144" s="84"/>
      <c r="AU144" s="84"/>
      <c r="AV144" s="84"/>
      <c r="AW144" s="84"/>
      <c r="AX144" s="84"/>
      <c r="AY144" s="84"/>
      <c r="AZ144" s="84"/>
      <c r="BA144" s="84"/>
      <c r="BB144" s="84"/>
      <c r="BC144" s="84"/>
      <c r="BD144" s="84"/>
      <c r="BE144" s="84"/>
      <c r="BF144" s="84"/>
      <c r="BG144" s="84"/>
    </row>
    <row r="146" spans="18:59" x14ac:dyDescent="0.25">
      <c r="R146" s="84"/>
    </row>
    <row r="147" spans="18:59" x14ac:dyDescent="0.25">
      <c r="BF147" s="84"/>
    </row>
    <row r="148" spans="18:59" x14ac:dyDescent="0.25">
      <c r="R148" s="84"/>
      <c r="T148" s="84"/>
    </row>
    <row r="149" spans="18:59" x14ac:dyDescent="0.25">
      <c r="R149" s="84"/>
    </row>
    <row r="150" spans="18:59" x14ac:dyDescent="0.25">
      <c r="BE150" s="342"/>
    </row>
    <row r="152" spans="18:59" x14ac:dyDescent="0.25">
      <c r="BG152" s="84"/>
    </row>
    <row r="155" spans="18:59" x14ac:dyDescent="0.25">
      <c r="BE155" s="1430"/>
    </row>
  </sheetData>
  <phoneticPr fontId="0" type="noConversion"/>
  <printOptions horizontalCentered="1"/>
  <pageMargins left="0.19685039370078741" right="0.19685039370078741" top="0.9055118110236221" bottom="0.39370078740157483" header="0.59055118110236227" footer="0.59055118110236227"/>
  <pageSetup paperSize="9" scale="67" firstPageNumber="8" orientation="portrait" useFirstPageNumber="1" horizontalDpi="4294967294" verticalDpi="4294967294" r:id="rId1"/>
  <headerFooter alignWithMargins="0">
    <oddFooter>&amp;C&amp;"Tahoma,Normal"&amp;8&amp;P</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8"/>
  <dimension ref="A2:H37"/>
  <sheetViews>
    <sheetView showGridLines="0" workbookViewId="0">
      <selection activeCell="E62" sqref="E62"/>
    </sheetView>
  </sheetViews>
  <sheetFormatPr baseColWidth="10" defaultColWidth="11.44140625" defaultRowHeight="16.2" x14ac:dyDescent="0.4"/>
  <cols>
    <col min="1" max="1" width="10.109375" style="362" customWidth="1"/>
    <col min="2" max="2" width="2.109375" style="362" customWidth="1"/>
    <col min="3" max="3" width="37.88671875" style="362" customWidth="1"/>
    <col min="4" max="4" width="3.109375" style="362" customWidth="1"/>
    <col min="5" max="5" width="17" style="362" customWidth="1"/>
    <col min="6" max="6" width="2" style="362" customWidth="1"/>
    <col min="7" max="7" width="12.33203125" style="362" bestFit="1" customWidth="1"/>
    <col min="8" max="8" width="11.88671875" style="362" bestFit="1" customWidth="1"/>
    <col min="9" max="16384" width="11.44140625" style="362"/>
  </cols>
  <sheetData>
    <row r="2" spans="1:8" ht="16.8" thickBot="1" x14ac:dyDescent="0.45">
      <c r="C2" s="740"/>
      <c r="D2" s="740"/>
      <c r="E2" s="740"/>
      <c r="F2" s="740"/>
      <c r="G2" s="372"/>
    </row>
    <row r="5" spans="1:8" x14ac:dyDescent="0.4">
      <c r="A5" s="1563" t="s">
        <v>0</v>
      </c>
      <c r="B5" s="1563"/>
      <c r="C5" s="1563"/>
      <c r="D5" s="1563"/>
      <c r="E5" s="1563"/>
      <c r="F5" s="1563"/>
      <c r="G5" s="1563"/>
    </row>
    <row r="6" spans="1:8" hidden="1" x14ac:dyDescent="0.4">
      <c r="A6" s="1073"/>
      <c r="B6" s="1073"/>
      <c r="C6" s="1073"/>
      <c r="D6" s="1073"/>
      <c r="E6" s="1073"/>
      <c r="F6" s="1073"/>
      <c r="G6" s="1073"/>
    </row>
    <row r="7" spans="1:8" hidden="1" x14ac:dyDescent="0.4">
      <c r="A7" s="1073"/>
      <c r="B7" s="1073"/>
      <c r="C7" s="1073"/>
      <c r="D7" s="1073"/>
      <c r="E7" s="1073"/>
      <c r="F7" s="1073"/>
    </row>
    <row r="8" spans="1:8" hidden="1" x14ac:dyDescent="0.4">
      <c r="A8" s="1073"/>
      <c r="B8" s="1073"/>
      <c r="C8" s="1073"/>
      <c r="D8" s="1073"/>
    </row>
    <row r="9" spans="1:8" ht="18.600000000000001" x14ac:dyDescent="0.45">
      <c r="A9" s="1564" t="s">
        <v>42</v>
      </c>
      <c r="B9" s="1564"/>
      <c r="C9" s="1564"/>
      <c r="D9" s="1564"/>
      <c r="E9" s="1564"/>
      <c r="F9" s="1564"/>
      <c r="G9" s="1564"/>
    </row>
    <row r="10" spans="1:8" x14ac:dyDescent="0.4">
      <c r="A10" s="1562" t="s">
        <v>45</v>
      </c>
      <c r="B10" s="1562"/>
      <c r="C10" s="1562"/>
      <c r="D10" s="1562"/>
      <c r="E10" s="1562"/>
      <c r="F10" s="1562"/>
      <c r="G10" s="1562"/>
    </row>
    <row r="11" spans="1:8" x14ac:dyDescent="0.4">
      <c r="A11" s="1562" t="s">
        <v>46</v>
      </c>
      <c r="B11" s="1562"/>
      <c r="C11" s="1562"/>
      <c r="D11" s="1562"/>
      <c r="E11" s="1562"/>
      <c r="F11" s="1562"/>
      <c r="G11" s="1562"/>
    </row>
    <row r="12" spans="1:8" x14ac:dyDescent="0.4">
      <c r="A12" s="1562" t="s">
        <v>40</v>
      </c>
      <c r="B12" s="1562"/>
      <c r="C12" s="1562"/>
      <c r="D12" s="1562"/>
      <c r="E12" s="1562"/>
      <c r="F12" s="1562"/>
      <c r="G12" s="1562"/>
    </row>
    <row r="13" spans="1:8" ht="16.8" thickBot="1" x14ac:dyDescent="0.45">
      <c r="A13" s="1074"/>
      <c r="B13" s="1074"/>
      <c r="C13" s="1074"/>
      <c r="D13" s="1074"/>
      <c r="E13" s="1074"/>
    </row>
    <row r="14" spans="1:8" ht="25.5" customHeight="1" thickBot="1" x14ac:dyDescent="0.45">
      <c r="A14" s="749"/>
      <c r="B14" s="1075"/>
      <c r="C14" s="1076" t="s">
        <v>43</v>
      </c>
      <c r="D14" s="1076"/>
      <c r="E14" s="1076" t="s">
        <v>44</v>
      </c>
      <c r="F14" s="1077"/>
    </row>
    <row r="15" spans="1:8" ht="12.75" customHeight="1" thickTop="1" x14ac:dyDescent="0.4">
      <c r="A15" s="749"/>
      <c r="B15" s="1078"/>
      <c r="C15" s="1079"/>
      <c r="D15" s="1079"/>
      <c r="E15" s="1079"/>
      <c r="F15" s="1080"/>
    </row>
    <row r="16" spans="1:8" ht="9.9" customHeight="1" x14ac:dyDescent="0.4">
      <c r="B16" s="546"/>
      <c r="C16" s="1081"/>
      <c r="D16" s="1082"/>
      <c r="E16" s="1083"/>
      <c r="F16" s="1084"/>
      <c r="H16" s="383"/>
    </row>
    <row r="17" spans="2:8" ht="15.9" customHeight="1" x14ac:dyDescent="0.4">
      <c r="B17" s="546"/>
      <c r="C17" s="1085" t="s">
        <v>61</v>
      </c>
      <c r="D17" s="1086"/>
      <c r="E17" s="1087">
        <f>+'RESUMEN 01'!E17+'RESUMEN 02'!E17+'RESUMEN 03'!E17+'RESUMEN 04'!E17</f>
        <v>2754673408</v>
      </c>
      <c r="F17" s="1084"/>
      <c r="G17" s="383"/>
      <c r="H17" s="383"/>
    </row>
    <row r="18" spans="2:8" ht="9.9" customHeight="1" x14ac:dyDescent="0.4">
      <c r="B18" s="546"/>
      <c r="C18" s="1085"/>
      <c r="D18" s="1086"/>
      <c r="E18" s="1087"/>
      <c r="F18" s="1084"/>
    </row>
    <row r="19" spans="2:8" ht="15.9" customHeight="1" x14ac:dyDescent="0.4">
      <c r="B19" s="546"/>
      <c r="C19" s="1085" t="s">
        <v>22</v>
      </c>
      <c r="D19" s="1086"/>
      <c r="E19" s="1087">
        <f>+'RESUMEN 01'!E19+'RESUMEN 03'!E19+'RESUMEN 04'!E19</f>
        <v>190587961.80000001</v>
      </c>
      <c r="F19" s="1084"/>
      <c r="G19" s="383"/>
      <c r="H19" s="383"/>
    </row>
    <row r="20" spans="2:8" ht="9.9" customHeight="1" x14ac:dyDescent="0.4">
      <c r="B20" s="546"/>
      <c r="C20" s="1085"/>
      <c r="D20" s="1086"/>
      <c r="E20" s="1087"/>
      <c r="F20" s="1084"/>
    </row>
    <row r="21" spans="2:8" ht="15.9" customHeight="1" x14ac:dyDescent="0.4">
      <c r="B21" s="546"/>
      <c r="C21" s="1085" t="s">
        <v>57</v>
      </c>
      <c r="D21" s="1086"/>
      <c r="E21" s="1087">
        <f>+'RESUMEN 01'!E21+'RESUMEN 03'!E21</f>
        <v>679593018</v>
      </c>
      <c r="F21" s="1084"/>
      <c r="G21" s="383"/>
      <c r="H21" s="383"/>
    </row>
    <row r="22" spans="2:8" ht="9.9" customHeight="1" x14ac:dyDescent="0.4">
      <c r="B22" s="546"/>
      <c r="C22" s="1085"/>
      <c r="D22" s="1086"/>
      <c r="E22" s="1087"/>
      <c r="F22" s="1084"/>
    </row>
    <row r="23" spans="2:8" ht="15.9" customHeight="1" x14ac:dyDescent="0.4">
      <c r="B23" s="546"/>
      <c r="C23" s="1085" t="s">
        <v>20</v>
      </c>
      <c r="D23" s="1086"/>
      <c r="E23" s="1087">
        <f>+'RESUMEN 01'!E23+'RESUMEN 03'!E23</f>
        <v>501777272</v>
      </c>
      <c r="F23" s="1084"/>
      <c r="G23" s="383"/>
      <c r="H23" s="383"/>
    </row>
    <row r="24" spans="2:8" hidden="1" x14ac:dyDescent="0.4">
      <c r="B24" s="546"/>
      <c r="C24" s="1085"/>
      <c r="D24" s="1086"/>
      <c r="E24" s="1087"/>
      <c r="F24" s="1084"/>
    </row>
    <row r="25" spans="2:8" hidden="1" x14ac:dyDescent="0.4">
      <c r="B25" s="546"/>
      <c r="C25" s="1085" t="s">
        <v>58</v>
      </c>
      <c r="D25" s="1086"/>
      <c r="E25" s="1087">
        <v>0</v>
      </c>
      <c r="F25" s="1084"/>
    </row>
    <row r="26" spans="2:8" hidden="1" x14ac:dyDescent="0.4">
      <c r="B26" s="546"/>
      <c r="C26" s="1085"/>
      <c r="D26" s="1086"/>
      <c r="E26" s="1087"/>
      <c r="F26" s="1084"/>
    </row>
    <row r="27" spans="2:8" ht="9.9" customHeight="1" x14ac:dyDescent="0.4">
      <c r="B27" s="1088"/>
      <c r="C27" s="1085"/>
      <c r="D27" s="1086"/>
      <c r="E27" s="1087"/>
      <c r="F27" s="1084"/>
    </row>
    <row r="28" spans="2:8" ht="20.25" customHeight="1" thickBot="1" x14ac:dyDescent="0.45">
      <c r="B28" s="1089"/>
      <c r="C28" s="1090" t="s">
        <v>21</v>
      </c>
      <c r="D28" s="1090"/>
      <c r="E28" s="1091">
        <f>SUM(E17:E27)</f>
        <v>4126631659.8000002</v>
      </c>
      <c r="F28" s="1092"/>
      <c r="G28" s="383"/>
    </row>
    <row r="29" spans="2:8" ht="16.8" thickBot="1" x14ac:dyDescent="0.45">
      <c r="B29" s="1093"/>
      <c r="C29" s="1094"/>
      <c r="D29" s="1094"/>
      <c r="E29" s="1094"/>
      <c r="F29" s="1093"/>
    </row>
    <row r="30" spans="2:8" ht="16.8" thickTop="1" x14ac:dyDescent="0.4"/>
    <row r="31" spans="2:8" x14ac:dyDescent="0.4">
      <c r="E31" s="383" t="s">
        <v>382</v>
      </c>
    </row>
    <row r="32" spans="2:8" x14ac:dyDescent="0.4">
      <c r="E32" s="383"/>
    </row>
    <row r="33" spans="5:5" x14ac:dyDescent="0.4">
      <c r="E33" s="383"/>
    </row>
    <row r="34" spans="5:5" x14ac:dyDescent="0.4">
      <c r="E34" s="383"/>
    </row>
    <row r="35" spans="5:5" x14ac:dyDescent="0.4">
      <c r="E35" s="383"/>
    </row>
    <row r="36" spans="5:5" x14ac:dyDescent="0.4">
      <c r="E36" s="383"/>
    </row>
    <row r="37" spans="5:5" x14ac:dyDescent="0.4">
      <c r="E37" s="383"/>
    </row>
  </sheetData>
  <mergeCells count="5">
    <mergeCell ref="A12:G12"/>
    <mergeCell ref="A5:G5"/>
    <mergeCell ref="A9:G9"/>
    <mergeCell ref="A10:G10"/>
    <mergeCell ref="A11:G11"/>
  </mergeCells>
  <phoneticPr fontId="0" type="noConversion"/>
  <printOptions horizontalCentered="1"/>
  <pageMargins left="1.1811023622047245" right="0.78740157480314965" top="1.1811023622047245" bottom="1.1811023622047245" header="0.59055118110236227" footer="0.59055118110236227"/>
  <pageSetup firstPageNumber="43" orientation="portrait" useFirstPageNumber="1" r:id="rId1"/>
  <headerFooter alignWithMargins="0">
    <oddFooter>&amp;C&amp;"Tw Cen MT,Normal"&amp;8&amp;P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theme="9" tint="-0.499984740745262"/>
  </sheetPr>
  <dimension ref="A2:G37"/>
  <sheetViews>
    <sheetView showGridLines="0" tabSelected="1" zoomScale="90" zoomScaleNormal="90" workbookViewId="0">
      <selection activeCell="H12" sqref="H12"/>
    </sheetView>
  </sheetViews>
  <sheetFormatPr baseColWidth="10" defaultColWidth="11.44140625" defaultRowHeight="17.399999999999999" x14ac:dyDescent="0.45"/>
  <cols>
    <col min="1" max="1" width="14.33203125" style="362" customWidth="1"/>
    <col min="2" max="2" width="4.33203125" style="362" customWidth="1"/>
    <col min="3" max="3" width="15.109375" style="362" customWidth="1"/>
    <col min="4" max="6" width="11.44140625" style="362"/>
    <col min="7" max="7" width="11.44140625" style="366"/>
    <col min="8" max="16384" width="11.44140625" style="362"/>
  </cols>
  <sheetData>
    <row r="2" spans="1:7" ht="16.2" x14ac:dyDescent="0.4">
      <c r="A2" s="360"/>
      <c r="B2" s="360"/>
      <c r="C2" s="360"/>
      <c r="D2" s="360"/>
      <c r="E2" s="1472"/>
      <c r="F2" s="1472"/>
      <c r="G2" s="1472"/>
    </row>
    <row r="3" spans="1:7" ht="16.2" x14ac:dyDescent="0.4">
      <c r="A3" s="1473" t="s">
        <v>303</v>
      </c>
      <c r="B3" s="1473"/>
      <c r="C3" s="1473"/>
      <c r="D3" s="1473"/>
      <c r="E3" s="1473"/>
      <c r="F3" s="1473"/>
      <c r="G3" s="1473"/>
    </row>
    <row r="4" spans="1:7" ht="16.8" thickBot="1" x14ac:dyDescent="0.45">
      <c r="A4" s="1474" t="s">
        <v>285</v>
      </c>
      <c r="B4" s="1474"/>
      <c r="C4" s="1474"/>
      <c r="D4" s="1474"/>
      <c r="E4" s="1474"/>
      <c r="F4" s="1474"/>
      <c r="G4" s="1474"/>
    </row>
    <row r="5" spans="1:7" ht="18" thickTop="1" x14ac:dyDescent="0.45">
      <c r="A5" s="363"/>
      <c r="B5" s="363"/>
      <c r="C5" s="363"/>
      <c r="D5" s="363"/>
      <c r="E5" s="363"/>
      <c r="F5" s="363"/>
      <c r="G5" s="364"/>
    </row>
    <row r="6" spans="1:7" x14ac:dyDescent="0.45">
      <c r="A6" s="1475" t="s">
        <v>467</v>
      </c>
      <c r="B6" s="1475"/>
      <c r="C6" s="1475"/>
      <c r="D6" s="1475"/>
      <c r="E6" s="1475"/>
      <c r="F6" s="1475"/>
      <c r="G6" s="1475"/>
    </row>
    <row r="7" spans="1:7" x14ac:dyDescent="0.45">
      <c r="A7" s="1476" t="s">
        <v>1272</v>
      </c>
      <c r="B7" s="1476"/>
      <c r="C7" s="1476"/>
      <c r="D7" s="1476"/>
      <c r="E7" s="1476"/>
      <c r="F7" s="1476"/>
      <c r="G7" s="1476"/>
    </row>
    <row r="8" spans="1:7" x14ac:dyDescent="0.45">
      <c r="A8" s="365"/>
      <c r="B8" s="365"/>
      <c r="C8" s="365"/>
      <c r="D8" s="365"/>
      <c r="E8" s="365"/>
      <c r="F8" s="365"/>
    </row>
    <row r="9" spans="1:7" x14ac:dyDescent="0.45">
      <c r="A9" s="365"/>
      <c r="B9" s="365"/>
      <c r="C9" s="365"/>
      <c r="D9" s="365"/>
      <c r="E9" s="365"/>
      <c r="F9" s="365"/>
    </row>
    <row r="10" spans="1:7" x14ac:dyDescent="0.45">
      <c r="A10" s="367" t="s">
        <v>1</v>
      </c>
      <c r="B10" s="365"/>
      <c r="C10" s="365"/>
      <c r="D10" s="365"/>
      <c r="E10" s="365"/>
      <c r="F10" s="365"/>
    </row>
    <row r="11" spans="1:7" ht="15.9" customHeight="1" x14ac:dyDescent="0.45">
      <c r="A11" s="365"/>
      <c r="B11" s="365" t="s">
        <v>1273</v>
      </c>
      <c r="C11" s="365"/>
      <c r="D11" s="365"/>
      <c r="E11" s="365"/>
      <c r="F11" s="365"/>
      <c r="G11" s="368">
        <v>1</v>
      </c>
    </row>
    <row r="12" spans="1:7" ht="15.9" customHeight="1" x14ac:dyDescent="0.45">
      <c r="A12" s="365"/>
      <c r="B12" s="365" t="s">
        <v>1274</v>
      </c>
      <c r="C12" s="365"/>
      <c r="D12" s="365"/>
      <c r="E12" s="365"/>
      <c r="F12" s="365"/>
      <c r="G12" s="368">
        <v>2</v>
      </c>
    </row>
    <row r="13" spans="1:7" ht="15.9" customHeight="1" x14ac:dyDescent="0.45">
      <c r="A13" s="365"/>
      <c r="B13" s="365" t="s">
        <v>468</v>
      </c>
      <c r="C13" s="365"/>
      <c r="D13" s="365"/>
      <c r="E13" s="365"/>
      <c r="F13" s="365"/>
      <c r="G13" s="368">
        <v>3</v>
      </c>
    </row>
    <row r="14" spans="1:7" ht="15.9" customHeight="1" x14ac:dyDescent="0.45">
      <c r="A14" s="365"/>
      <c r="B14" s="365" t="s">
        <v>1290</v>
      </c>
      <c r="C14" s="365"/>
      <c r="D14" s="365"/>
      <c r="E14" s="365"/>
      <c r="F14" s="365"/>
      <c r="G14" s="368" t="s">
        <v>1142</v>
      </c>
    </row>
    <row r="15" spans="1:7" ht="15.9" customHeight="1" x14ac:dyDescent="0.45">
      <c r="A15" s="365"/>
      <c r="B15" s="365" t="s">
        <v>469</v>
      </c>
      <c r="C15" s="365"/>
      <c r="D15" s="365"/>
      <c r="E15" s="365"/>
      <c r="F15" s="365"/>
      <c r="G15" s="368" t="s">
        <v>519</v>
      </c>
    </row>
    <row r="16" spans="1:7" x14ac:dyDescent="0.45">
      <c r="A16" s="365"/>
      <c r="B16" s="365"/>
      <c r="C16" s="365"/>
      <c r="D16" s="365"/>
      <c r="E16" s="365"/>
      <c r="F16" s="365"/>
    </row>
    <row r="17" spans="1:7" x14ac:dyDescent="0.45">
      <c r="B17" s="365"/>
      <c r="C17" s="365"/>
      <c r="D17" s="365"/>
      <c r="E17" s="365"/>
      <c r="F17" s="365"/>
    </row>
    <row r="18" spans="1:7" ht="15.9" customHeight="1" x14ac:dyDescent="0.45">
      <c r="A18" s="365"/>
      <c r="B18" s="365" t="s">
        <v>470</v>
      </c>
      <c r="C18" s="365"/>
      <c r="D18" s="365"/>
      <c r="E18" s="365"/>
      <c r="F18" s="365"/>
      <c r="G18" s="369">
        <v>6</v>
      </c>
    </row>
    <row r="19" spans="1:7" ht="15.9" customHeight="1" x14ac:dyDescent="0.45">
      <c r="A19" s="365"/>
      <c r="B19" s="365" t="s">
        <v>471</v>
      </c>
      <c r="C19" s="365"/>
      <c r="D19" s="365"/>
      <c r="E19" s="365"/>
      <c r="F19" s="365"/>
      <c r="G19" s="370">
        <v>9</v>
      </c>
    </row>
    <row r="20" spans="1:7" ht="15.9" customHeight="1" x14ac:dyDescent="0.45">
      <c r="A20" s="365"/>
      <c r="B20" s="365" t="s">
        <v>39</v>
      </c>
      <c r="C20" s="365"/>
      <c r="D20" s="365"/>
      <c r="E20" s="365"/>
      <c r="F20" s="365"/>
      <c r="G20" s="370">
        <v>13</v>
      </c>
    </row>
    <row r="21" spans="1:7" ht="15.9" customHeight="1" x14ac:dyDescent="0.45">
      <c r="A21" s="367" t="s">
        <v>15</v>
      </c>
      <c r="B21" s="365" t="s">
        <v>472</v>
      </c>
      <c r="C21" s="365"/>
      <c r="D21" s="365"/>
      <c r="E21" s="365"/>
      <c r="F21" s="365"/>
      <c r="G21" s="370">
        <v>17</v>
      </c>
    </row>
    <row r="22" spans="1:7" ht="15.9" customHeight="1" x14ac:dyDescent="0.45">
      <c r="A22" s="365"/>
      <c r="B22" s="365" t="s">
        <v>473</v>
      </c>
      <c r="C22" s="365"/>
      <c r="D22" s="365"/>
      <c r="E22" s="365"/>
      <c r="F22" s="365"/>
      <c r="G22" s="370">
        <v>20</v>
      </c>
    </row>
    <row r="23" spans="1:7" ht="15.9" customHeight="1" x14ac:dyDescent="0.45">
      <c r="A23" s="365"/>
      <c r="B23" s="365" t="s">
        <v>474</v>
      </c>
      <c r="C23" s="365"/>
      <c r="D23" s="365"/>
      <c r="E23" s="365"/>
      <c r="F23" s="365"/>
      <c r="G23" s="370"/>
    </row>
    <row r="24" spans="1:7" ht="15.9" customHeight="1" x14ac:dyDescent="0.45">
      <c r="A24" s="365"/>
      <c r="B24" s="365"/>
      <c r="C24" s="365" t="s">
        <v>33</v>
      </c>
      <c r="D24" s="365"/>
      <c r="E24" s="365"/>
      <c r="F24" s="365"/>
      <c r="G24" s="370">
        <v>23</v>
      </c>
    </row>
    <row r="25" spans="1:7" ht="15.9" customHeight="1" x14ac:dyDescent="0.45">
      <c r="A25" s="365"/>
      <c r="B25" s="365"/>
      <c r="C25" s="365" t="s">
        <v>28</v>
      </c>
      <c r="D25" s="365"/>
      <c r="E25" s="365"/>
      <c r="F25" s="365"/>
      <c r="G25" s="370">
        <v>31</v>
      </c>
    </row>
    <row r="26" spans="1:7" ht="15.9" customHeight="1" x14ac:dyDescent="0.45">
      <c r="A26" s="365"/>
      <c r="B26" s="365"/>
      <c r="C26" s="365" t="s">
        <v>29</v>
      </c>
      <c r="D26" s="365"/>
      <c r="E26" s="365"/>
      <c r="F26" s="365"/>
      <c r="G26" s="370">
        <v>34</v>
      </c>
    </row>
    <row r="27" spans="1:7" ht="15.9" customHeight="1" x14ac:dyDescent="0.45">
      <c r="A27" s="365"/>
      <c r="B27" s="365"/>
      <c r="C27" s="365" t="s">
        <v>361</v>
      </c>
      <c r="D27" s="365"/>
      <c r="E27" s="365"/>
      <c r="F27" s="365"/>
      <c r="G27" s="366">
        <v>39</v>
      </c>
    </row>
    <row r="28" spans="1:7" ht="15.9" customHeight="1" x14ac:dyDescent="0.45">
      <c r="A28" s="365"/>
      <c r="B28" s="365"/>
      <c r="C28" s="365"/>
      <c r="D28" s="365"/>
      <c r="E28" s="365"/>
      <c r="F28" s="365"/>
    </row>
    <row r="29" spans="1:7" ht="15.9" customHeight="1" x14ac:dyDescent="0.45">
      <c r="A29" s="365"/>
      <c r="B29" s="365" t="s">
        <v>42</v>
      </c>
      <c r="C29" s="365"/>
      <c r="D29" s="365"/>
      <c r="G29" s="366">
        <v>43</v>
      </c>
    </row>
    <row r="30" spans="1:7" ht="15.9" customHeight="1" x14ac:dyDescent="0.45">
      <c r="A30" s="365"/>
      <c r="B30" s="365"/>
      <c r="C30" s="365" t="s">
        <v>33</v>
      </c>
      <c r="D30" s="365"/>
      <c r="G30" s="366">
        <v>44</v>
      </c>
    </row>
    <row r="31" spans="1:7" ht="15.9" customHeight="1" x14ac:dyDescent="0.45">
      <c r="C31" s="365" t="s">
        <v>28</v>
      </c>
      <c r="G31" s="366">
        <v>45</v>
      </c>
    </row>
    <row r="32" spans="1:7" ht="15.9" customHeight="1" x14ac:dyDescent="0.45">
      <c r="C32" s="365" t="s">
        <v>29</v>
      </c>
      <c r="G32" s="366">
        <v>46</v>
      </c>
    </row>
    <row r="33" spans="1:7" ht="15.9" customHeight="1" x14ac:dyDescent="0.45">
      <c r="C33" s="365" t="s">
        <v>361</v>
      </c>
      <c r="G33" s="366">
        <v>47</v>
      </c>
    </row>
    <row r="34" spans="1:7" hidden="1" x14ac:dyDescent="0.45"/>
    <row r="35" spans="1:7" hidden="1" x14ac:dyDescent="0.45">
      <c r="A35" s="371"/>
      <c r="B35" s="372"/>
      <c r="C35" s="365" t="s">
        <v>1083</v>
      </c>
      <c r="D35" s="372"/>
      <c r="E35" s="372"/>
      <c r="F35" s="372"/>
      <c r="G35" s="373">
        <v>62</v>
      </c>
    </row>
    <row r="36" spans="1:7" ht="18" thickBot="1" x14ac:dyDescent="0.5">
      <c r="A36" s="374"/>
      <c r="B36" s="374"/>
      <c r="C36" s="374"/>
      <c r="D36" s="374"/>
      <c r="E36" s="374"/>
      <c r="F36" s="374"/>
      <c r="G36" s="375"/>
    </row>
    <row r="37" spans="1:7" ht="18" thickTop="1" x14ac:dyDescent="0.45"/>
  </sheetData>
  <mergeCells count="5">
    <mergeCell ref="E2:G2"/>
    <mergeCell ref="A3:G3"/>
    <mergeCell ref="A4:G4"/>
    <mergeCell ref="A6:G6"/>
    <mergeCell ref="A7:G7"/>
  </mergeCells>
  <printOptions horizontalCentered="1"/>
  <pageMargins left="0.78740157480314965" right="0.78740157480314965" top="0.78740157480314965" bottom="0.74803149606299213" header="0.59055118110236227" footer="0.59055118110236227"/>
  <pageSetup orientation="portrait" r:id="rId1"/>
  <ignoredErrors>
    <ignoredError sqref="G14:G15"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9"/>
  <dimension ref="A3:G36"/>
  <sheetViews>
    <sheetView showGridLines="0" workbookViewId="0">
      <selection activeCell="E62" sqref="E62"/>
    </sheetView>
  </sheetViews>
  <sheetFormatPr baseColWidth="10" defaultColWidth="11.44140625" defaultRowHeight="16.2" x14ac:dyDescent="0.4"/>
  <cols>
    <col min="1" max="1" width="11.44140625" style="362"/>
    <col min="2" max="2" width="1.88671875" style="362" customWidth="1"/>
    <col min="3" max="3" width="39" style="362" customWidth="1"/>
    <col min="4" max="4" width="3.6640625" style="362" customWidth="1"/>
    <col min="5" max="5" width="16.6640625" style="362" customWidth="1"/>
    <col min="6" max="6" width="1.88671875" style="362" customWidth="1"/>
    <col min="7" max="16384" width="11.44140625" style="362"/>
  </cols>
  <sheetData>
    <row r="3" spans="1:7" ht="16.8" thickBot="1" x14ac:dyDescent="0.45">
      <c r="C3" s="740"/>
      <c r="D3" s="740"/>
      <c r="E3" s="740"/>
      <c r="F3" s="740"/>
      <c r="G3" s="372"/>
    </row>
    <row r="5" spans="1:7" x14ac:dyDescent="0.4">
      <c r="A5" s="1563" t="s">
        <v>0</v>
      </c>
      <c r="B5" s="1563"/>
      <c r="C5" s="1563"/>
      <c r="D5" s="1563"/>
      <c r="E5" s="1563"/>
      <c r="F5" s="1563"/>
      <c r="G5" s="1563"/>
    </row>
    <row r="6" spans="1:7" x14ac:dyDescent="0.4">
      <c r="A6" s="1073"/>
      <c r="B6" s="1073"/>
      <c r="C6" s="1073"/>
      <c r="D6" s="1073"/>
      <c r="E6" s="1073"/>
      <c r="F6" s="1073"/>
      <c r="G6" s="1073"/>
    </row>
    <row r="7" spans="1:7" x14ac:dyDescent="0.4">
      <c r="A7" s="1504" t="s">
        <v>1327</v>
      </c>
      <c r="B7" s="1504"/>
      <c r="C7" s="1504"/>
      <c r="D7" s="1504"/>
      <c r="E7" s="1504"/>
      <c r="F7" s="1504"/>
      <c r="G7" s="1504"/>
    </row>
    <row r="8" spans="1:7" x14ac:dyDescent="0.4">
      <c r="A8" s="1073"/>
      <c r="B8" s="1073"/>
      <c r="C8" s="1073"/>
      <c r="D8" s="1073"/>
    </row>
    <row r="9" spans="1:7" ht="18.600000000000001" x14ac:dyDescent="0.45">
      <c r="A9" s="1564" t="s">
        <v>42</v>
      </c>
      <c r="B9" s="1564"/>
      <c r="C9" s="1564"/>
      <c r="D9" s="1564"/>
      <c r="E9" s="1564"/>
      <c r="F9" s="1564"/>
      <c r="G9" s="1564"/>
    </row>
    <row r="10" spans="1:7" x14ac:dyDescent="0.4">
      <c r="A10" s="1562" t="s">
        <v>45</v>
      </c>
      <c r="B10" s="1562"/>
      <c r="C10" s="1562"/>
      <c r="D10" s="1562"/>
      <c r="E10" s="1562"/>
      <c r="F10" s="1562"/>
      <c r="G10" s="1562"/>
    </row>
    <row r="11" spans="1:7" x14ac:dyDescent="0.4">
      <c r="A11" s="1562" t="s">
        <v>46</v>
      </c>
      <c r="B11" s="1562"/>
      <c r="C11" s="1562"/>
      <c r="D11" s="1562"/>
      <c r="E11" s="1562"/>
      <c r="F11" s="1562"/>
      <c r="G11" s="1562"/>
    </row>
    <row r="12" spans="1:7" x14ac:dyDescent="0.4">
      <c r="A12" s="1562" t="s">
        <v>40</v>
      </c>
      <c r="B12" s="1562"/>
      <c r="C12" s="1562"/>
      <c r="D12" s="1562"/>
      <c r="E12" s="1562"/>
      <c r="F12" s="1562"/>
      <c r="G12" s="1562"/>
    </row>
    <row r="13" spans="1:7" ht="16.8" thickBot="1" x14ac:dyDescent="0.45">
      <c r="A13" s="1074"/>
      <c r="B13" s="1074"/>
      <c r="C13" s="1074"/>
      <c r="D13" s="1074"/>
      <c r="E13" s="1074"/>
    </row>
    <row r="14" spans="1:7" ht="25.5" customHeight="1" thickBot="1" x14ac:dyDescent="0.45">
      <c r="A14" s="749"/>
      <c r="B14" s="1075"/>
      <c r="C14" s="1076" t="s">
        <v>43</v>
      </c>
      <c r="D14" s="1076"/>
      <c r="E14" s="1076" t="s">
        <v>44</v>
      </c>
      <c r="F14" s="1077"/>
    </row>
    <row r="15" spans="1:7" ht="16.8" thickTop="1" x14ac:dyDescent="0.4">
      <c r="A15" s="749"/>
      <c r="B15" s="1078"/>
      <c r="C15" s="1079"/>
      <c r="D15" s="1079"/>
      <c r="E15" s="1079"/>
      <c r="F15" s="1080"/>
    </row>
    <row r="16" spans="1:7" ht="9.9" customHeight="1" x14ac:dyDescent="0.4">
      <c r="B16" s="546"/>
      <c r="C16" s="1081"/>
      <c r="D16" s="1082"/>
      <c r="E16" s="1083"/>
      <c r="F16" s="1084"/>
    </row>
    <row r="17" spans="2:7" ht="15.9" customHeight="1" x14ac:dyDescent="0.4">
      <c r="B17" s="546"/>
      <c r="C17" s="1085" t="s">
        <v>61</v>
      </c>
      <c r="D17" s="1086"/>
      <c r="E17" s="1087">
        <f>+' CLASIFICACION DE GASTOS 2024'!C55</f>
        <v>803003908</v>
      </c>
      <c r="F17" s="1084"/>
      <c r="G17" s="383"/>
    </row>
    <row r="18" spans="2:7" ht="9.9" customHeight="1" x14ac:dyDescent="0.4">
      <c r="B18" s="546"/>
      <c r="C18" s="1085"/>
      <c r="D18" s="1086"/>
      <c r="E18" s="1087"/>
      <c r="F18" s="1084"/>
    </row>
    <row r="19" spans="2:7" ht="15.9" customHeight="1" x14ac:dyDescent="0.4">
      <c r="B19" s="546"/>
      <c r="C19" s="1085" t="s">
        <v>22</v>
      </c>
      <c r="D19" s="1086"/>
      <c r="E19" s="1087">
        <f>+' CLASIFICACION DE GASTOS 2024'!C130</f>
        <v>29106731</v>
      </c>
      <c r="F19" s="1084"/>
      <c r="G19" s="383"/>
    </row>
    <row r="20" spans="2:7" ht="9.9" customHeight="1" x14ac:dyDescent="0.4">
      <c r="B20" s="546"/>
      <c r="C20" s="1085"/>
      <c r="D20" s="1086"/>
      <c r="E20" s="1087"/>
      <c r="F20" s="1084"/>
    </row>
    <row r="21" spans="2:7" ht="15.9" customHeight="1" x14ac:dyDescent="0.4">
      <c r="B21" s="546"/>
      <c r="C21" s="1085" t="s">
        <v>57</v>
      </c>
      <c r="D21" s="1086"/>
      <c r="E21" s="1087">
        <f>+' CLASIFICACION DE GASTOS 2024'!C176</f>
        <v>669687754</v>
      </c>
      <c r="F21" s="1084"/>
      <c r="G21" s="383"/>
    </row>
    <row r="22" spans="2:7" ht="9.9" customHeight="1" x14ac:dyDescent="0.4">
      <c r="B22" s="546"/>
      <c r="C22" s="1085"/>
      <c r="D22" s="1086"/>
      <c r="E22" s="1087"/>
      <c r="F22" s="1084"/>
    </row>
    <row r="23" spans="2:7" ht="15.9" customHeight="1" x14ac:dyDescent="0.4">
      <c r="B23" s="546"/>
      <c r="C23" s="1085" t="s">
        <v>20</v>
      </c>
      <c r="D23" s="1086"/>
      <c r="E23" s="1087">
        <f>+' CLASIFICACION DE GASTOS 2024'!C199</f>
        <v>87780000</v>
      </c>
      <c r="F23" s="1084"/>
      <c r="G23" s="383"/>
    </row>
    <row r="24" spans="2:7" hidden="1" x14ac:dyDescent="0.4">
      <c r="B24" s="546"/>
      <c r="C24" s="1085"/>
      <c r="D24" s="1086"/>
      <c r="E24" s="1087"/>
      <c r="F24" s="1084"/>
    </row>
    <row r="25" spans="2:7" hidden="1" x14ac:dyDescent="0.4">
      <c r="B25" s="546"/>
      <c r="C25" s="1085" t="s">
        <v>58</v>
      </c>
      <c r="D25" s="1086"/>
      <c r="E25" s="1087">
        <v>0</v>
      </c>
      <c r="F25" s="1084"/>
    </row>
    <row r="26" spans="2:7" hidden="1" x14ac:dyDescent="0.4">
      <c r="B26" s="546"/>
      <c r="C26" s="1085"/>
      <c r="D26" s="1086"/>
      <c r="E26" s="1087"/>
      <c r="F26" s="1084"/>
    </row>
    <row r="27" spans="2:7" ht="9.9" customHeight="1" x14ac:dyDescent="0.4">
      <c r="B27" s="1088"/>
      <c r="C27" s="1085"/>
      <c r="D27" s="1086"/>
      <c r="E27" s="1087"/>
      <c r="F27" s="1084"/>
    </row>
    <row r="28" spans="2:7" ht="18.75" customHeight="1" thickBot="1" x14ac:dyDescent="0.45">
      <c r="B28" s="1089"/>
      <c r="C28" s="1090" t="s">
        <v>21</v>
      </c>
      <c r="D28" s="1090"/>
      <c r="E28" s="1091">
        <f>SUM(E16:E25)</f>
        <v>1589578393</v>
      </c>
      <c r="F28" s="1092"/>
    </row>
    <row r="29" spans="2:7" ht="16.8" thickBot="1" x14ac:dyDescent="0.45">
      <c r="B29" s="1093"/>
      <c r="C29" s="1094"/>
      <c r="D29" s="1094"/>
      <c r="E29" s="1094"/>
      <c r="F29" s="1093"/>
    </row>
    <row r="30" spans="2:7" ht="16.8" thickTop="1" x14ac:dyDescent="0.4"/>
    <row r="31" spans="2:7" x14ac:dyDescent="0.4">
      <c r="E31" s="778"/>
    </row>
    <row r="32" spans="2:7" x14ac:dyDescent="0.4">
      <c r="E32" s="383"/>
    </row>
    <row r="33" spans="5:5" x14ac:dyDescent="0.4">
      <c r="E33" s="383"/>
    </row>
    <row r="34" spans="5:5" x14ac:dyDescent="0.4">
      <c r="E34" s="383"/>
    </row>
    <row r="35" spans="5:5" x14ac:dyDescent="0.4">
      <c r="E35" s="383"/>
    </row>
    <row r="36" spans="5:5" x14ac:dyDescent="0.4">
      <c r="E36" s="383"/>
    </row>
  </sheetData>
  <mergeCells count="6">
    <mergeCell ref="A12:G12"/>
    <mergeCell ref="A7:G7"/>
    <mergeCell ref="A5:G5"/>
    <mergeCell ref="A9:G9"/>
    <mergeCell ref="A10:G10"/>
    <mergeCell ref="A11:G11"/>
  </mergeCells>
  <phoneticPr fontId="0" type="noConversion"/>
  <printOptions horizontalCentered="1"/>
  <pageMargins left="0.78740157480314965" right="0.78740157480314965" top="1.1811023622047245" bottom="1.1811023622047245" header="0.59055118110236227" footer="0.59055118110236227"/>
  <pageSetup firstPageNumber="44" orientation="portrait" useFirstPageNumber="1" r:id="rId1"/>
  <headerFooter alignWithMargins="0">
    <oddFooter>&amp;C&amp;"Tw Cen MT,Normal"&amp;8&amp;P</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20"/>
  <dimension ref="A2:G36"/>
  <sheetViews>
    <sheetView showGridLines="0" workbookViewId="0">
      <selection activeCell="E62" sqref="E62"/>
    </sheetView>
  </sheetViews>
  <sheetFormatPr baseColWidth="10" defaultColWidth="11.44140625" defaultRowHeight="16.2" x14ac:dyDescent="0.4"/>
  <cols>
    <col min="1" max="1" width="11.44140625" style="362"/>
    <col min="2" max="2" width="2.33203125" style="362" customWidth="1"/>
    <col min="3" max="3" width="37" style="362" customWidth="1"/>
    <col min="4" max="4" width="2.33203125" style="362" customWidth="1"/>
    <col min="5" max="5" width="22.6640625" style="362" customWidth="1"/>
    <col min="6" max="6" width="2" style="362" customWidth="1"/>
    <col min="7" max="16384" width="11.44140625" style="362"/>
  </cols>
  <sheetData>
    <row r="2" spans="1:7" ht="16.8" thickBot="1" x14ac:dyDescent="0.45">
      <c r="C2" s="740"/>
      <c r="D2" s="740"/>
      <c r="E2" s="740"/>
      <c r="F2" s="740"/>
      <c r="G2" s="372"/>
    </row>
    <row r="5" spans="1:7" x14ac:dyDescent="0.4">
      <c r="A5" s="1563" t="s">
        <v>0</v>
      </c>
      <c r="B5" s="1563"/>
      <c r="C5" s="1563"/>
      <c r="D5" s="1563"/>
      <c r="E5" s="1563"/>
      <c r="F5" s="1563"/>
      <c r="G5" s="1563"/>
    </row>
    <row r="6" spans="1:7" x14ac:dyDescent="0.4">
      <c r="A6" s="1073"/>
      <c r="B6" s="1073"/>
      <c r="C6" s="1073"/>
      <c r="D6" s="1073"/>
      <c r="E6" s="1073"/>
      <c r="F6" s="1073"/>
      <c r="G6" s="1073"/>
    </row>
    <row r="7" spans="1:7" x14ac:dyDescent="0.4">
      <c r="A7" s="1504" t="s">
        <v>1328</v>
      </c>
      <c r="B7" s="1501"/>
      <c r="C7" s="1501"/>
      <c r="D7" s="1501"/>
      <c r="E7" s="1501"/>
      <c r="F7" s="1501"/>
      <c r="G7" s="1501"/>
    </row>
    <row r="8" spans="1:7" x14ac:dyDescent="0.4">
      <c r="A8" s="1073"/>
      <c r="B8" s="1073"/>
      <c r="C8" s="1073"/>
      <c r="D8" s="1073"/>
      <c r="E8" s="1073"/>
      <c r="F8" s="1073"/>
    </row>
    <row r="9" spans="1:7" ht="18.600000000000001" x14ac:dyDescent="0.45">
      <c r="A9" s="1564" t="s">
        <v>42</v>
      </c>
      <c r="B9" s="1564"/>
      <c r="C9" s="1564"/>
      <c r="D9" s="1564"/>
      <c r="E9" s="1564"/>
      <c r="F9" s="1564"/>
      <c r="G9" s="1564"/>
    </row>
    <row r="10" spans="1:7" x14ac:dyDescent="0.4">
      <c r="A10" s="1562" t="s">
        <v>45</v>
      </c>
      <c r="B10" s="1562"/>
      <c r="C10" s="1562"/>
      <c r="D10" s="1562"/>
      <c r="E10" s="1562"/>
      <c r="F10" s="1562"/>
      <c r="G10" s="1562"/>
    </row>
    <row r="11" spans="1:7" x14ac:dyDescent="0.4">
      <c r="A11" s="1562" t="s">
        <v>46</v>
      </c>
      <c r="B11" s="1562"/>
      <c r="C11" s="1562"/>
      <c r="D11" s="1562"/>
      <c r="E11" s="1562"/>
      <c r="F11" s="1562"/>
      <c r="G11" s="1562"/>
    </row>
    <row r="12" spans="1:7" x14ac:dyDescent="0.4">
      <c r="A12" s="1562" t="s">
        <v>40</v>
      </c>
      <c r="B12" s="1562"/>
      <c r="C12" s="1562"/>
      <c r="D12" s="1562"/>
      <c r="E12" s="1562"/>
      <c r="F12" s="1562"/>
      <c r="G12" s="1562"/>
    </row>
    <row r="13" spans="1:7" ht="16.8" thickBot="1" x14ac:dyDescent="0.45">
      <c r="A13" s="1074"/>
      <c r="B13" s="1074"/>
      <c r="C13" s="1074"/>
      <c r="D13" s="1074"/>
      <c r="E13" s="1074"/>
    </row>
    <row r="14" spans="1:7" ht="25.5" customHeight="1" thickBot="1" x14ac:dyDescent="0.45">
      <c r="A14" s="749"/>
      <c r="B14" s="1075"/>
      <c r="C14" s="1076" t="s">
        <v>43</v>
      </c>
      <c r="D14" s="1076"/>
      <c r="E14" s="1076" t="s">
        <v>44</v>
      </c>
      <c r="F14" s="1077"/>
    </row>
    <row r="15" spans="1:7" ht="16.8" thickTop="1" x14ac:dyDescent="0.4">
      <c r="A15" s="749"/>
      <c r="B15" s="1078"/>
      <c r="C15" s="1079"/>
      <c r="D15" s="1079"/>
      <c r="E15" s="1079"/>
      <c r="F15" s="1080"/>
    </row>
    <row r="16" spans="1:7" ht="9.9" customHeight="1" x14ac:dyDescent="0.4">
      <c r="B16" s="546"/>
      <c r="C16" s="1081"/>
      <c r="D16" s="1082"/>
      <c r="E16" s="1083"/>
      <c r="F16" s="1084"/>
    </row>
    <row r="17" spans="2:6" ht="15.9" customHeight="1" x14ac:dyDescent="0.4">
      <c r="B17" s="546"/>
      <c r="C17" s="1085" t="s">
        <v>61</v>
      </c>
      <c r="D17" s="1086"/>
      <c r="E17" s="1087">
        <f>+' CLASIFICACION DE GASTOS 2024'!D55</f>
        <v>79249300</v>
      </c>
      <c r="F17" s="1084"/>
    </row>
    <row r="18" spans="2:6" hidden="1" x14ac:dyDescent="0.4">
      <c r="B18" s="546"/>
      <c r="C18" s="1085"/>
      <c r="D18" s="1086"/>
      <c r="E18" s="1087"/>
      <c r="F18" s="1084"/>
    </row>
    <row r="19" spans="2:6" hidden="1" x14ac:dyDescent="0.4">
      <c r="B19" s="546"/>
      <c r="C19" s="1085" t="s">
        <v>22</v>
      </c>
      <c r="D19" s="1086"/>
      <c r="E19" s="1087">
        <v>0</v>
      </c>
      <c r="F19" s="1084"/>
    </row>
    <row r="20" spans="2:6" hidden="1" x14ac:dyDescent="0.4">
      <c r="B20" s="546"/>
      <c r="C20" s="1085"/>
      <c r="D20" s="1086"/>
      <c r="E20" s="1087"/>
      <c r="F20" s="1084"/>
    </row>
    <row r="21" spans="2:6" hidden="1" x14ac:dyDescent="0.4">
      <c r="B21" s="546"/>
      <c r="C21" s="1085" t="s">
        <v>57</v>
      </c>
      <c r="D21" s="1086"/>
      <c r="E21" s="1087">
        <v>0</v>
      </c>
      <c r="F21" s="1084"/>
    </row>
    <row r="22" spans="2:6" hidden="1" x14ac:dyDescent="0.4">
      <c r="B22" s="546"/>
      <c r="C22" s="1085"/>
      <c r="D22" s="1086"/>
      <c r="E22" s="1087"/>
      <c r="F22" s="1084"/>
    </row>
    <row r="23" spans="2:6" hidden="1" x14ac:dyDescent="0.4">
      <c r="B23" s="546"/>
      <c r="C23" s="1085" t="s">
        <v>20</v>
      </c>
      <c r="D23" s="1086"/>
      <c r="E23" s="1087">
        <v>0</v>
      </c>
      <c r="F23" s="1084"/>
    </row>
    <row r="24" spans="2:6" hidden="1" x14ac:dyDescent="0.4">
      <c r="B24" s="546"/>
      <c r="C24" s="1085"/>
      <c r="D24" s="1086"/>
      <c r="E24" s="1087"/>
      <c r="F24" s="1084"/>
    </row>
    <row r="25" spans="2:6" hidden="1" x14ac:dyDescent="0.4">
      <c r="B25" s="546"/>
      <c r="C25" s="1085" t="s">
        <v>58</v>
      </c>
      <c r="D25" s="1086"/>
      <c r="E25" s="1087">
        <v>1706800</v>
      </c>
      <c r="F25" s="1084"/>
    </row>
    <row r="26" spans="2:6" hidden="1" x14ac:dyDescent="0.4">
      <c r="B26" s="546"/>
      <c r="C26" s="1085"/>
      <c r="D26" s="1086"/>
      <c r="E26" s="1087"/>
      <c r="F26" s="1084"/>
    </row>
    <row r="27" spans="2:6" ht="9.9" customHeight="1" x14ac:dyDescent="0.4">
      <c r="B27" s="1088"/>
      <c r="C27" s="1085"/>
      <c r="D27" s="1086"/>
      <c r="E27" s="1087"/>
      <c r="F27" s="1084"/>
    </row>
    <row r="28" spans="2:6" ht="19.5" customHeight="1" thickBot="1" x14ac:dyDescent="0.45">
      <c r="B28" s="1090"/>
      <c r="C28" s="1090" t="s">
        <v>21</v>
      </c>
      <c r="D28" s="1090"/>
      <c r="E28" s="1091">
        <f>SUM(E17:E27)</f>
        <v>80956100</v>
      </c>
      <c r="F28" s="1092"/>
    </row>
    <row r="29" spans="2:6" ht="16.8" thickBot="1" x14ac:dyDescent="0.45">
      <c r="B29" s="1093"/>
      <c r="C29" s="1094"/>
      <c r="D29" s="1094"/>
      <c r="E29" s="1094"/>
      <c r="F29" s="1093"/>
    </row>
    <row r="30" spans="2:6" ht="16.8" thickTop="1" x14ac:dyDescent="0.4"/>
    <row r="31" spans="2:6" x14ac:dyDescent="0.4">
      <c r="E31" s="383"/>
    </row>
    <row r="33" spans="5:5" x14ac:dyDescent="0.4">
      <c r="E33" s="383"/>
    </row>
    <row r="35" spans="5:5" x14ac:dyDescent="0.4">
      <c r="E35" s="383"/>
    </row>
    <row r="36" spans="5:5" x14ac:dyDescent="0.4">
      <c r="E36" s="383"/>
    </row>
  </sheetData>
  <mergeCells count="6">
    <mergeCell ref="A12:G12"/>
    <mergeCell ref="A7:G7"/>
    <mergeCell ref="A5:G5"/>
    <mergeCell ref="A9:G9"/>
    <mergeCell ref="A10:G10"/>
    <mergeCell ref="A11:G11"/>
  </mergeCells>
  <phoneticPr fontId="0" type="noConversion"/>
  <pageMargins left="0.78740157480314965" right="0.78740157480314965" top="1.1811023622047245" bottom="1.1811023622047245" header="0" footer="0.59055118110236227"/>
  <pageSetup firstPageNumber="45" orientation="portrait" useFirstPageNumber="1" r:id="rId1"/>
  <headerFooter alignWithMargins="0">
    <oddFooter>&amp;C&amp;"Tw Cen MT,Normal"&amp;8&amp;P</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1"/>
  <dimension ref="A1:G39"/>
  <sheetViews>
    <sheetView showGridLines="0" workbookViewId="0">
      <selection activeCell="E62" sqref="E62"/>
    </sheetView>
  </sheetViews>
  <sheetFormatPr baseColWidth="10" defaultColWidth="11.44140625" defaultRowHeight="16.2" x14ac:dyDescent="0.4"/>
  <cols>
    <col min="1" max="1" width="8.33203125" style="362" customWidth="1"/>
    <col min="2" max="2" width="2.109375" style="362" customWidth="1"/>
    <col min="3" max="3" width="36.44140625" style="362" customWidth="1"/>
    <col min="4" max="4" width="2.5546875" style="362" customWidth="1"/>
    <col min="5" max="5" width="22.88671875" style="362" customWidth="1"/>
    <col min="6" max="6" width="3.6640625" style="362" customWidth="1"/>
    <col min="7" max="16384" width="11.44140625" style="362"/>
  </cols>
  <sheetData>
    <row r="1" spans="1:7" ht="14.25" customHeight="1" x14ac:dyDescent="0.4"/>
    <row r="2" spans="1:7" ht="16.8" thickBot="1" x14ac:dyDescent="0.45">
      <c r="C2" s="740"/>
      <c r="D2" s="740"/>
      <c r="E2" s="740"/>
      <c r="F2" s="740"/>
      <c r="G2" s="372"/>
    </row>
    <row r="3" spans="1:7" x14ac:dyDescent="0.4">
      <c r="C3" s="372"/>
      <c r="D3" s="372"/>
      <c r="E3" s="372"/>
      <c r="F3" s="372"/>
      <c r="G3" s="372"/>
    </row>
    <row r="5" spans="1:7" x14ac:dyDescent="0.4">
      <c r="A5" s="1563" t="s">
        <v>0</v>
      </c>
      <c r="B5" s="1563"/>
      <c r="C5" s="1563"/>
      <c r="D5" s="1563"/>
      <c r="E5" s="1563"/>
      <c r="F5" s="1563"/>
      <c r="G5" s="1563"/>
    </row>
    <row r="6" spans="1:7" x14ac:dyDescent="0.4">
      <c r="A6" s="1073"/>
      <c r="B6" s="1073"/>
      <c r="C6" s="1073"/>
      <c r="D6" s="1073"/>
      <c r="E6" s="1073"/>
      <c r="F6" s="1073"/>
      <c r="G6" s="1073"/>
    </row>
    <row r="7" spans="1:7" x14ac:dyDescent="0.4">
      <c r="A7" s="1501" t="s">
        <v>1329</v>
      </c>
      <c r="B7" s="1501"/>
      <c r="C7" s="1501"/>
      <c r="D7" s="1501"/>
      <c r="E7" s="1501"/>
      <c r="F7" s="1501"/>
      <c r="G7" s="1501"/>
    </row>
    <row r="8" spans="1:7" x14ac:dyDescent="0.4">
      <c r="A8" s="1073"/>
      <c r="B8" s="1073"/>
      <c r="C8" s="1073"/>
      <c r="D8" s="1073"/>
    </row>
    <row r="9" spans="1:7" ht="18.600000000000001" x14ac:dyDescent="0.45">
      <c r="A9" s="1564" t="s">
        <v>42</v>
      </c>
      <c r="B9" s="1564"/>
      <c r="C9" s="1564"/>
      <c r="D9" s="1564"/>
      <c r="E9" s="1564"/>
      <c r="F9" s="1564"/>
      <c r="G9" s="1564"/>
    </row>
    <row r="10" spans="1:7" x14ac:dyDescent="0.4">
      <c r="A10" s="1562" t="s">
        <v>45</v>
      </c>
      <c r="B10" s="1562"/>
      <c r="C10" s="1562"/>
      <c r="D10" s="1562"/>
      <c r="E10" s="1562"/>
      <c r="F10" s="1562"/>
      <c r="G10" s="1562"/>
    </row>
    <row r="11" spans="1:7" x14ac:dyDescent="0.4">
      <c r="A11" s="1562" t="s">
        <v>46</v>
      </c>
      <c r="B11" s="1562"/>
      <c r="C11" s="1562"/>
      <c r="D11" s="1562"/>
      <c r="E11" s="1562"/>
      <c r="F11" s="1562"/>
      <c r="G11" s="1562"/>
    </row>
    <row r="12" spans="1:7" x14ac:dyDescent="0.4">
      <c r="A12" s="1562" t="s">
        <v>40</v>
      </c>
      <c r="B12" s="1562"/>
      <c r="C12" s="1562"/>
      <c r="D12" s="1562"/>
      <c r="E12" s="1562"/>
      <c r="F12" s="1562"/>
      <c r="G12" s="1562"/>
    </row>
    <row r="13" spans="1:7" ht="16.8" thickBot="1" x14ac:dyDescent="0.45">
      <c r="A13" s="1074"/>
      <c r="B13" s="1074"/>
      <c r="C13" s="1074"/>
      <c r="D13" s="1074"/>
      <c r="E13" s="1074"/>
    </row>
    <row r="14" spans="1:7" ht="25.5" customHeight="1" thickBot="1" x14ac:dyDescent="0.45">
      <c r="A14" s="749"/>
      <c r="B14" s="1075"/>
      <c r="C14" s="1076" t="s">
        <v>43</v>
      </c>
      <c r="D14" s="1076"/>
      <c r="E14" s="1076" t="s">
        <v>44</v>
      </c>
      <c r="F14" s="1077"/>
      <c r="G14" s="372"/>
    </row>
    <row r="15" spans="1:7" ht="16.8" thickTop="1" x14ac:dyDescent="0.4">
      <c r="A15" s="749"/>
      <c r="B15" s="1078"/>
      <c r="C15" s="1079"/>
      <c r="D15" s="1079"/>
      <c r="E15" s="1079"/>
      <c r="F15" s="1080"/>
      <c r="G15" s="372"/>
    </row>
    <row r="16" spans="1:7" ht="9.9" customHeight="1" x14ac:dyDescent="0.4">
      <c r="B16" s="546"/>
      <c r="C16" s="1081"/>
      <c r="D16" s="1082"/>
      <c r="E16" s="1083"/>
      <c r="F16" s="1084"/>
      <c r="G16" s="372"/>
    </row>
    <row r="17" spans="2:7" ht="15.9" customHeight="1" x14ac:dyDescent="0.4">
      <c r="B17" s="546"/>
      <c r="C17" s="1085" t="s">
        <v>61</v>
      </c>
      <c r="D17" s="1086"/>
      <c r="E17" s="1087">
        <f>+' CLASIFICACION DE GASTOS 2024'!E55</f>
        <v>1701036600</v>
      </c>
      <c r="F17" s="1084"/>
      <c r="G17" s="372"/>
    </row>
    <row r="18" spans="2:7" ht="9.9" customHeight="1" x14ac:dyDescent="0.4">
      <c r="B18" s="546"/>
      <c r="C18" s="1085"/>
      <c r="D18" s="1086"/>
      <c r="E18" s="1087"/>
      <c r="F18" s="1084"/>
      <c r="G18" s="372"/>
    </row>
    <row r="19" spans="2:7" ht="15.9" customHeight="1" x14ac:dyDescent="0.4">
      <c r="B19" s="546"/>
      <c r="C19" s="1085" t="s">
        <v>22</v>
      </c>
      <c r="D19" s="1086"/>
      <c r="E19" s="1087">
        <f>+' CLASIFICACION DE GASTOS 2024'!E130</f>
        <v>161131230.80000001</v>
      </c>
      <c r="F19" s="1084"/>
      <c r="G19" s="372"/>
    </row>
    <row r="20" spans="2:7" ht="9.9" customHeight="1" x14ac:dyDescent="0.4">
      <c r="B20" s="546"/>
      <c r="C20" s="1085"/>
      <c r="D20" s="1086"/>
      <c r="E20" s="1087"/>
      <c r="F20" s="1084"/>
      <c r="G20" s="372"/>
    </row>
    <row r="21" spans="2:7" ht="15.9" customHeight="1" x14ac:dyDescent="0.4">
      <c r="B21" s="546"/>
      <c r="C21" s="1085" t="s">
        <v>57</v>
      </c>
      <c r="D21" s="1086"/>
      <c r="E21" s="1087">
        <f>+' CLASIFICACION DE GASTOS 2024'!E176</f>
        <v>9905264</v>
      </c>
      <c r="F21" s="1084"/>
      <c r="G21" s="372"/>
    </row>
    <row r="22" spans="2:7" ht="9.9" customHeight="1" x14ac:dyDescent="0.4">
      <c r="B22" s="546"/>
      <c r="C22" s="1085"/>
      <c r="D22" s="1086"/>
      <c r="E22" s="1087"/>
      <c r="F22" s="1084"/>
      <c r="G22" s="372"/>
    </row>
    <row r="23" spans="2:7" ht="15.9" customHeight="1" x14ac:dyDescent="0.4">
      <c r="B23" s="546"/>
      <c r="C23" s="1085" t="s">
        <v>20</v>
      </c>
      <c r="D23" s="1086"/>
      <c r="E23" s="1087">
        <f>+' CLASIFICACION DE GASTOS 2024'!E199</f>
        <v>413997272</v>
      </c>
      <c r="F23" s="1084"/>
      <c r="G23" s="372"/>
    </row>
    <row r="24" spans="2:7" hidden="1" x14ac:dyDescent="0.4">
      <c r="B24" s="546"/>
      <c r="C24" s="1085"/>
      <c r="D24" s="1086"/>
      <c r="E24" s="1087"/>
      <c r="F24" s="1084"/>
      <c r="G24" s="372"/>
    </row>
    <row r="25" spans="2:7" hidden="1" x14ac:dyDescent="0.4">
      <c r="B25" s="546"/>
      <c r="C25" s="1085" t="s">
        <v>58</v>
      </c>
      <c r="D25" s="1086"/>
      <c r="E25" s="1087">
        <v>0</v>
      </c>
      <c r="F25" s="1084"/>
      <c r="G25" s="372"/>
    </row>
    <row r="26" spans="2:7" hidden="1" x14ac:dyDescent="0.4">
      <c r="B26" s="546"/>
      <c r="C26" s="1085"/>
      <c r="D26" s="1086"/>
      <c r="E26" s="1087"/>
      <c r="F26" s="1084"/>
      <c r="G26" s="372"/>
    </row>
    <row r="27" spans="2:7" ht="9.9" customHeight="1" x14ac:dyDescent="0.4">
      <c r="B27" s="1088"/>
      <c r="C27" s="1085"/>
      <c r="D27" s="1086"/>
      <c r="E27" s="1087"/>
      <c r="F27" s="1084"/>
      <c r="G27" s="372"/>
    </row>
    <row r="28" spans="2:7" ht="19.5" customHeight="1" thickBot="1" x14ac:dyDescent="0.45">
      <c r="B28" s="1090"/>
      <c r="C28" s="1090" t="s">
        <v>21</v>
      </c>
      <c r="D28" s="1090"/>
      <c r="E28" s="1091">
        <f>SUM(E17:E27)</f>
        <v>2286070366.8000002</v>
      </c>
      <c r="F28" s="1092"/>
      <c r="G28" s="372"/>
    </row>
    <row r="29" spans="2:7" ht="16.8" thickBot="1" x14ac:dyDescent="0.45">
      <c r="B29" s="1093"/>
      <c r="C29" s="1094"/>
      <c r="D29" s="1094"/>
      <c r="E29" s="1094"/>
      <c r="F29" s="1093"/>
      <c r="G29" s="372"/>
    </row>
    <row r="30" spans="2:7" ht="16.8" hidden="1" thickTop="1" x14ac:dyDescent="0.4">
      <c r="G30" s="372"/>
    </row>
    <row r="31" spans="2:7" ht="16.8" hidden="1" thickTop="1" x14ac:dyDescent="0.4">
      <c r="E31" s="383" t="e">
        <f>+'[1]PRESUPUESTO 2020'!#REF!</f>
        <v>#REF!</v>
      </c>
      <c r="G31" s="372"/>
    </row>
    <row r="32" spans="2:7" ht="16.8" hidden="1" thickTop="1" x14ac:dyDescent="0.4">
      <c r="G32" s="372"/>
    </row>
    <row r="33" spans="5:7" ht="16.8" hidden="1" thickTop="1" x14ac:dyDescent="0.4">
      <c r="E33" s="383" t="e">
        <f>+E31+E28-'[1]PRESUPUESTO 2020'!#REF!</f>
        <v>#REF!</v>
      </c>
      <c r="G33" s="372"/>
    </row>
    <row r="34" spans="5:7" ht="16.8" hidden="1" thickTop="1" x14ac:dyDescent="0.4">
      <c r="G34" s="372"/>
    </row>
    <row r="35" spans="5:7" ht="16.8" thickTop="1" x14ac:dyDescent="0.4">
      <c r="G35" s="372"/>
    </row>
    <row r="36" spans="5:7" x14ac:dyDescent="0.4">
      <c r="E36" s="383"/>
      <c r="G36" s="372"/>
    </row>
    <row r="37" spans="5:7" x14ac:dyDescent="0.4">
      <c r="G37" s="372"/>
    </row>
    <row r="38" spans="5:7" x14ac:dyDescent="0.4">
      <c r="E38" s="383"/>
      <c r="G38" s="372"/>
    </row>
    <row r="39" spans="5:7" x14ac:dyDescent="0.4">
      <c r="G39" s="372"/>
    </row>
  </sheetData>
  <mergeCells count="6">
    <mergeCell ref="A12:G12"/>
    <mergeCell ref="A7:G7"/>
    <mergeCell ref="A5:G5"/>
    <mergeCell ref="A9:G9"/>
    <mergeCell ref="A10:G10"/>
    <mergeCell ref="A11:G11"/>
  </mergeCells>
  <phoneticPr fontId="0" type="noConversion"/>
  <printOptions horizontalCentered="1"/>
  <pageMargins left="0.98425196850393704" right="0.78740157480314965" top="1.1811023622047245" bottom="1.1811023622047245" header="0.59055118110236227" footer="0.59055118110236227"/>
  <pageSetup firstPageNumber="46" orientation="portrait" useFirstPageNumber="1" r:id="rId1"/>
  <headerFooter alignWithMargins="0">
    <oddFooter>&amp;C&amp;"Tw Cen MT,Normal"&amp;8&amp;P</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2"/>
  <dimension ref="A2:H36"/>
  <sheetViews>
    <sheetView showGridLines="0" workbookViewId="0">
      <selection activeCell="E62" sqref="E62"/>
    </sheetView>
  </sheetViews>
  <sheetFormatPr baseColWidth="10" defaultColWidth="11.44140625" defaultRowHeight="16.2" x14ac:dyDescent="0.4"/>
  <cols>
    <col min="1" max="1" width="9" style="362" customWidth="1"/>
    <col min="2" max="2" width="2.6640625" style="362" customWidth="1"/>
    <col min="3" max="3" width="29.5546875" style="362" customWidth="1"/>
    <col min="4" max="4" width="2.6640625" style="362" customWidth="1"/>
    <col min="5" max="5" width="22" style="362" customWidth="1"/>
    <col min="6" max="6" width="3.6640625" style="362" customWidth="1"/>
    <col min="7" max="7" width="11.44140625" style="362"/>
    <col min="8" max="8" width="12.6640625" style="362" bestFit="1" customWidth="1"/>
    <col min="9" max="16384" width="11.44140625" style="362"/>
  </cols>
  <sheetData>
    <row r="2" spans="1:7" ht="16.8" thickBot="1" x14ac:dyDescent="0.45">
      <c r="C2" s="740"/>
      <c r="D2" s="740"/>
      <c r="E2" s="740"/>
      <c r="F2" s="740"/>
      <c r="G2" s="372"/>
    </row>
    <row r="3" spans="1:7" x14ac:dyDescent="0.4">
      <c r="C3" s="372"/>
      <c r="D3" s="372"/>
      <c r="E3" s="372"/>
      <c r="F3" s="372"/>
      <c r="G3" s="372"/>
    </row>
    <row r="5" spans="1:7" x14ac:dyDescent="0.4">
      <c r="A5" s="1563" t="s">
        <v>0</v>
      </c>
      <c r="B5" s="1563"/>
      <c r="C5" s="1563"/>
      <c r="D5" s="1563"/>
      <c r="E5" s="1563"/>
      <c r="F5" s="1563"/>
      <c r="G5" s="1563"/>
    </row>
    <row r="6" spans="1:7" x14ac:dyDescent="0.4">
      <c r="A6" s="1073"/>
      <c r="B6" s="1073"/>
      <c r="C6" s="1073"/>
      <c r="D6" s="1073"/>
      <c r="E6" s="1073"/>
      <c r="F6" s="1073"/>
      <c r="G6" s="1073"/>
    </row>
    <row r="7" spans="1:7" x14ac:dyDescent="0.4">
      <c r="A7" s="1504" t="s">
        <v>1330</v>
      </c>
      <c r="B7" s="1501"/>
      <c r="C7" s="1501"/>
      <c r="D7" s="1501"/>
      <c r="E7" s="1501"/>
      <c r="F7" s="1501"/>
      <c r="G7" s="1501"/>
    </row>
    <row r="8" spans="1:7" x14ac:dyDescent="0.4">
      <c r="A8" s="1073"/>
      <c r="B8" s="1073"/>
      <c r="C8" s="1073"/>
      <c r="D8" s="1073"/>
    </row>
    <row r="9" spans="1:7" ht="18.600000000000001" x14ac:dyDescent="0.45">
      <c r="A9" s="1564" t="s">
        <v>42</v>
      </c>
      <c r="B9" s="1564"/>
      <c r="C9" s="1564"/>
      <c r="D9" s="1564"/>
      <c r="E9" s="1564"/>
      <c r="F9" s="1564"/>
      <c r="G9" s="1564"/>
    </row>
    <row r="10" spans="1:7" x14ac:dyDescent="0.4">
      <c r="A10" s="1562" t="s">
        <v>45</v>
      </c>
      <c r="B10" s="1562"/>
      <c r="C10" s="1562"/>
      <c r="D10" s="1562"/>
      <c r="E10" s="1562"/>
      <c r="F10" s="1562"/>
      <c r="G10" s="1562"/>
    </row>
    <row r="11" spans="1:7" x14ac:dyDescent="0.4">
      <c r="A11" s="1562" t="s">
        <v>46</v>
      </c>
      <c r="B11" s="1562"/>
      <c r="C11" s="1562"/>
      <c r="D11" s="1562"/>
      <c r="E11" s="1562"/>
      <c r="F11" s="1562"/>
      <c r="G11" s="1562"/>
    </row>
    <row r="12" spans="1:7" x14ac:dyDescent="0.4">
      <c r="A12" s="1562" t="s">
        <v>40</v>
      </c>
      <c r="B12" s="1562"/>
      <c r="C12" s="1562"/>
      <c r="D12" s="1562"/>
      <c r="E12" s="1562"/>
      <c r="F12" s="1562"/>
      <c r="G12" s="1562"/>
    </row>
    <row r="13" spans="1:7" ht="16.8" thickBot="1" x14ac:dyDescent="0.45">
      <c r="A13" s="1074"/>
      <c r="B13" s="1074"/>
      <c r="C13" s="1074"/>
      <c r="D13" s="1074"/>
      <c r="E13" s="1074"/>
    </row>
    <row r="14" spans="1:7" ht="21" customHeight="1" thickBot="1" x14ac:dyDescent="0.45">
      <c r="A14" s="749"/>
      <c r="B14" s="1075"/>
      <c r="C14" s="1076" t="s">
        <v>43</v>
      </c>
      <c r="D14" s="1076"/>
      <c r="E14" s="1076" t="s">
        <v>44</v>
      </c>
      <c r="F14" s="1077"/>
      <c r="G14" s="372"/>
    </row>
    <row r="15" spans="1:7" ht="16.8" thickTop="1" x14ac:dyDescent="0.4">
      <c r="A15" s="749"/>
      <c r="B15" s="1078"/>
      <c r="C15" s="1079"/>
      <c r="D15" s="1079"/>
      <c r="E15" s="1079"/>
      <c r="F15" s="1080"/>
      <c r="G15" s="372"/>
    </row>
    <row r="16" spans="1:7" ht="9.9" customHeight="1" x14ac:dyDescent="0.4">
      <c r="B16" s="546"/>
      <c r="C16" s="1081"/>
      <c r="D16" s="1082"/>
      <c r="E16" s="1083"/>
      <c r="F16" s="1084"/>
      <c r="G16" s="372"/>
    </row>
    <row r="17" spans="2:8" ht="15.9" customHeight="1" x14ac:dyDescent="0.4">
      <c r="B17" s="546"/>
      <c r="C17" s="1085" t="s">
        <v>61</v>
      </c>
      <c r="D17" s="1086"/>
      <c r="E17" s="1087">
        <f>+' CLASIFICACION DE GASTOS 2024'!F55</f>
        <v>171383600</v>
      </c>
      <c r="F17" s="1084"/>
      <c r="G17" s="372"/>
    </row>
    <row r="18" spans="2:8" ht="9.9" customHeight="1" x14ac:dyDescent="0.4">
      <c r="B18" s="546"/>
      <c r="C18" s="1085"/>
      <c r="D18" s="1086"/>
      <c r="E18" s="1087"/>
      <c r="F18" s="1084"/>
      <c r="G18" s="372"/>
    </row>
    <row r="19" spans="2:8" x14ac:dyDescent="0.4">
      <c r="B19" s="546"/>
      <c r="C19" s="1085" t="s">
        <v>22</v>
      </c>
      <c r="D19" s="1086"/>
      <c r="E19" s="1087">
        <f>+' CLASIFICACION DE GASTOS 2024'!F130</f>
        <v>350000</v>
      </c>
      <c r="F19" s="1084"/>
      <c r="G19" s="372"/>
    </row>
    <row r="20" spans="2:8" ht="9.9" customHeight="1" x14ac:dyDescent="0.4">
      <c r="B20" s="546"/>
      <c r="C20" s="1085"/>
      <c r="D20" s="1086"/>
      <c r="E20" s="1087"/>
      <c r="F20" s="1084"/>
      <c r="G20" s="372"/>
    </row>
    <row r="21" spans="2:8" hidden="1" x14ac:dyDescent="0.4">
      <c r="B21" s="546"/>
      <c r="C21" s="1085" t="s">
        <v>57</v>
      </c>
      <c r="D21" s="1086"/>
      <c r="E21" s="1087">
        <v>0</v>
      </c>
      <c r="F21" s="1084"/>
      <c r="G21" s="372"/>
    </row>
    <row r="22" spans="2:8" hidden="1" x14ac:dyDescent="0.4">
      <c r="B22" s="546"/>
      <c r="C22" s="1085"/>
      <c r="D22" s="1086"/>
      <c r="E22" s="1087"/>
      <c r="F22" s="1084"/>
      <c r="G22" s="372"/>
    </row>
    <row r="23" spans="2:8" ht="15.9" customHeight="1" x14ac:dyDescent="0.4">
      <c r="B23" s="546"/>
      <c r="C23" s="1085" t="s">
        <v>20</v>
      </c>
      <c r="D23" s="1086"/>
      <c r="E23" s="1087">
        <f>+' CLASIFICACION DE GASTOS 2024'!F199</f>
        <v>1200000</v>
      </c>
      <c r="F23" s="1084"/>
      <c r="G23" s="372"/>
    </row>
    <row r="24" spans="2:8" hidden="1" x14ac:dyDescent="0.4">
      <c r="B24" s="546"/>
      <c r="C24" s="1085"/>
      <c r="D24" s="1086"/>
      <c r="E24" s="1087"/>
      <c r="F24" s="1084"/>
      <c r="G24" s="372"/>
    </row>
    <row r="25" spans="2:8" hidden="1" x14ac:dyDescent="0.4">
      <c r="B25" s="546"/>
      <c r="C25" s="1085" t="s">
        <v>58</v>
      </c>
      <c r="D25" s="1086"/>
      <c r="E25" s="1087">
        <v>289000</v>
      </c>
      <c r="F25" s="1084"/>
      <c r="G25" s="372"/>
    </row>
    <row r="26" spans="2:8" hidden="1" x14ac:dyDescent="0.4">
      <c r="B26" s="546"/>
      <c r="C26" s="1085"/>
      <c r="D26" s="1086"/>
      <c r="E26" s="1087"/>
      <c r="F26" s="1084"/>
      <c r="G26" s="372"/>
    </row>
    <row r="27" spans="2:8" ht="9.9" customHeight="1" x14ac:dyDescent="0.4">
      <c r="B27" s="1088"/>
      <c r="C27" s="1085"/>
      <c r="D27" s="1086"/>
      <c r="E27" s="1087"/>
      <c r="F27" s="1084"/>
      <c r="G27" s="372"/>
      <c r="H27" s="383"/>
    </row>
    <row r="28" spans="2:8" ht="20.399999999999999" customHeight="1" thickBot="1" x14ac:dyDescent="0.45">
      <c r="B28" s="1089"/>
      <c r="C28" s="1090" t="s">
        <v>21</v>
      </c>
      <c r="D28" s="1090"/>
      <c r="E28" s="1091">
        <f>SUM(E17:E27)</f>
        <v>173222600</v>
      </c>
      <c r="F28" s="1092"/>
      <c r="G28" s="372"/>
      <c r="H28" s="383"/>
    </row>
    <row r="29" spans="2:8" ht="16.8" thickBot="1" x14ac:dyDescent="0.45">
      <c r="B29" s="1093"/>
      <c r="C29" s="1094"/>
      <c r="D29" s="1094"/>
      <c r="E29" s="1094"/>
      <c r="F29" s="1093"/>
      <c r="G29" s="372"/>
    </row>
    <row r="30" spans="2:8" ht="16.8" thickTop="1" x14ac:dyDescent="0.4">
      <c r="G30" s="372"/>
      <c r="H30" s="383"/>
    </row>
    <row r="31" spans="2:8" hidden="1" x14ac:dyDescent="0.4">
      <c r="E31" s="383" t="e">
        <f>+'[1]PRESUPUESTO 2020'!#REF!</f>
        <v>#REF!</v>
      </c>
    </row>
    <row r="32" spans="2:8" hidden="1" x14ac:dyDescent="0.4">
      <c r="E32" s="383" t="e">
        <f>+E31+E28-'[1]PRESUPUESTO 2020'!#REF!</f>
        <v>#REF!</v>
      </c>
    </row>
    <row r="33" spans="5:5" hidden="1" x14ac:dyDescent="0.4"/>
    <row r="34" spans="5:5" hidden="1" x14ac:dyDescent="0.4"/>
    <row r="35" spans="5:5" x14ac:dyDescent="0.4">
      <c r="E35" s="383"/>
    </row>
    <row r="36" spans="5:5" x14ac:dyDescent="0.4">
      <c r="E36" s="383"/>
    </row>
  </sheetData>
  <mergeCells count="6">
    <mergeCell ref="A12:G12"/>
    <mergeCell ref="A5:G5"/>
    <mergeCell ref="A7:G7"/>
    <mergeCell ref="A9:G9"/>
    <mergeCell ref="A10:G10"/>
    <mergeCell ref="A11:G11"/>
  </mergeCells>
  <printOptions horizontalCentered="1"/>
  <pageMargins left="0.70866141732283472" right="0.70866141732283472" top="0.74803149606299213" bottom="0.74803149606299213" header="0.31496062992125984" footer="0.59055118110236227"/>
  <pageSetup firstPageNumber="47" orientation="portrait" useFirstPageNumber="1" r:id="rId1"/>
  <headerFooter>
    <oddFooter>&amp;C&amp;"Tw Cen MT,Normal"&amp;8&amp;P</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1"/>
  <dimension ref="A1:P368"/>
  <sheetViews>
    <sheetView showGridLines="0" zoomScale="80" zoomScaleNormal="80" workbookViewId="0">
      <selection activeCell="A12" sqref="A12:G12"/>
    </sheetView>
  </sheetViews>
  <sheetFormatPr baseColWidth="10" defaultColWidth="11.44140625" defaultRowHeight="11.4" x14ac:dyDescent="0.2"/>
  <cols>
    <col min="1" max="1" width="2.6640625" style="240" customWidth="1"/>
    <col min="2" max="2" width="9.5546875" style="240" customWidth="1"/>
    <col min="3" max="3" width="8.88671875" style="240" customWidth="1"/>
    <col min="4" max="4" width="15.33203125" style="240" customWidth="1"/>
    <col min="5" max="5" width="18.6640625" style="240" bestFit="1" customWidth="1"/>
    <col min="6" max="6" width="11.88671875" style="244" bestFit="1" customWidth="1"/>
    <col min="7" max="7" width="8.6640625" style="240" customWidth="1"/>
    <col min="8" max="8" width="4.5546875" style="240" hidden="1" customWidth="1"/>
    <col min="9" max="9" width="8.6640625" style="240" customWidth="1"/>
    <col min="10" max="10" width="4.88671875" style="240" hidden="1" customWidth="1"/>
    <col min="11" max="11" width="66.5546875" style="240" customWidth="1"/>
    <col min="12" max="12" width="14.44140625" style="244" bestFit="1" customWidth="1"/>
    <col min="13" max="13" width="14" style="244" customWidth="1"/>
    <col min="14" max="14" width="13.33203125" style="244" customWidth="1"/>
    <col min="15" max="15" width="13.44140625" style="244" customWidth="1"/>
    <col min="16" max="16" width="15.5546875" style="244" customWidth="1"/>
    <col min="17" max="16384" width="11.44140625" style="240"/>
  </cols>
  <sheetData>
    <row r="1" spans="1:16" x14ac:dyDescent="0.2">
      <c r="A1" s="1576" t="s">
        <v>572</v>
      </c>
      <c r="B1" s="1576"/>
      <c r="C1" s="1576"/>
      <c r="D1" s="1576"/>
      <c r="E1" s="1576"/>
      <c r="F1" s="1576"/>
      <c r="G1" s="1576"/>
      <c r="H1" s="1576"/>
      <c r="I1" s="1576"/>
      <c r="J1" s="1576"/>
      <c r="K1" s="1576"/>
      <c r="L1" s="1576"/>
      <c r="M1" s="1576"/>
      <c r="N1" s="1576"/>
      <c r="O1" s="1576"/>
      <c r="P1" s="1576"/>
    </row>
    <row r="2" spans="1:16" x14ac:dyDescent="0.2">
      <c r="A2" s="1576" t="s">
        <v>285</v>
      </c>
      <c r="B2" s="1576"/>
      <c r="C2" s="1576"/>
      <c r="D2" s="1576"/>
      <c r="E2" s="1576"/>
      <c r="F2" s="1576"/>
      <c r="G2" s="1576"/>
      <c r="H2" s="1576"/>
      <c r="I2" s="1576"/>
      <c r="J2" s="1576"/>
      <c r="K2" s="1576"/>
      <c r="L2" s="1576"/>
      <c r="M2" s="1576"/>
      <c r="N2" s="1576"/>
      <c r="O2" s="1576"/>
      <c r="P2" s="1576"/>
    </row>
    <row r="3" spans="1:16" x14ac:dyDescent="0.2">
      <c r="A3" s="1576" t="s">
        <v>573</v>
      </c>
      <c r="B3" s="1576"/>
      <c r="C3" s="1576"/>
      <c r="D3" s="1576"/>
      <c r="E3" s="1576"/>
      <c r="F3" s="1576"/>
      <c r="G3" s="1576"/>
      <c r="H3" s="1576"/>
      <c r="I3" s="1576"/>
      <c r="J3" s="1576"/>
      <c r="K3" s="1576"/>
      <c r="L3" s="1576"/>
      <c r="M3" s="1576"/>
      <c r="N3" s="1576"/>
      <c r="O3" s="1576"/>
      <c r="P3" s="1576"/>
    </row>
    <row r="4" spans="1:16" x14ac:dyDescent="0.2">
      <c r="A4" s="1577" t="s">
        <v>1120</v>
      </c>
      <c r="B4" s="1577"/>
      <c r="C4" s="1577"/>
      <c r="D4" s="1577"/>
      <c r="E4" s="1577"/>
      <c r="F4" s="1577"/>
      <c r="G4" s="1577"/>
      <c r="H4" s="1577"/>
      <c r="I4" s="1577"/>
      <c r="J4" s="1577"/>
      <c r="K4" s="1577"/>
      <c r="L4" s="1577"/>
      <c r="M4" s="1577"/>
      <c r="N4" s="1577"/>
      <c r="O4" s="1577"/>
      <c r="P4" s="1577"/>
    </row>
    <row r="5" spans="1:16" x14ac:dyDescent="0.2">
      <c r="A5" s="1577" t="s">
        <v>382</v>
      </c>
      <c r="B5" s="1577"/>
      <c r="C5" s="1577"/>
      <c r="D5" s="1577"/>
      <c r="E5" s="1577"/>
      <c r="F5" s="1577"/>
      <c r="G5" s="1577"/>
      <c r="H5" s="1577"/>
      <c r="I5" s="1577"/>
      <c r="J5" s="1577"/>
      <c r="K5" s="1577"/>
      <c r="L5" s="1577"/>
      <c r="M5" s="240"/>
      <c r="N5" s="240"/>
      <c r="O5" s="240"/>
      <c r="P5" s="240"/>
    </row>
    <row r="6" spans="1:16" ht="22.5" customHeight="1" x14ac:dyDescent="0.2">
      <c r="A6" s="241"/>
      <c r="B6" s="241" t="s">
        <v>382</v>
      </c>
      <c r="C6" s="242"/>
      <c r="D6" s="242"/>
      <c r="E6" s="242"/>
      <c r="F6" s="243" t="s">
        <v>382</v>
      </c>
      <c r="G6" s="242"/>
      <c r="H6" s="242"/>
    </row>
    <row r="7" spans="1:16" ht="36" customHeight="1" x14ac:dyDescent="0.2">
      <c r="A7" s="1566" t="s">
        <v>573</v>
      </c>
      <c r="B7" s="1567"/>
      <c r="C7" s="1567"/>
      <c r="D7" s="1567"/>
      <c r="E7" s="1567"/>
      <c r="F7" s="1568"/>
      <c r="G7" s="300" t="s">
        <v>577</v>
      </c>
      <c r="H7" s="301"/>
      <c r="I7" s="300" t="s">
        <v>577</v>
      </c>
      <c r="J7" s="302"/>
      <c r="K7" s="1572" t="s">
        <v>578</v>
      </c>
      <c r="L7" s="1572" t="s">
        <v>1121</v>
      </c>
      <c r="M7" s="1572" t="s">
        <v>512</v>
      </c>
      <c r="N7" s="1572" t="s">
        <v>522</v>
      </c>
      <c r="O7" s="1572" t="s">
        <v>503</v>
      </c>
      <c r="P7" s="1572" t="s">
        <v>517</v>
      </c>
    </row>
    <row r="8" spans="1:16" ht="20.25" customHeight="1" thickBot="1" x14ac:dyDescent="0.25">
      <c r="A8" s="1569"/>
      <c r="B8" s="1570"/>
      <c r="C8" s="1570"/>
      <c r="D8" s="1570"/>
      <c r="E8" s="1570"/>
      <c r="F8" s="1571"/>
      <c r="G8" s="300" t="s">
        <v>579</v>
      </c>
      <c r="H8" s="303"/>
      <c r="I8" s="304" t="s">
        <v>580</v>
      </c>
      <c r="J8" s="305"/>
      <c r="K8" s="1573"/>
      <c r="L8" s="1573"/>
      <c r="M8" s="1573"/>
      <c r="N8" s="1573"/>
      <c r="O8" s="1573"/>
      <c r="P8" s="1573"/>
    </row>
    <row r="9" spans="1:16" ht="12" customHeight="1" x14ac:dyDescent="0.2">
      <c r="A9" s="245"/>
      <c r="B9" s="245"/>
      <c r="C9" s="245"/>
      <c r="D9" s="245"/>
      <c r="E9" s="245"/>
      <c r="F9" s="246"/>
      <c r="G9" s="246"/>
      <c r="H9" s="247"/>
      <c r="I9" s="247"/>
      <c r="J9" s="247"/>
      <c r="K9" s="245"/>
    </row>
    <row r="10" spans="1:16" s="253" customFormat="1" ht="20.100000000000001" customHeight="1" x14ac:dyDescent="0.2">
      <c r="A10" s="313">
        <v>1</v>
      </c>
      <c r="B10" s="1575" t="s">
        <v>581</v>
      </c>
      <c r="C10" s="1575"/>
      <c r="D10" s="1575"/>
      <c r="E10" s="313"/>
      <c r="F10" s="314" t="e">
        <f>+F14+F52+F168+F198</f>
        <v>#REF!</v>
      </c>
      <c r="G10" s="315"/>
      <c r="H10" s="315"/>
      <c r="I10" s="315"/>
      <c r="J10" s="315"/>
      <c r="K10" s="315"/>
      <c r="L10" s="325" t="e">
        <f>+L12+L198</f>
        <v>#REF!</v>
      </c>
      <c r="M10" s="325" t="e">
        <f>+M12+M198</f>
        <v>#REF!</v>
      </c>
      <c r="N10" s="325" t="e">
        <f>+N12+N198</f>
        <v>#REF!</v>
      </c>
      <c r="O10" s="325" t="e">
        <f>+O12+O198</f>
        <v>#REF!</v>
      </c>
      <c r="P10" s="325" t="e">
        <f>+P12+P198</f>
        <v>#REF!</v>
      </c>
    </row>
    <row r="11" spans="1:16" ht="12" customHeight="1" x14ac:dyDescent="0.2">
      <c r="A11" s="245"/>
      <c r="B11" s="245"/>
      <c r="C11" s="245"/>
      <c r="D11" s="245"/>
      <c r="E11" s="245"/>
      <c r="F11" s="246"/>
      <c r="G11" s="247"/>
      <c r="H11" s="247"/>
      <c r="I11" s="247"/>
      <c r="J11" s="247"/>
      <c r="K11" s="245"/>
    </row>
    <row r="12" spans="1:16" s="259" customFormat="1" ht="12" customHeight="1" x14ac:dyDescent="0.2">
      <c r="A12" s="254"/>
      <c r="B12" s="255" t="s">
        <v>582</v>
      </c>
      <c r="C12" s="256" t="s">
        <v>583</v>
      </c>
      <c r="D12" s="256"/>
      <c r="E12" s="256"/>
      <c r="F12" s="257" t="e">
        <f>+F16+F38+F52</f>
        <v>#REF!</v>
      </c>
      <c r="G12" s="254"/>
      <c r="H12" s="254"/>
      <c r="I12" s="337"/>
      <c r="J12" s="254"/>
      <c r="K12" s="254"/>
      <c r="L12" s="324" t="e">
        <f>+L14+L52+L115</f>
        <v>#REF!</v>
      </c>
      <c r="M12" s="324" t="e">
        <f>+M14+M52+M115</f>
        <v>#REF!</v>
      </c>
      <c r="N12" s="324" t="e">
        <f>+N14+N52+N115</f>
        <v>#REF!</v>
      </c>
      <c r="O12" s="324" t="e">
        <f>+O14+O52+O115</f>
        <v>#REF!</v>
      </c>
      <c r="P12" s="324" t="e">
        <f>+P14+P52+P115</f>
        <v>#REF!</v>
      </c>
    </row>
    <row r="13" spans="1:16" ht="12" customHeight="1" x14ac:dyDescent="0.2">
      <c r="A13" s="245"/>
      <c r="B13" s="245"/>
      <c r="C13" s="245"/>
      <c r="D13" s="245"/>
      <c r="E13" s="245"/>
      <c r="F13" s="246"/>
      <c r="G13" s="247"/>
      <c r="H13" s="247"/>
      <c r="I13" s="247"/>
      <c r="J13" s="247"/>
      <c r="K13" s="245"/>
    </row>
    <row r="14" spans="1:16" ht="12" customHeight="1" x14ac:dyDescent="0.2">
      <c r="A14" s="260"/>
      <c r="B14" s="260"/>
      <c r="C14" s="261" t="s">
        <v>584</v>
      </c>
      <c r="D14" s="262" t="s">
        <v>53</v>
      </c>
      <c r="E14" s="262"/>
      <c r="F14" s="263" t="e">
        <f>+F16+F38</f>
        <v>#REF!</v>
      </c>
      <c r="G14" s="261" t="s">
        <v>584</v>
      </c>
      <c r="H14" s="261"/>
      <c r="I14" s="261">
        <v>0</v>
      </c>
      <c r="J14" s="261"/>
      <c r="K14" s="264" t="s">
        <v>53</v>
      </c>
      <c r="L14" s="263" t="e">
        <f>+L17+L23+L29+L39+L35+L45</f>
        <v>#REF!</v>
      </c>
      <c r="M14" s="263" t="e">
        <f>+M17+M23+M29+M39+M35+M45</f>
        <v>#REF!</v>
      </c>
      <c r="N14" s="263" t="e">
        <f>+N17+N23+N29+N39+N35+N45</f>
        <v>#REF!</v>
      </c>
      <c r="O14" s="263" t="e">
        <f>+O17+O23+O29+O39+O35+O45</f>
        <v>#REF!</v>
      </c>
      <c r="P14" s="263" t="e">
        <f>+P17+P23+P29+P39+P35+P45</f>
        <v>#REF!</v>
      </c>
    </row>
    <row r="15" spans="1:16" ht="12" customHeight="1" x14ac:dyDescent="0.2">
      <c r="A15" s="245"/>
      <c r="B15" s="245"/>
      <c r="C15" s="245"/>
      <c r="D15" s="245"/>
      <c r="E15" s="245"/>
      <c r="G15" s="247"/>
      <c r="H15" s="247"/>
      <c r="I15" s="247"/>
      <c r="J15" s="247"/>
      <c r="K15" s="245"/>
    </row>
    <row r="16" spans="1:16" s="269" customFormat="1" ht="12" customHeight="1" x14ac:dyDescent="0.2">
      <c r="A16" s="265"/>
      <c r="B16" s="265"/>
      <c r="C16" s="265"/>
      <c r="D16" s="266" t="s">
        <v>585</v>
      </c>
      <c r="E16" s="265" t="s">
        <v>586</v>
      </c>
      <c r="F16" s="267" t="e">
        <f>+L17+L23+L29+L35</f>
        <v>#REF!</v>
      </c>
      <c r="G16" s="265"/>
      <c r="H16" s="265"/>
      <c r="I16" s="265"/>
      <c r="J16" s="265"/>
      <c r="K16" s="265"/>
      <c r="L16" s="267" t="e">
        <f>+L17+L23+L29+L35</f>
        <v>#REF!</v>
      </c>
      <c r="M16" s="267" t="e">
        <f>+M17+M23+M29+M35</f>
        <v>#REF!</v>
      </c>
      <c r="N16" s="267" t="e">
        <f>+N17+N23+N29+N35</f>
        <v>#REF!</v>
      </c>
      <c r="O16" s="267" t="e">
        <f>+O17+O23+O29+O35</f>
        <v>#REF!</v>
      </c>
      <c r="P16" s="267" t="e">
        <f>+P17+P23+P29+P35</f>
        <v>#REF!</v>
      </c>
    </row>
    <row r="17" spans="1:16" ht="12" customHeight="1" x14ac:dyDescent="0.2">
      <c r="A17" s="245"/>
      <c r="B17" s="245"/>
      <c r="C17" s="245"/>
      <c r="D17" s="245"/>
      <c r="E17" s="245"/>
      <c r="G17" s="270" t="s">
        <v>585</v>
      </c>
      <c r="H17" s="270"/>
      <c r="I17" s="270" t="s">
        <v>587</v>
      </c>
      <c r="J17" s="270"/>
      <c r="K17" s="271" t="s">
        <v>588</v>
      </c>
      <c r="L17" s="272" t="e">
        <f>+L18+L19+L20+L22</f>
        <v>#REF!</v>
      </c>
      <c r="M17" s="272" t="e">
        <f>+M18+M19+M20+M22</f>
        <v>#REF!</v>
      </c>
      <c r="N17" s="272" t="e">
        <f>+N18+N19+N20+N22</f>
        <v>#REF!</v>
      </c>
      <c r="O17" s="272" t="e">
        <f>+O18+O19+O20+O22</f>
        <v>#REF!</v>
      </c>
      <c r="P17" s="272" t="e">
        <f>+P18+P19+P20+P22</f>
        <v>#REF!</v>
      </c>
    </row>
    <row r="18" spans="1:16" ht="12" customHeight="1" x14ac:dyDescent="0.2">
      <c r="A18" s="245"/>
      <c r="B18" s="245"/>
      <c r="C18" s="245"/>
      <c r="D18" s="245"/>
      <c r="E18" s="245"/>
      <c r="G18" s="273" t="s">
        <v>585</v>
      </c>
      <c r="H18" s="273"/>
      <c r="I18" s="273" t="s">
        <v>72</v>
      </c>
      <c r="J18" s="273"/>
      <c r="K18" s="245" t="s">
        <v>589</v>
      </c>
      <c r="L18" s="244" t="e">
        <f>SUM(M18:P18)</f>
        <v>#REF!</v>
      </c>
      <c r="M18" s="244" t="e">
        <v>#REF!</v>
      </c>
      <c r="N18" s="244" t="e">
        <v>#REF!</v>
      </c>
      <c r="O18" s="244" t="e">
        <v>#REF!</v>
      </c>
      <c r="P18" s="244" t="e">
        <v>#REF!</v>
      </c>
    </row>
    <row r="19" spans="1:16" hidden="1" x14ac:dyDescent="0.2">
      <c r="A19" s="245"/>
      <c r="B19" s="245"/>
      <c r="C19" s="245"/>
      <c r="D19" s="245"/>
      <c r="E19" s="245"/>
      <c r="G19" s="273" t="s">
        <v>585</v>
      </c>
      <c r="H19" s="273"/>
      <c r="I19" s="273" t="s">
        <v>590</v>
      </c>
      <c r="J19" s="273"/>
      <c r="K19" s="245" t="s">
        <v>591</v>
      </c>
      <c r="L19" s="244">
        <v>0</v>
      </c>
      <c r="M19" s="244" t="e">
        <v>#REF!</v>
      </c>
    </row>
    <row r="20" spans="1:16" ht="12" customHeight="1" x14ac:dyDescent="0.2">
      <c r="A20" s="245"/>
      <c r="B20" s="245"/>
      <c r="C20" s="245"/>
      <c r="D20" s="245"/>
      <c r="E20" s="245"/>
      <c r="G20" s="273" t="s">
        <v>585</v>
      </c>
      <c r="H20" s="273"/>
      <c r="I20" s="273" t="s">
        <v>73</v>
      </c>
      <c r="J20" s="273"/>
      <c r="K20" s="245" t="s">
        <v>592</v>
      </c>
      <c r="L20" s="244" t="e">
        <f>SUM(M20:P20)</f>
        <v>#REF!</v>
      </c>
      <c r="M20" s="244" t="e">
        <v>#REF!</v>
      </c>
      <c r="N20" s="244" t="e">
        <v>#REF!</v>
      </c>
      <c r="O20" s="244" t="e">
        <v>#REF!</v>
      </c>
    </row>
    <row r="21" spans="1:16" ht="12" hidden="1" customHeight="1" x14ac:dyDescent="0.2">
      <c r="A21" s="245"/>
      <c r="B21" s="245"/>
      <c r="C21" s="245"/>
      <c r="D21" s="245"/>
      <c r="E21" s="245"/>
      <c r="G21" s="273" t="s">
        <v>585</v>
      </c>
      <c r="H21" s="273"/>
      <c r="I21" s="273" t="s">
        <v>593</v>
      </c>
      <c r="J21" s="273"/>
      <c r="K21" s="245" t="s">
        <v>594</v>
      </c>
      <c r="L21" s="244">
        <v>0</v>
      </c>
      <c r="M21" s="244" t="e">
        <v>#REF!</v>
      </c>
    </row>
    <row r="22" spans="1:16" x14ac:dyDescent="0.2">
      <c r="A22" s="245"/>
      <c r="B22" s="245"/>
      <c r="C22" s="245"/>
      <c r="D22" s="245"/>
      <c r="E22" s="245"/>
      <c r="G22" s="273" t="s">
        <v>585</v>
      </c>
      <c r="H22" s="273"/>
      <c r="I22" s="273" t="s">
        <v>391</v>
      </c>
      <c r="J22" s="273"/>
      <c r="K22" s="245" t="s">
        <v>595</v>
      </c>
      <c r="L22" s="244" t="e">
        <f>SUM(M22:P22)</f>
        <v>#REF!</v>
      </c>
      <c r="M22" s="244" t="e">
        <v>#REF!</v>
      </c>
      <c r="N22" s="244" t="e">
        <v>#REF!</v>
      </c>
      <c r="O22" s="244" t="e">
        <v>#REF!</v>
      </c>
    </row>
    <row r="23" spans="1:16" ht="12" customHeight="1" x14ac:dyDescent="0.2">
      <c r="A23" s="245"/>
      <c r="B23" s="245"/>
      <c r="C23" s="245"/>
      <c r="D23" s="245"/>
      <c r="E23" s="245"/>
      <c r="G23" s="274" t="s">
        <v>585</v>
      </c>
      <c r="H23" s="274"/>
      <c r="I23" s="274" t="s">
        <v>74</v>
      </c>
      <c r="J23" s="274"/>
      <c r="K23" s="271" t="s">
        <v>75</v>
      </c>
      <c r="L23" s="272" t="e">
        <f>+L24+L25+L26+L27+L28</f>
        <v>#REF!</v>
      </c>
      <c r="M23" s="272" t="e">
        <f>+M24+M25+M26+M27+M28</f>
        <v>#REF!</v>
      </c>
      <c r="N23" s="272" t="e">
        <f>+N24+N25+N26+N27+N28</f>
        <v>#REF!</v>
      </c>
      <c r="O23" s="272" t="e">
        <f>+O24+O25+O26+O27+O28</f>
        <v>#REF!</v>
      </c>
      <c r="P23" s="272" t="e">
        <f>+P24+P25+P26+P27+P28</f>
        <v>#REF!</v>
      </c>
    </row>
    <row r="24" spans="1:16" ht="12" customHeight="1" x14ac:dyDescent="0.2">
      <c r="A24" s="245"/>
      <c r="B24" s="245"/>
      <c r="C24" s="245"/>
      <c r="D24" s="245"/>
      <c r="E24" s="245"/>
      <c r="G24" s="273" t="s">
        <v>585</v>
      </c>
      <c r="H24" s="273"/>
      <c r="I24" s="273" t="s">
        <v>76</v>
      </c>
      <c r="J24" s="273"/>
      <c r="K24" s="245" t="s">
        <v>596</v>
      </c>
      <c r="L24" s="244" t="e">
        <f>SUM(M24:P24)</f>
        <v>#REF!</v>
      </c>
      <c r="M24" s="244" t="e">
        <v>#REF!</v>
      </c>
      <c r="N24" s="244" t="e">
        <v>#REF!</v>
      </c>
      <c r="O24" s="244" t="e">
        <v>#REF!</v>
      </c>
      <c r="P24" s="244" t="e">
        <v>#REF!</v>
      </c>
    </row>
    <row r="25" spans="1:16" x14ac:dyDescent="0.2">
      <c r="A25" s="245"/>
      <c r="B25" s="245"/>
      <c r="C25" s="245"/>
      <c r="D25" s="245"/>
      <c r="E25" s="245"/>
      <c r="G25" s="273" t="s">
        <v>585</v>
      </c>
      <c r="H25" s="273"/>
      <c r="I25" s="273" t="s">
        <v>567</v>
      </c>
      <c r="J25" s="273"/>
      <c r="K25" s="245" t="s">
        <v>568</v>
      </c>
      <c r="L25" s="244" t="e">
        <f>SUM(M25:P25)</f>
        <v>#REF!</v>
      </c>
      <c r="M25" s="244" t="e">
        <v>#REF!</v>
      </c>
      <c r="N25" s="244" t="e">
        <v>#REF!</v>
      </c>
      <c r="O25" s="244" t="e">
        <v>#REF!</v>
      </c>
      <c r="P25" s="244" t="e">
        <v>#REF!</v>
      </c>
    </row>
    <row r="26" spans="1:16" hidden="1" x14ac:dyDescent="0.2">
      <c r="A26" s="245"/>
      <c r="B26" s="245"/>
      <c r="C26" s="245"/>
      <c r="D26" s="245"/>
      <c r="E26" s="245"/>
      <c r="G26" s="273" t="s">
        <v>585</v>
      </c>
      <c r="H26" s="273"/>
      <c r="I26" s="273" t="s">
        <v>571</v>
      </c>
      <c r="J26" s="273"/>
      <c r="K26" s="245" t="s">
        <v>597</v>
      </c>
      <c r="L26" s="244">
        <v>0</v>
      </c>
      <c r="M26" s="244">
        <v>0</v>
      </c>
      <c r="O26" s="244" t="e">
        <v>#REF!</v>
      </c>
    </row>
    <row r="27" spans="1:16" hidden="1" x14ac:dyDescent="0.2">
      <c r="A27" s="245"/>
      <c r="B27" s="245"/>
      <c r="C27" s="245"/>
      <c r="D27" s="245"/>
      <c r="E27" s="245"/>
      <c r="G27" s="273" t="s">
        <v>585</v>
      </c>
      <c r="H27" s="273"/>
      <c r="I27" s="273" t="s">
        <v>598</v>
      </c>
      <c r="J27" s="273"/>
      <c r="K27" s="245" t="s">
        <v>599</v>
      </c>
      <c r="L27" s="244">
        <v>0</v>
      </c>
      <c r="M27" s="244" t="e">
        <v>#REF!</v>
      </c>
      <c r="O27" s="244" t="e">
        <v>#REF!</v>
      </c>
    </row>
    <row r="28" spans="1:16" ht="12" customHeight="1" x14ac:dyDescent="0.2">
      <c r="A28" s="245"/>
      <c r="B28" s="245"/>
      <c r="C28" s="245"/>
      <c r="D28" s="245"/>
      <c r="E28" s="245"/>
      <c r="G28" s="273" t="s">
        <v>585</v>
      </c>
      <c r="H28" s="273"/>
      <c r="I28" s="273" t="s">
        <v>77</v>
      </c>
      <c r="J28" s="273"/>
      <c r="K28" s="245" t="s">
        <v>17</v>
      </c>
      <c r="L28" s="244" t="e">
        <f>SUM(M28:P28)</f>
        <v>#REF!</v>
      </c>
      <c r="M28" s="244" t="e">
        <v>#REF!</v>
      </c>
      <c r="O28" s="244" t="e">
        <v>#REF!</v>
      </c>
    </row>
    <row r="29" spans="1:16" ht="12" customHeight="1" x14ac:dyDescent="0.2">
      <c r="A29" s="245"/>
      <c r="B29" s="245"/>
      <c r="C29" s="245"/>
      <c r="D29" s="245"/>
      <c r="E29" s="245"/>
      <c r="G29" s="274" t="s">
        <v>585</v>
      </c>
      <c r="H29" s="274"/>
      <c r="I29" s="274" t="s">
        <v>78</v>
      </c>
      <c r="J29" s="274"/>
      <c r="K29" s="271" t="s">
        <v>79</v>
      </c>
      <c r="L29" s="272" t="e">
        <f>+L30+L31+L32+L33+L34</f>
        <v>#REF!</v>
      </c>
      <c r="M29" s="272" t="e">
        <f>+M30+M31+M32+M33+M34</f>
        <v>#REF!</v>
      </c>
      <c r="N29" s="272" t="e">
        <f>+N30+N31+N32+N33+N34</f>
        <v>#REF!</v>
      </c>
      <c r="O29" s="272" t="e">
        <f>+O30+O31+O32+O33+O34</f>
        <v>#REF!</v>
      </c>
      <c r="P29" s="272" t="e">
        <f>+P30+P31+P32+P33+P34</f>
        <v>#REF!</v>
      </c>
    </row>
    <row r="30" spans="1:16" ht="12" customHeight="1" x14ac:dyDescent="0.2">
      <c r="A30" s="245"/>
      <c r="B30" s="245"/>
      <c r="C30" s="245"/>
      <c r="D30" s="245"/>
      <c r="E30" s="245"/>
      <c r="G30" s="273" t="s">
        <v>585</v>
      </c>
      <c r="H30" s="273"/>
      <c r="I30" s="273" t="s">
        <v>80</v>
      </c>
      <c r="J30" s="273"/>
      <c r="K30" s="245" t="s">
        <v>443</v>
      </c>
      <c r="L30" s="244" t="e">
        <f>SUM(M30:P30)</f>
        <v>#REF!</v>
      </c>
      <c r="M30" s="244" t="e">
        <v>#REF!</v>
      </c>
      <c r="N30" s="244" t="e">
        <v>#REF!</v>
      </c>
      <c r="O30" s="244" t="e">
        <v>#REF!</v>
      </c>
      <c r="P30" s="244" t="e">
        <v>#REF!</v>
      </c>
    </row>
    <row r="31" spans="1:16" ht="12" customHeight="1" x14ac:dyDescent="0.2">
      <c r="A31" s="245"/>
      <c r="B31" s="245"/>
      <c r="C31" s="245"/>
      <c r="D31" s="245"/>
      <c r="E31" s="245"/>
      <c r="G31" s="273" t="s">
        <v>585</v>
      </c>
      <c r="H31" s="273"/>
      <c r="I31" s="273" t="s">
        <v>82</v>
      </c>
      <c r="J31" s="273"/>
      <c r="K31" s="245" t="s">
        <v>444</v>
      </c>
      <c r="L31" s="244" t="e">
        <f>SUM(M31:P31)</f>
        <v>#REF!</v>
      </c>
      <c r="M31" s="244" t="e">
        <v>#REF!</v>
      </c>
      <c r="N31" s="244" t="e">
        <v>#REF!</v>
      </c>
      <c r="O31" s="244" t="e">
        <v>#REF!</v>
      </c>
      <c r="P31" s="244" t="e">
        <v>#REF!</v>
      </c>
    </row>
    <row r="32" spans="1:16" ht="12" customHeight="1" x14ac:dyDescent="0.2">
      <c r="A32" s="245"/>
      <c r="B32" s="245"/>
      <c r="C32" s="245"/>
      <c r="D32" s="245"/>
      <c r="E32" s="245"/>
      <c r="G32" s="273" t="s">
        <v>585</v>
      </c>
      <c r="H32" s="273"/>
      <c r="I32" s="273" t="s">
        <v>84</v>
      </c>
      <c r="J32" s="273"/>
      <c r="K32" s="245" t="s">
        <v>14</v>
      </c>
      <c r="L32" s="244" t="e">
        <f>SUM(M32:P32)</f>
        <v>#REF!</v>
      </c>
      <c r="M32" s="244" t="e">
        <v>#REF!</v>
      </c>
      <c r="N32" s="244" t="e">
        <v>#REF!</v>
      </c>
      <c r="O32" s="244" t="e">
        <v>#REF!</v>
      </c>
      <c r="P32" s="244" t="e">
        <v>#REF!</v>
      </c>
    </row>
    <row r="33" spans="1:16" ht="12" customHeight="1" x14ac:dyDescent="0.2">
      <c r="A33" s="245"/>
      <c r="B33" s="245"/>
      <c r="C33" s="245"/>
      <c r="D33" s="245"/>
      <c r="E33" s="245"/>
      <c r="G33" s="273" t="s">
        <v>585</v>
      </c>
      <c r="H33" s="273"/>
      <c r="I33" s="273" t="s">
        <v>86</v>
      </c>
      <c r="J33" s="273"/>
      <c r="K33" s="245" t="s">
        <v>445</v>
      </c>
      <c r="L33" s="244" t="e">
        <f>SUM(M33:P33)</f>
        <v>#REF!</v>
      </c>
      <c r="M33" s="244" t="e">
        <v>#REF!</v>
      </c>
      <c r="N33" s="244" t="e">
        <v>#REF!</v>
      </c>
      <c r="O33" s="244" t="e">
        <v>#REF!</v>
      </c>
      <c r="P33" s="244" t="e">
        <v>#REF!</v>
      </c>
    </row>
    <row r="34" spans="1:16" ht="12" customHeight="1" x14ac:dyDescent="0.2">
      <c r="A34" s="245"/>
      <c r="B34" s="245"/>
      <c r="C34" s="245"/>
      <c r="D34" s="245"/>
      <c r="E34" s="245"/>
      <c r="G34" s="273" t="s">
        <v>585</v>
      </c>
      <c r="H34" s="273"/>
      <c r="I34" s="273" t="s">
        <v>87</v>
      </c>
      <c r="J34" s="273"/>
      <c r="K34" s="245" t="s">
        <v>600</v>
      </c>
      <c r="L34" s="244" t="e">
        <f>SUM(M34:P34)</f>
        <v>#REF!</v>
      </c>
      <c r="M34" s="244" t="e">
        <v>#REF!</v>
      </c>
      <c r="N34" s="244" t="e">
        <v>#REF!</v>
      </c>
      <c r="O34" s="244" t="e">
        <v>#REF!</v>
      </c>
      <c r="P34" s="244" t="e">
        <v>#REF!</v>
      </c>
    </row>
    <row r="35" spans="1:16" ht="12" customHeight="1" x14ac:dyDescent="0.2">
      <c r="A35" s="245"/>
      <c r="B35" s="245"/>
      <c r="C35" s="245"/>
      <c r="D35" s="245"/>
      <c r="E35" s="245"/>
      <c r="G35" s="274" t="s">
        <v>585</v>
      </c>
      <c r="H35" s="274"/>
      <c r="I35" s="270" t="s">
        <v>393</v>
      </c>
      <c r="J35" s="270"/>
      <c r="K35" s="271" t="s">
        <v>394</v>
      </c>
      <c r="L35" s="272" t="e">
        <f>+L36+L37</f>
        <v>#REF!</v>
      </c>
      <c r="M35" s="272" t="e">
        <f>+M36+M37</f>
        <v>#REF!</v>
      </c>
      <c r="N35" s="272" t="e">
        <f>+N36+N37</f>
        <v>#REF!</v>
      </c>
      <c r="O35" s="272" t="e">
        <f>+O36+O37</f>
        <v>#REF!</v>
      </c>
      <c r="P35" s="272" t="e">
        <f>+P36+P37</f>
        <v>#REF!</v>
      </c>
    </row>
    <row r="36" spans="1:16" ht="12" hidden="1" customHeight="1" x14ac:dyDescent="0.2">
      <c r="A36" s="245"/>
      <c r="B36" s="245"/>
      <c r="C36" s="245"/>
      <c r="D36" s="245"/>
      <c r="E36" s="245"/>
      <c r="G36" s="273" t="s">
        <v>585</v>
      </c>
      <c r="H36" s="273"/>
      <c r="I36" s="273" t="s">
        <v>601</v>
      </c>
      <c r="J36" s="273"/>
      <c r="K36" s="245" t="s">
        <v>602</v>
      </c>
      <c r="L36" s="244">
        <v>0</v>
      </c>
    </row>
    <row r="37" spans="1:16" ht="12" customHeight="1" x14ac:dyDescent="0.2">
      <c r="A37" s="245"/>
      <c r="B37" s="245"/>
      <c r="C37" s="245"/>
      <c r="D37" s="245"/>
      <c r="E37" s="245"/>
      <c r="G37" s="273" t="s">
        <v>585</v>
      </c>
      <c r="H37" s="273"/>
      <c r="I37" s="273" t="s">
        <v>395</v>
      </c>
      <c r="J37" s="273"/>
      <c r="K37" s="245" t="s">
        <v>396</v>
      </c>
      <c r="L37" s="244" t="e">
        <f>SUM(M37:P37)</f>
        <v>#REF!</v>
      </c>
      <c r="M37" s="244" t="e">
        <v>#REF!</v>
      </c>
      <c r="N37" s="244" t="e">
        <v>#REF!</v>
      </c>
      <c r="O37" s="244" t="e">
        <v>#REF!</v>
      </c>
      <c r="P37" s="244" t="e">
        <v>#REF!</v>
      </c>
    </row>
    <row r="38" spans="1:16" s="269" customFormat="1" ht="12" customHeight="1" x14ac:dyDescent="0.2">
      <c r="A38" s="265"/>
      <c r="B38" s="265"/>
      <c r="C38" s="265"/>
      <c r="D38" s="266" t="s">
        <v>603</v>
      </c>
      <c r="E38" s="299" t="s">
        <v>604</v>
      </c>
      <c r="F38" s="265" t="e">
        <f>+L39+L45</f>
        <v>#REF!</v>
      </c>
      <c r="G38" s="267" t="s">
        <v>382</v>
      </c>
      <c r="H38" s="265"/>
      <c r="I38" s="265"/>
      <c r="J38" s="265"/>
      <c r="K38" s="265"/>
      <c r="L38" s="275" t="e">
        <f>+L39+L45</f>
        <v>#REF!</v>
      </c>
      <c r="M38" s="275" t="e">
        <f>+M39+M45</f>
        <v>#REF!</v>
      </c>
      <c r="N38" s="275" t="e">
        <f>+N39+N45</f>
        <v>#REF!</v>
      </c>
      <c r="O38" s="275" t="e">
        <f>+O39+O45</f>
        <v>#REF!</v>
      </c>
      <c r="P38" s="275" t="e">
        <f>+P39+P45</f>
        <v>#REF!</v>
      </c>
    </row>
    <row r="39" spans="1:16" ht="12" customHeight="1" x14ac:dyDescent="0.2">
      <c r="A39" s="245"/>
      <c r="B39" s="245"/>
      <c r="C39" s="245"/>
      <c r="D39" s="245"/>
      <c r="E39" s="273"/>
      <c r="G39" s="276" t="s">
        <v>603</v>
      </c>
      <c r="H39" s="276"/>
      <c r="I39" s="276" t="s">
        <v>89</v>
      </c>
      <c r="J39" s="276"/>
      <c r="K39" s="271" t="s">
        <v>605</v>
      </c>
      <c r="L39" s="272" t="e">
        <f>SUM(L40:L44)</f>
        <v>#REF!</v>
      </c>
      <c r="M39" s="272" t="e">
        <f>SUM(M40:M44)</f>
        <v>#REF!</v>
      </c>
      <c r="N39" s="272" t="e">
        <f>SUM(N40:N44)</f>
        <v>#REF!</v>
      </c>
      <c r="O39" s="272" t="e">
        <f>SUM(O40:O44)</f>
        <v>#REF!</v>
      </c>
      <c r="P39" s="272" t="e">
        <f>SUM(P40:P44)</f>
        <v>#REF!</v>
      </c>
    </row>
    <row r="40" spans="1:16" ht="12" customHeight="1" x14ac:dyDescent="0.2">
      <c r="A40" s="245"/>
      <c r="B40" s="245"/>
      <c r="C40" s="245"/>
      <c r="D40" s="245"/>
      <c r="E40" s="273"/>
      <c r="G40" s="277" t="s">
        <v>603</v>
      </c>
      <c r="H40" s="277"/>
      <c r="I40" s="277" t="s">
        <v>90</v>
      </c>
      <c r="J40" s="277"/>
      <c r="K40" s="245" t="s">
        <v>606</v>
      </c>
      <c r="L40" s="244" t="e">
        <f>SUM(M40:P40)</f>
        <v>#REF!</v>
      </c>
      <c r="M40" s="244" t="e">
        <v>#REF!</v>
      </c>
      <c r="N40" s="244" t="e">
        <v>#REF!</v>
      </c>
      <c r="O40" s="244" t="e">
        <v>#REF!</v>
      </c>
      <c r="P40" s="244" t="e">
        <v>#REF!</v>
      </c>
    </row>
    <row r="41" spans="1:16" ht="12" customHeight="1" x14ac:dyDescent="0.2">
      <c r="A41" s="245"/>
      <c r="B41" s="245"/>
      <c r="C41" s="245"/>
      <c r="D41" s="245"/>
      <c r="E41" s="273"/>
      <c r="G41" s="277" t="s">
        <v>603</v>
      </c>
      <c r="H41" s="277"/>
      <c r="I41" s="277" t="s">
        <v>92</v>
      </c>
      <c r="J41" s="277"/>
      <c r="K41" s="245" t="s">
        <v>607</v>
      </c>
      <c r="L41" s="244" t="e">
        <f>SUM(M41:P41)</f>
        <v>#REF!</v>
      </c>
      <c r="M41" s="244" t="e">
        <v>#REF!</v>
      </c>
      <c r="N41" s="244" t="e">
        <v>#REF!</v>
      </c>
      <c r="O41" s="244" t="e">
        <v>#REF!</v>
      </c>
      <c r="P41" s="244" t="e">
        <v>#REF!</v>
      </c>
    </row>
    <row r="42" spans="1:16" ht="12" customHeight="1" x14ac:dyDescent="0.2">
      <c r="A42" s="245"/>
      <c r="B42" s="245"/>
      <c r="C42" s="245"/>
      <c r="D42" s="245"/>
      <c r="E42" s="273"/>
      <c r="G42" s="277" t="s">
        <v>603</v>
      </c>
      <c r="H42" s="277"/>
      <c r="I42" s="277" t="s">
        <v>93</v>
      </c>
      <c r="J42" s="277"/>
      <c r="K42" s="245" t="s">
        <v>608</v>
      </c>
      <c r="L42" s="244" t="e">
        <f>SUM(M42:P42)</f>
        <v>#REF!</v>
      </c>
      <c r="M42" s="244" t="e">
        <v>#REF!</v>
      </c>
      <c r="N42" s="244" t="e">
        <v>#REF!</v>
      </c>
      <c r="O42" s="244" t="e">
        <v>#REF!</v>
      </c>
      <c r="P42" s="244" t="e">
        <v>#REF!</v>
      </c>
    </row>
    <row r="43" spans="1:16" ht="12" customHeight="1" x14ac:dyDescent="0.2">
      <c r="A43" s="245"/>
      <c r="B43" s="245"/>
      <c r="C43" s="245"/>
      <c r="D43" s="245"/>
      <c r="E43" s="273"/>
      <c r="G43" s="277" t="s">
        <v>603</v>
      </c>
      <c r="H43" s="277"/>
      <c r="I43" s="277" t="s">
        <v>94</v>
      </c>
      <c r="J43" s="277"/>
      <c r="K43" s="245" t="s">
        <v>609</v>
      </c>
      <c r="L43" s="244" t="e">
        <f>SUM(M43:P43)</f>
        <v>#REF!</v>
      </c>
      <c r="M43" s="244" t="e">
        <v>#REF!</v>
      </c>
      <c r="N43" s="244" t="e">
        <v>#REF!</v>
      </c>
      <c r="O43" s="244" t="e">
        <v>#REF!</v>
      </c>
      <c r="P43" s="244" t="e">
        <v>#REF!</v>
      </c>
    </row>
    <row r="44" spans="1:16" ht="12" customHeight="1" x14ac:dyDescent="0.2">
      <c r="A44" s="245"/>
      <c r="B44" s="245"/>
      <c r="C44" s="245"/>
      <c r="D44" s="245"/>
      <c r="E44" s="273"/>
      <c r="G44" s="277" t="s">
        <v>603</v>
      </c>
      <c r="H44" s="277"/>
      <c r="I44" s="277" t="s">
        <v>96</v>
      </c>
      <c r="J44" s="277"/>
      <c r="K44" s="245" t="s">
        <v>610</v>
      </c>
      <c r="L44" s="244" t="e">
        <f>SUM(M44:P44)</f>
        <v>#REF!</v>
      </c>
      <c r="M44" s="244" t="e">
        <v>#REF!</v>
      </c>
      <c r="N44" s="244" t="e">
        <v>#REF!</v>
      </c>
      <c r="O44" s="244" t="e">
        <v>#REF!</v>
      </c>
      <c r="P44" s="244" t="e">
        <v>#REF!</v>
      </c>
    </row>
    <row r="45" spans="1:16" ht="12" customHeight="1" x14ac:dyDescent="0.2">
      <c r="A45" s="245"/>
      <c r="B45" s="245"/>
      <c r="C45" s="245"/>
      <c r="D45" s="245"/>
      <c r="E45" s="273"/>
      <c r="G45" s="276" t="s">
        <v>603</v>
      </c>
      <c r="H45" s="276"/>
      <c r="I45" s="276" t="s">
        <v>98</v>
      </c>
      <c r="J45" s="276"/>
      <c r="K45" s="271" t="s">
        <v>1074</v>
      </c>
      <c r="L45" s="272" t="e">
        <f>SUM(L46:L50)</f>
        <v>#REF!</v>
      </c>
      <c r="M45" s="272" t="e">
        <f>SUM(M46:M50)</f>
        <v>#REF!</v>
      </c>
      <c r="N45" s="272" t="e">
        <f>SUM(N46:N50)</f>
        <v>#REF!</v>
      </c>
      <c r="O45" s="272" t="e">
        <f>SUM(O46:O50)</f>
        <v>#REF!</v>
      </c>
      <c r="P45" s="272" t="e">
        <f>SUM(P46:P50)</f>
        <v>#REF!</v>
      </c>
    </row>
    <row r="46" spans="1:16" ht="12" customHeight="1" x14ac:dyDescent="0.2">
      <c r="A46" s="245"/>
      <c r="B46" s="245"/>
      <c r="C46" s="245"/>
      <c r="D46" s="245"/>
      <c r="E46" s="273"/>
      <c r="G46" s="277" t="s">
        <v>603</v>
      </c>
      <c r="H46" s="277"/>
      <c r="I46" s="277" t="s">
        <v>510</v>
      </c>
      <c r="J46" s="277"/>
      <c r="K46" s="245" t="s">
        <v>611</v>
      </c>
      <c r="L46" s="244" t="e">
        <f>SUM(M46:P46)</f>
        <v>#REF!</v>
      </c>
      <c r="M46" s="244" t="e">
        <v>#REF!</v>
      </c>
      <c r="N46" s="244" t="e">
        <v>#REF!</v>
      </c>
      <c r="O46" s="244" t="e">
        <v>#REF!</v>
      </c>
      <c r="P46" s="244" t="e">
        <v>#REF!</v>
      </c>
    </row>
    <row r="47" spans="1:16" ht="12" customHeight="1" x14ac:dyDescent="0.2">
      <c r="A47" s="245"/>
      <c r="B47" s="245"/>
      <c r="C47" s="245"/>
      <c r="D47" s="245"/>
      <c r="E47" s="273"/>
      <c r="G47" s="277" t="s">
        <v>603</v>
      </c>
      <c r="H47" s="277"/>
      <c r="I47" s="277" t="s">
        <v>100</v>
      </c>
      <c r="J47" s="277"/>
      <c r="K47" s="245" t="s">
        <v>612</v>
      </c>
      <c r="L47" s="244" t="e">
        <f>SUM(M47:P47)</f>
        <v>#REF!</v>
      </c>
      <c r="M47" s="244" t="e">
        <v>#REF!</v>
      </c>
      <c r="N47" s="244" t="e">
        <v>#REF!</v>
      </c>
      <c r="O47" s="244" t="e">
        <v>#REF!</v>
      </c>
      <c r="P47" s="244" t="e">
        <v>#REF!</v>
      </c>
    </row>
    <row r="48" spans="1:16" ht="12" customHeight="1" x14ac:dyDescent="0.2">
      <c r="A48" s="245"/>
      <c r="B48" s="245"/>
      <c r="C48" s="245"/>
      <c r="D48" s="245"/>
      <c r="E48" s="273"/>
      <c r="G48" s="277" t="s">
        <v>603</v>
      </c>
      <c r="H48" s="277"/>
      <c r="I48" s="277" t="s">
        <v>101</v>
      </c>
      <c r="J48" s="277"/>
      <c r="K48" s="245" t="s">
        <v>613</v>
      </c>
      <c r="L48" s="244" t="e">
        <f>SUM(M48:P48)</f>
        <v>#REF!</v>
      </c>
      <c r="M48" s="244" t="e">
        <v>#REF!</v>
      </c>
      <c r="N48" s="244" t="e">
        <v>#REF!</v>
      </c>
      <c r="O48" s="244" t="e">
        <v>#REF!</v>
      </c>
      <c r="P48" s="244" t="e">
        <v>#REF!</v>
      </c>
    </row>
    <row r="49" spans="1:16" ht="12" hidden="1" customHeight="1" x14ac:dyDescent="0.2">
      <c r="A49" s="245"/>
      <c r="B49" s="245"/>
      <c r="C49" s="245"/>
      <c r="D49" s="245"/>
      <c r="E49" s="245"/>
      <c r="G49" s="277" t="s">
        <v>603</v>
      </c>
      <c r="H49" s="277"/>
      <c r="I49" s="277" t="s">
        <v>614</v>
      </c>
      <c r="J49" s="277"/>
      <c r="K49" s="245" t="s">
        <v>615</v>
      </c>
      <c r="L49" s="244">
        <v>0</v>
      </c>
    </row>
    <row r="50" spans="1:16" ht="12" hidden="1" customHeight="1" x14ac:dyDescent="0.2">
      <c r="A50" s="245"/>
      <c r="B50" s="245"/>
      <c r="C50" s="245"/>
      <c r="D50" s="245"/>
      <c r="E50" s="245"/>
      <c r="G50" s="277" t="s">
        <v>603</v>
      </c>
      <c r="H50" s="277"/>
      <c r="I50" s="277" t="s">
        <v>616</v>
      </c>
      <c r="J50" s="277"/>
      <c r="K50" s="245" t="s">
        <v>617</v>
      </c>
      <c r="L50" s="244">
        <v>0</v>
      </c>
    </row>
    <row r="51" spans="1:16" ht="12" customHeight="1" x14ac:dyDescent="0.2">
      <c r="A51" s="245"/>
      <c r="B51" s="245"/>
      <c r="E51" s="278"/>
      <c r="G51" s="273" t="s">
        <v>382</v>
      </c>
      <c r="H51" s="273"/>
      <c r="I51" s="247"/>
      <c r="J51" s="247"/>
      <c r="K51" s="245"/>
    </row>
    <row r="52" spans="1:16" ht="12.75" customHeight="1" x14ac:dyDescent="0.2">
      <c r="A52" s="260"/>
      <c r="B52" s="260"/>
      <c r="C52" s="261" t="s">
        <v>618</v>
      </c>
      <c r="D52" s="262" t="s">
        <v>619</v>
      </c>
      <c r="E52" s="262"/>
      <c r="F52" s="263" t="e">
        <f>+L52+L115</f>
        <v>#REF!</v>
      </c>
      <c r="G52" s="261" t="s">
        <v>618</v>
      </c>
      <c r="H52" s="261"/>
      <c r="I52" s="261">
        <v>1</v>
      </c>
      <c r="J52" s="261"/>
      <c r="K52" s="264" t="s">
        <v>61</v>
      </c>
      <c r="L52" s="263" t="e">
        <f>+L54+L60+L66+L74+L83+L88+L92+L96+L107</f>
        <v>#REF!</v>
      </c>
      <c r="M52" s="263" t="e">
        <f>+M54+M60+M66+M74+M83+M88+M92+M96+M107</f>
        <v>#REF!</v>
      </c>
      <c r="N52" s="263" t="e">
        <f>+N54+N60+N66+N74+N83+N88+N92+N96+N107</f>
        <v>#REF!</v>
      </c>
      <c r="O52" s="263" t="e">
        <f>+O54+O60+O66+O74+O83+O88+O92+O96+O107</f>
        <v>#REF!</v>
      </c>
      <c r="P52" s="263" t="e">
        <f>+P54+P60+P66+P74+P83+P88+P92+P96+P107</f>
        <v>#REF!</v>
      </c>
    </row>
    <row r="53" spans="1:16" ht="12" customHeight="1" x14ac:dyDescent="0.2">
      <c r="A53" s="245"/>
      <c r="B53" s="245"/>
      <c r="C53" s="245"/>
      <c r="D53" s="245" t="s">
        <v>382</v>
      </c>
      <c r="E53" s="245"/>
      <c r="G53" s="273" t="s">
        <v>382</v>
      </c>
      <c r="H53" s="273"/>
      <c r="I53" s="274"/>
      <c r="J53" s="274"/>
      <c r="K53" s="278"/>
    </row>
    <row r="54" spans="1:16" ht="12" customHeight="1" x14ac:dyDescent="0.2">
      <c r="A54" s="245"/>
      <c r="B54" s="245"/>
      <c r="C54" s="245"/>
      <c r="D54" s="245"/>
      <c r="E54" s="245"/>
      <c r="G54" s="274" t="s">
        <v>618</v>
      </c>
      <c r="H54" s="274"/>
      <c r="I54" s="274" t="s">
        <v>104</v>
      </c>
      <c r="J54" s="274"/>
      <c r="K54" s="271" t="s">
        <v>620</v>
      </c>
      <c r="L54" s="272" t="e">
        <f>+L55+L56+L57+L58+L59</f>
        <v>#REF!</v>
      </c>
      <c r="M54" s="272" t="e">
        <f>+M55+M56+M57+M58+M59</f>
        <v>#REF!</v>
      </c>
      <c r="N54" s="272" t="e">
        <f>+N55+N56+N57+N58+N59</f>
        <v>#REF!</v>
      </c>
      <c r="O54" s="272" t="e">
        <f>+O55+O56+O57+O58+O59</f>
        <v>#REF!</v>
      </c>
      <c r="P54" s="272" t="e">
        <f>+P55+P56+P57+P58+P59</f>
        <v>#REF!</v>
      </c>
    </row>
    <row r="55" spans="1:16" ht="12" customHeight="1" x14ac:dyDescent="0.2">
      <c r="A55" s="245"/>
      <c r="B55" s="245"/>
      <c r="C55" s="245"/>
      <c r="D55" s="245"/>
      <c r="E55" s="245"/>
      <c r="G55" s="273" t="s">
        <v>618</v>
      </c>
      <c r="H55" s="273"/>
      <c r="I55" s="273" t="s">
        <v>106</v>
      </c>
      <c r="J55" s="273"/>
      <c r="K55" s="245" t="s">
        <v>621</v>
      </c>
      <c r="L55" s="244" t="e">
        <f>SUM(M55:P55)</f>
        <v>#REF!</v>
      </c>
      <c r="M55" s="244" t="e">
        <v>#REF!</v>
      </c>
      <c r="N55" s="244" t="e">
        <v>#REF!</v>
      </c>
      <c r="O55" s="244" t="e">
        <v>#REF!</v>
      </c>
      <c r="P55" s="244" t="e">
        <v>#REF!</v>
      </c>
    </row>
    <row r="56" spans="1:16" ht="12" customHeight="1" x14ac:dyDescent="0.2">
      <c r="A56" s="245"/>
      <c r="B56" s="245"/>
      <c r="C56" s="245"/>
      <c r="D56" s="245"/>
      <c r="E56" s="245"/>
      <c r="G56" s="273" t="s">
        <v>618</v>
      </c>
      <c r="H56" s="273"/>
      <c r="I56" s="273" t="s">
        <v>108</v>
      </c>
      <c r="J56" s="273"/>
      <c r="K56" s="245" t="s">
        <v>622</v>
      </c>
      <c r="L56" s="244" t="e">
        <f>SUM(M56:P56)</f>
        <v>#REF!</v>
      </c>
      <c r="M56" s="244" t="e">
        <v>#REF!</v>
      </c>
      <c r="O56" s="244" t="e">
        <v>#REF!</v>
      </c>
    </row>
    <row r="57" spans="1:16" ht="12" hidden="1" customHeight="1" x14ac:dyDescent="0.2">
      <c r="A57" s="245"/>
      <c r="B57" s="245"/>
      <c r="C57" s="245"/>
      <c r="D57" s="245"/>
      <c r="E57" s="245"/>
      <c r="G57" s="273" t="s">
        <v>618</v>
      </c>
      <c r="H57" s="273"/>
      <c r="I57" s="273" t="s">
        <v>110</v>
      </c>
      <c r="J57" s="273"/>
      <c r="K57" s="245" t="s">
        <v>623</v>
      </c>
      <c r="L57" s="244" t="e">
        <f>SUM(M57:P57)</f>
        <v>#REF!</v>
      </c>
      <c r="O57" s="244" t="e">
        <v>#REF!</v>
      </c>
    </row>
    <row r="58" spans="1:16" ht="12" hidden="1" customHeight="1" x14ac:dyDescent="0.2">
      <c r="A58" s="245"/>
      <c r="B58" s="245"/>
      <c r="C58" s="245"/>
      <c r="D58" s="245"/>
      <c r="E58" s="245"/>
      <c r="G58" s="273" t="s">
        <v>618</v>
      </c>
      <c r="H58" s="273"/>
      <c r="I58" s="273" t="s">
        <v>624</v>
      </c>
      <c r="J58" s="273"/>
      <c r="K58" s="245" t="s">
        <v>625</v>
      </c>
      <c r="L58" s="244" t="e">
        <f>SUM(M58:P58)</f>
        <v>#REF!</v>
      </c>
      <c r="O58" s="244" t="e">
        <v>#REF!</v>
      </c>
    </row>
    <row r="59" spans="1:16" ht="12" customHeight="1" x14ac:dyDescent="0.2">
      <c r="A59" s="245"/>
      <c r="B59" s="245"/>
      <c r="C59" s="245"/>
      <c r="D59" s="245"/>
      <c r="E59" s="245"/>
      <c r="G59" s="273" t="s">
        <v>618</v>
      </c>
      <c r="H59" s="273"/>
      <c r="I59" s="273" t="s">
        <v>112</v>
      </c>
      <c r="J59" s="273"/>
      <c r="K59" s="245" t="s">
        <v>626</v>
      </c>
      <c r="L59" s="244" t="e">
        <f>SUM(M59:P59)</f>
        <v>#REF!</v>
      </c>
      <c r="M59" s="244" t="e">
        <v>#REF!</v>
      </c>
      <c r="P59" s="244" t="e">
        <v>#REF!</v>
      </c>
    </row>
    <row r="60" spans="1:16" ht="12" customHeight="1" x14ac:dyDescent="0.2">
      <c r="A60" s="245"/>
      <c r="B60" s="245"/>
      <c r="C60" s="245"/>
      <c r="D60" s="245"/>
      <c r="E60" s="245"/>
      <c r="G60" s="274" t="s">
        <v>618</v>
      </c>
      <c r="H60" s="274"/>
      <c r="I60" s="274" t="s">
        <v>114</v>
      </c>
      <c r="J60" s="274"/>
      <c r="K60" s="271" t="s">
        <v>627</v>
      </c>
      <c r="L60" s="272" t="e">
        <f>SUM(L61:L65)</f>
        <v>#REF!</v>
      </c>
      <c r="M60" s="272" t="e">
        <f>SUM(M61:M65)</f>
        <v>#REF!</v>
      </c>
      <c r="N60" s="272" t="e">
        <f>SUM(N61:N65)</f>
        <v>#REF!</v>
      </c>
      <c r="O60" s="272" t="e">
        <f>SUM(O61:O65)</f>
        <v>#REF!</v>
      </c>
      <c r="P60" s="272" t="e">
        <f>SUM(P61:P65)</f>
        <v>#REF!</v>
      </c>
    </row>
    <row r="61" spans="1:16" ht="12" customHeight="1" x14ac:dyDescent="0.2">
      <c r="A61" s="245"/>
      <c r="B61" s="245"/>
      <c r="C61" s="245"/>
      <c r="D61" s="245"/>
      <c r="E61" s="245"/>
      <c r="G61" s="273" t="s">
        <v>618</v>
      </c>
      <c r="H61" s="273"/>
      <c r="I61" s="273" t="s">
        <v>116</v>
      </c>
      <c r="J61" s="273"/>
      <c r="K61" s="245" t="s">
        <v>628</v>
      </c>
      <c r="L61" s="244" t="e">
        <f>SUM(M61:P61)</f>
        <v>#REF!</v>
      </c>
      <c r="M61" s="244" t="e">
        <v>#REF!</v>
      </c>
      <c r="N61" s="244" t="e">
        <v>#REF!</v>
      </c>
      <c r="O61" s="244" t="e">
        <v>#REF!</v>
      </c>
      <c r="P61" s="244" t="e">
        <v>#REF!</v>
      </c>
    </row>
    <row r="62" spans="1:16" ht="12" customHeight="1" x14ac:dyDescent="0.2">
      <c r="A62" s="245"/>
      <c r="B62" s="245"/>
      <c r="C62" s="245"/>
      <c r="D62" s="245"/>
      <c r="E62" s="245"/>
      <c r="G62" s="273" t="s">
        <v>618</v>
      </c>
      <c r="H62" s="273"/>
      <c r="I62" s="273" t="s">
        <v>118</v>
      </c>
      <c r="J62" s="273"/>
      <c r="K62" s="245" t="s">
        <v>629</v>
      </c>
      <c r="L62" s="244" t="e">
        <f>SUM(M62:P62)</f>
        <v>#REF!</v>
      </c>
      <c r="M62" s="244" t="e">
        <v>#REF!</v>
      </c>
      <c r="N62" s="244" t="e">
        <v>#REF!</v>
      </c>
      <c r="O62" s="244" t="e">
        <v>#REF!</v>
      </c>
      <c r="P62" s="244" t="e">
        <v>#REF!</v>
      </c>
    </row>
    <row r="63" spans="1:16" ht="12" customHeight="1" x14ac:dyDescent="0.2">
      <c r="A63" s="245"/>
      <c r="B63" s="245"/>
      <c r="C63" s="245"/>
      <c r="D63" s="245"/>
      <c r="E63" s="245"/>
      <c r="G63" s="273" t="s">
        <v>618</v>
      </c>
      <c r="H63" s="273"/>
      <c r="I63" s="273" t="s">
        <v>120</v>
      </c>
      <c r="J63" s="273"/>
      <c r="K63" s="245" t="s">
        <v>630</v>
      </c>
      <c r="L63" s="244" t="e">
        <f>SUM(M63:P63)</f>
        <v>#REF!</v>
      </c>
      <c r="M63" s="244" t="e">
        <v>#REF!</v>
      </c>
      <c r="N63" s="244" t="e">
        <v>#REF!</v>
      </c>
      <c r="O63" s="244" t="e">
        <v>#REF!</v>
      </c>
      <c r="P63" s="244" t="e">
        <v>#REF!</v>
      </c>
    </row>
    <row r="64" spans="1:16" ht="12" customHeight="1" x14ac:dyDescent="0.2">
      <c r="A64" s="245"/>
      <c r="B64" s="245"/>
      <c r="C64" s="245"/>
      <c r="D64" s="245"/>
      <c r="E64" s="245"/>
      <c r="G64" s="273" t="s">
        <v>618</v>
      </c>
      <c r="H64" s="273"/>
      <c r="I64" s="273" t="s">
        <v>326</v>
      </c>
      <c r="J64" s="273"/>
      <c r="K64" s="245" t="s">
        <v>631</v>
      </c>
      <c r="L64" s="244" t="e">
        <f>SUM(M64:P64)</f>
        <v>#REF!</v>
      </c>
      <c r="M64" s="244" t="e">
        <v>#REF!</v>
      </c>
      <c r="N64" s="244" t="e">
        <v>#REF!</v>
      </c>
      <c r="O64" s="244" t="e">
        <v>#REF!</v>
      </c>
      <c r="P64" s="244" t="e">
        <v>#REF!</v>
      </c>
    </row>
    <row r="65" spans="1:16" ht="12" hidden="1" customHeight="1" x14ac:dyDescent="0.2">
      <c r="A65" s="245"/>
      <c r="B65" s="245"/>
      <c r="C65" s="245"/>
      <c r="D65" s="245"/>
      <c r="E65" s="245"/>
      <c r="G65" s="273" t="s">
        <v>618</v>
      </c>
      <c r="H65" s="273"/>
      <c r="I65" s="273" t="s">
        <v>123</v>
      </c>
      <c r="J65" s="273"/>
      <c r="K65" s="245" t="s">
        <v>632</v>
      </c>
      <c r="L65" s="244" t="e">
        <f>SUM(M65:P65)</f>
        <v>#REF!</v>
      </c>
      <c r="M65" s="244" t="e">
        <v>#REF!</v>
      </c>
      <c r="N65" s="244" t="e">
        <v>#REF!</v>
      </c>
      <c r="O65" s="244" t="e">
        <v>#REF!</v>
      </c>
      <c r="P65" s="244" t="e">
        <v>#REF!</v>
      </c>
    </row>
    <row r="66" spans="1:16" ht="12" customHeight="1" x14ac:dyDescent="0.2">
      <c r="A66" s="245"/>
      <c r="B66" s="245"/>
      <c r="C66" s="245"/>
      <c r="D66" s="245"/>
      <c r="E66" s="245"/>
      <c r="G66" s="274" t="s">
        <v>618</v>
      </c>
      <c r="H66" s="274"/>
      <c r="I66" s="274" t="s">
        <v>125</v>
      </c>
      <c r="J66" s="274"/>
      <c r="K66" s="271" t="s">
        <v>126</v>
      </c>
      <c r="L66" s="272" t="e">
        <f>SUM(L67:L73)</f>
        <v>#REF!</v>
      </c>
      <c r="M66" s="272" t="e">
        <f>SUM(M67:M73)</f>
        <v>#REF!</v>
      </c>
      <c r="N66" s="272" t="e">
        <f>SUM(N67:N73)</f>
        <v>#REF!</v>
      </c>
      <c r="O66" s="272" t="e">
        <f>SUM(O67:O73)</f>
        <v>#REF!</v>
      </c>
      <c r="P66" s="272" t="e">
        <f>SUM(P67:P73)</f>
        <v>#REF!</v>
      </c>
    </row>
    <row r="67" spans="1:16" ht="12" customHeight="1" x14ac:dyDescent="0.2">
      <c r="A67" s="245"/>
      <c r="B67" s="245"/>
      <c r="C67" s="245"/>
      <c r="D67" s="245"/>
      <c r="E67" s="245"/>
      <c r="G67" s="273" t="s">
        <v>618</v>
      </c>
      <c r="H67" s="273"/>
      <c r="I67" s="273" t="s">
        <v>127</v>
      </c>
      <c r="J67" s="273"/>
      <c r="K67" s="245" t="s">
        <v>633</v>
      </c>
      <c r="L67" s="244" t="e">
        <f t="shared" ref="L67:L73" si="0">SUM(M67:P67)</f>
        <v>#REF!</v>
      </c>
      <c r="M67" s="244" t="e">
        <v>#REF!</v>
      </c>
      <c r="N67" s="244" t="e">
        <v>#REF!</v>
      </c>
      <c r="O67" s="244" t="e">
        <v>#REF!</v>
      </c>
      <c r="P67" s="244" t="e">
        <v>#REF!</v>
      </c>
    </row>
    <row r="68" spans="1:16" hidden="1" x14ac:dyDescent="0.2">
      <c r="A68" s="245"/>
      <c r="B68" s="245"/>
      <c r="C68" s="245"/>
      <c r="D68" s="245"/>
      <c r="E68" s="245"/>
      <c r="G68" s="273" t="s">
        <v>618</v>
      </c>
      <c r="H68" s="273"/>
      <c r="I68" s="273" t="s">
        <v>129</v>
      </c>
      <c r="J68" s="273"/>
      <c r="K68" s="245" t="s">
        <v>634</v>
      </c>
      <c r="L68" s="244" t="e">
        <f t="shared" si="0"/>
        <v>#REF!</v>
      </c>
      <c r="M68" s="244" t="e">
        <v>#REF!</v>
      </c>
      <c r="N68" s="244" t="e">
        <v>#REF!</v>
      </c>
      <c r="O68" s="244" t="e">
        <v>#REF!</v>
      </c>
      <c r="P68" s="244" t="e">
        <v>#REF!</v>
      </c>
    </row>
    <row r="69" spans="1:16" ht="12" customHeight="1" x14ac:dyDescent="0.2">
      <c r="A69" s="245"/>
      <c r="B69" s="245"/>
      <c r="C69" s="245"/>
      <c r="D69" s="245"/>
      <c r="E69" s="245"/>
      <c r="G69" s="273" t="s">
        <v>618</v>
      </c>
      <c r="H69" s="273"/>
      <c r="I69" s="273" t="s">
        <v>131</v>
      </c>
      <c r="J69" s="273"/>
      <c r="K69" s="245" t="s">
        <v>635</v>
      </c>
      <c r="L69" s="244" t="e">
        <f t="shared" si="0"/>
        <v>#REF!</v>
      </c>
      <c r="M69" s="244" t="e">
        <v>#REF!</v>
      </c>
      <c r="N69" s="244" t="e">
        <v>#REF!</v>
      </c>
      <c r="O69" s="244" t="e">
        <v>#REF!</v>
      </c>
      <c r="P69" s="244" t="e">
        <v>#REF!</v>
      </c>
    </row>
    <row r="70" spans="1:16" ht="12" customHeight="1" x14ac:dyDescent="0.2">
      <c r="A70" s="245"/>
      <c r="B70" s="245"/>
      <c r="C70" s="245"/>
      <c r="D70" s="245"/>
      <c r="E70" s="245"/>
      <c r="G70" s="273" t="s">
        <v>618</v>
      </c>
      <c r="H70" s="273"/>
      <c r="I70" s="273" t="s">
        <v>133</v>
      </c>
      <c r="J70" s="273"/>
      <c r="K70" s="245" t="s">
        <v>636</v>
      </c>
      <c r="L70" s="244" t="e">
        <f t="shared" si="0"/>
        <v>#REF!</v>
      </c>
      <c r="M70" s="244" t="e">
        <v>#REF!</v>
      </c>
      <c r="N70" s="244" t="e">
        <v>#REF!</v>
      </c>
      <c r="O70" s="244" t="e">
        <v>#REF!</v>
      </c>
      <c r="P70" s="244" t="e">
        <v>#REF!</v>
      </c>
    </row>
    <row r="71" spans="1:16" hidden="1" x14ac:dyDescent="0.2">
      <c r="A71" s="245"/>
      <c r="B71" s="245"/>
      <c r="C71" s="245"/>
      <c r="D71" s="245"/>
      <c r="E71" s="245"/>
      <c r="G71" s="273" t="s">
        <v>618</v>
      </c>
      <c r="H71" s="273"/>
      <c r="I71" s="273" t="s">
        <v>135</v>
      </c>
      <c r="J71" s="273"/>
      <c r="K71" s="245" t="s">
        <v>637</v>
      </c>
      <c r="L71" s="244" t="e">
        <f t="shared" si="0"/>
        <v>#REF!</v>
      </c>
      <c r="M71" s="244">
        <v>0</v>
      </c>
      <c r="N71" s="244" t="e">
        <v>#REF!</v>
      </c>
      <c r="O71" s="244" t="e">
        <v>#REF!</v>
      </c>
      <c r="P71" s="244" t="e">
        <v>#REF!</v>
      </c>
    </row>
    <row r="72" spans="1:16" ht="12" customHeight="1" x14ac:dyDescent="0.2">
      <c r="A72" s="245"/>
      <c r="B72" s="245"/>
      <c r="C72" s="245"/>
      <c r="D72" s="245"/>
      <c r="E72" s="245"/>
      <c r="G72" s="273" t="s">
        <v>618</v>
      </c>
      <c r="H72" s="273"/>
      <c r="I72" s="273" t="s">
        <v>137</v>
      </c>
      <c r="J72" s="273"/>
      <c r="K72" s="245" t="s">
        <v>638</v>
      </c>
      <c r="L72" s="244" t="e">
        <f t="shared" si="0"/>
        <v>#REF!</v>
      </c>
      <c r="M72" s="244" t="e">
        <v>#REF!</v>
      </c>
      <c r="N72" s="244" t="e">
        <v>#REF!</v>
      </c>
      <c r="O72" s="244" t="e">
        <v>#REF!</v>
      </c>
      <c r="P72" s="244">
        <v>0</v>
      </c>
    </row>
    <row r="73" spans="1:16" ht="12" customHeight="1" x14ac:dyDescent="0.2">
      <c r="A73" s="245"/>
      <c r="B73" s="245"/>
      <c r="C73" s="245"/>
      <c r="D73" s="245"/>
      <c r="E73" s="245"/>
      <c r="G73" s="273" t="s">
        <v>618</v>
      </c>
      <c r="H73" s="273"/>
      <c r="I73" s="273" t="s">
        <v>397</v>
      </c>
      <c r="J73" s="273"/>
      <c r="K73" s="245" t="s">
        <v>639</v>
      </c>
      <c r="L73" s="244" t="e">
        <f t="shared" si="0"/>
        <v>#REF!</v>
      </c>
      <c r="M73" s="244" t="e">
        <v>#REF!</v>
      </c>
      <c r="N73" s="244" t="e">
        <v>#REF!</v>
      </c>
      <c r="O73" s="244" t="e">
        <v>#REF!</v>
      </c>
      <c r="P73" s="244" t="e">
        <v>#REF!</v>
      </c>
    </row>
    <row r="74" spans="1:16" ht="12" customHeight="1" x14ac:dyDescent="0.2">
      <c r="A74" s="245"/>
      <c r="B74" s="245"/>
      <c r="C74" s="245"/>
      <c r="D74" s="245"/>
      <c r="E74" s="245"/>
      <c r="G74" s="274" t="s">
        <v>618</v>
      </c>
      <c r="H74" s="274"/>
      <c r="I74" s="274" t="s">
        <v>139</v>
      </c>
      <c r="J74" s="274"/>
      <c r="K74" s="271" t="s">
        <v>640</v>
      </c>
      <c r="L74" s="272" t="e">
        <f>SUM(L75:L81)</f>
        <v>#REF!</v>
      </c>
      <c r="M74" s="272" t="e">
        <f>SUM(M75:M81)</f>
        <v>#REF!</v>
      </c>
      <c r="N74" s="272" t="e">
        <f>SUM(N75:N81)</f>
        <v>#REF!</v>
      </c>
      <c r="O74" s="272" t="e">
        <f>SUM(O75:O81)</f>
        <v>#REF!</v>
      </c>
      <c r="P74" s="272" t="e">
        <f>SUM(P75:P81)</f>
        <v>#REF!</v>
      </c>
    </row>
    <row r="75" spans="1:16" ht="12" customHeight="1" x14ac:dyDescent="0.2">
      <c r="A75" s="245"/>
      <c r="B75" s="245"/>
      <c r="C75" s="245"/>
      <c r="D75" s="245"/>
      <c r="E75" s="245"/>
      <c r="G75" s="273" t="s">
        <v>618</v>
      </c>
      <c r="H75" s="273"/>
      <c r="I75" s="273" t="s">
        <v>569</v>
      </c>
      <c r="J75" s="273"/>
      <c r="K75" s="245" t="s">
        <v>641</v>
      </c>
      <c r="L75" s="244" t="e">
        <f t="shared" ref="L75:L81" si="1">SUM(M75:P75)</f>
        <v>#REF!</v>
      </c>
      <c r="M75" s="244" t="e">
        <v>#REF!</v>
      </c>
      <c r="N75" s="244" t="e">
        <v>#REF!</v>
      </c>
      <c r="O75" s="244" t="e">
        <v>#REF!</v>
      </c>
      <c r="P75" s="244" t="e">
        <v>#REF!</v>
      </c>
    </row>
    <row r="76" spans="1:16" ht="12" customHeight="1" x14ac:dyDescent="0.2">
      <c r="A76" s="245"/>
      <c r="B76" s="245"/>
      <c r="C76" s="245"/>
      <c r="D76" s="245"/>
      <c r="E76" s="245"/>
      <c r="G76" s="273" t="s">
        <v>618</v>
      </c>
      <c r="H76" s="273"/>
      <c r="I76" s="273" t="s">
        <v>399</v>
      </c>
      <c r="J76" s="273"/>
      <c r="K76" s="245" t="s">
        <v>642</v>
      </c>
      <c r="L76" s="244" t="e">
        <f t="shared" si="1"/>
        <v>#REF!</v>
      </c>
      <c r="M76" s="244" t="e">
        <v>#REF!</v>
      </c>
      <c r="N76" s="244" t="e">
        <v>#REF!</v>
      </c>
      <c r="O76" s="244" t="e">
        <v>#REF!</v>
      </c>
      <c r="P76" s="244" t="e">
        <v>#REF!</v>
      </c>
    </row>
    <row r="77" spans="1:16" hidden="1" x14ac:dyDescent="0.2">
      <c r="A77" s="245"/>
      <c r="B77" s="245"/>
      <c r="C77" s="245"/>
      <c r="D77" s="245"/>
      <c r="E77" s="245"/>
      <c r="G77" s="273" t="s">
        <v>618</v>
      </c>
      <c r="H77" s="273"/>
      <c r="I77" s="273" t="s">
        <v>343</v>
      </c>
      <c r="J77" s="273"/>
      <c r="K77" s="245" t="s">
        <v>643</v>
      </c>
      <c r="L77" s="244" t="e">
        <f t="shared" si="1"/>
        <v>#REF!</v>
      </c>
      <c r="M77" s="244" t="e">
        <v>#REF!</v>
      </c>
      <c r="N77" s="244" t="e">
        <v>#REF!</v>
      </c>
      <c r="O77" s="244" t="e">
        <v>#REF!</v>
      </c>
      <c r="P77" s="244" t="e">
        <v>#REF!</v>
      </c>
    </row>
    <row r="78" spans="1:16" ht="12" customHeight="1" x14ac:dyDescent="0.2">
      <c r="A78" s="245"/>
      <c r="B78" s="245"/>
      <c r="C78" s="245"/>
      <c r="D78" s="245"/>
      <c r="E78" s="245"/>
      <c r="G78" s="273" t="s">
        <v>618</v>
      </c>
      <c r="H78" s="273"/>
      <c r="I78" s="273" t="s">
        <v>141</v>
      </c>
      <c r="J78" s="273"/>
      <c r="K78" s="245" t="s">
        <v>644</v>
      </c>
      <c r="L78" s="244" t="e">
        <f t="shared" si="1"/>
        <v>#REF!</v>
      </c>
      <c r="M78" s="244" t="e">
        <v>#REF!</v>
      </c>
      <c r="N78" s="244" t="e">
        <v>#REF!</v>
      </c>
      <c r="O78" s="244" t="e">
        <v>#REF!</v>
      </c>
      <c r="P78" s="244" t="e">
        <v>#REF!</v>
      </c>
    </row>
    <row r="79" spans="1:16" x14ac:dyDescent="0.2">
      <c r="A79" s="245"/>
      <c r="B79" s="245"/>
      <c r="C79" s="245"/>
      <c r="D79" s="245"/>
      <c r="E79" s="245"/>
      <c r="G79" s="273" t="s">
        <v>618</v>
      </c>
      <c r="H79" s="273"/>
      <c r="I79" s="273" t="s">
        <v>143</v>
      </c>
      <c r="J79" s="273"/>
      <c r="K79" s="245" t="s">
        <v>645</v>
      </c>
      <c r="L79" s="244" t="e">
        <f t="shared" si="1"/>
        <v>#REF!</v>
      </c>
      <c r="M79" s="244" t="e">
        <v>#REF!</v>
      </c>
      <c r="N79" s="244" t="e">
        <v>#REF!</v>
      </c>
      <c r="O79" s="244" t="e">
        <v>#REF!</v>
      </c>
      <c r="P79" s="244" t="e">
        <v>#REF!</v>
      </c>
    </row>
    <row r="80" spans="1:16" ht="12" customHeight="1" x14ac:dyDescent="0.2">
      <c r="A80" s="245"/>
      <c r="B80" s="245"/>
      <c r="C80" s="245"/>
      <c r="D80" s="245"/>
      <c r="E80" s="245"/>
      <c r="G80" s="273" t="s">
        <v>618</v>
      </c>
      <c r="H80" s="273"/>
      <c r="I80" s="273" t="s">
        <v>145</v>
      </c>
      <c r="J80" s="273"/>
      <c r="K80" s="245" t="s">
        <v>646</v>
      </c>
      <c r="L80" s="244" t="e">
        <f t="shared" si="1"/>
        <v>#REF!</v>
      </c>
      <c r="M80" s="244" t="e">
        <v>#REF!</v>
      </c>
      <c r="N80" s="244" t="e">
        <v>#REF!</v>
      </c>
      <c r="O80" s="244" t="e">
        <v>#REF!</v>
      </c>
      <c r="P80" s="244" t="e">
        <v>#REF!</v>
      </c>
    </row>
    <row r="81" spans="1:16" x14ac:dyDescent="0.2">
      <c r="A81" s="245"/>
      <c r="B81" s="245"/>
      <c r="C81" s="245"/>
      <c r="D81" s="245"/>
      <c r="E81" s="245"/>
      <c r="F81" s="246"/>
      <c r="G81" s="273" t="s">
        <v>618</v>
      </c>
      <c r="H81" s="273"/>
      <c r="I81" s="273" t="s">
        <v>147</v>
      </c>
      <c r="J81" s="273"/>
      <c r="K81" s="245" t="s">
        <v>647</v>
      </c>
      <c r="L81" s="244" t="e">
        <f t="shared" si="1"/>
        <v>#REF!</v>
      </c>
      <c r="M81" s="244" t="e">
        <v>#REF!</v>
      </c>
      <c r="N81" s="244" t="e">
        <v>#REF!</v>
      </c>
      <c r="O81" s="244" t="e">
        <v>#REF!</v>
      </c>
      <c r="P81" s="244" t="e">
        <v>#REF!</v>
      </c>
    </row>
    <row r="82" spans="1:16" ht="11.4" hidden="1" customHeight="1" x14ac:dyDescent="0.2">
      <c r="A82" s="245"/>
      <c r="B82" s="245"/>
      <c r="C82" s="245"/>
      <c r="D82" s="245"/>
      <c r="E82" s="245"/>
      <c r="F82" s="246"/>
      <c r="G82" s="273"/>
      <c r="H82" s="273"/>
      <c r="I82" s="273"/>
      <c r="J82" s="273"/>
      <c r="K82" s="245"/>
      <c r="L82" s="244">
        <v>0</v>
      </c>
    </row>
    <row r="83" spans="1:16" ht="12" customHeight="1" x14ac:dyDescent="0.2">
      <c r="A83" s="245"/>
      <c r="B83" s="245"/>
      <c r="C83" s="245"/>
      <c r="D83" s="245"/>
      <c r="E83" s="245"/>
      <c r="F83" s="246"/>
      <c r="G83" s="274" t="s">
        <v>618</v>
      </c>
      <c r="H83" s="274"/>
      <c r="I83" s="274" t="s">
        <v>149</v>
      </c>
      <c r="J83" s="274"/>
      <c r="K83" s="271" t="s">
        <v>150</v>
      </c>
      <c r="L83" s="272" t="e">
        <f>SUM(L84:L87)</f>
        <v>#REF!</v>
      </c>
      <c r="M83" s="272" t="e">
        <f>SUM(M84:M87)</f>
        <v>#REF!</v>
      </c>
      <c r="N83" s="272" t="e">
        <f>SUM(N84:N87)</f>
        <v>#REF!</v>
      </c>
      <c r="O83" s="272" t="e">
        <f>SUM(O84:O87)</f>
        <v>#REF!</v>
      </c>
      <c r="P83" s="272" t="e">
        <f>SUM(P84:P87)</f>
        <v>#REF!</v>
      </c>
    </row>
    <row r="84" spans="1:16" ht="12" customHeight="1" x14ac:dyDescent="0.2">
      <c r="A84" s="245"/>
      <c r="B84" s="245"/>
      <c r="C84" s="245"/>
      <c r="D84" s="245"/>
      <c r="E84" s="245"/>
      <c r="F84" s="246"/>
      <c r="G84" s="273" t="s">
        <v>618</v>
      </c>
      <c r="H84" s="273"/>
      <c r="I84" s="273" t="s">
        <v>151</v>
      </c>
      <c r="J84" s="273"/>
      <c r="K84" s="245" t="s">
        <v>648</v>
      </c>
      <c r="L84" s="244" t="e">
        <f>SUM(M84:P84)</f>
        <v>#REF!</v>
      </c>
      <c r="M84" s="244" t="e">
        <v>#REF!</v>
      </c>
      <c r="N84" s="244" t="e">
        <v>#REF!</v>
      </c>
      <c r="O84" s="244" t="e">
        <v>#REF!</v>
      </c>
      <c r="P84" s="244" t="e">
        <v>#REF!</v>
      </c>
    </row>
    <row r="85" spans="1:16" ht="12" customHeight="1" x14ac:dyDescent="0.2">
      <c r="A85" s="245"/>
      <c r="B85" s="245"/>
      <c r="C85" s="245"/>
      <c r="D85" s="245"/>
      <c r="E85" s="245"/>
      <c r="F85" s="245"/>
      <c r="G85" s="321" t="s">
        <v>618</v>
      </c>
      <c r="H85" s="273"/>
      <c r="I85" s="273" t="s">
        <v>153</v>
      </c>
      <c r="J85" s="273"/>
      <c r="K85" s="298" t="s">
        <v>649</v>
      </c>
      <c r="L85" s="244" t="e">
        <f>SUM(M85:P85)</f>
        <v>#REF!</v>
      </c>
      <c r="M85" s="244" t="e">
        <v>#REF!</v>
      </c>
      <c r="O85" s="244" t="e">
        <v>#REF!</v>
      </c>
      <c r="P85" s="244" t="e">
        <v>#REF!</v>
      </c>
    </row>
    <row r="86" spans="1:16" ht="12" customHeight="1" x14ac:dyDescent="0.2">
      <c r="A86" s="245"/>
      <c r="B86" s="245"/>
      <c r="C86" s="245"/>
      <c r="D86" s="245"/>
      <c r="E86" s="245"/>
      <c r="G86" s="273" t="s">
        <v>618</v>
      </c>
      <c r="H86" s="273"/>
      <c r="I86" s="273" t="s">
        <v>155</v>
      </c>
      <c r="J86" s="273"/>
      <c r="K86" s="245" t="s">
        <v>650</v>
      </c>
      <c r="L86" s="244" t="e">
        <f>SUM(M86:P86)</f>
        <v>#REF!</v>
      </c>
      <c r="M86" s="244" t="e">
        <v>#REF!</v>
      </c>
      <c r="N86" s="244" t="e">
        <v>#REF!</v>
      </c>
      <c r="O86" s="244" t="e">
        <v>#REF!</v>
      </c>
      <c r="P86" s="244" t="e">
        <v>#REF!</v>
      </c>
    </row>
    <row r="87" spans="1:16" ht="12" customHeight="1" x14ac:dyDescent="0.2">
      <c r="A87" s="245"/>
      <c r="B87" s="245"/>
      <c r="C87" s="245"/>
      <c r="D87" s="245"/>
      <c r="E87" s="245"/>
      <c r="G87" s="273" t="s">
        <v>618</v>
      </c>
      <c r="H87" s="273"/>
      <c r="I87" s="273" t="s">
        <v>157</v>
      </c>
      <c r="J87" s="273"/>
      <c r="K87" s="245" t="s">
        <v>651</v>
      </c>
      <c r="L87" s="244" t="e">
        <f>SUM(M87:P87)</f>
        <v>#REF!</v>
      </c>
      <c r="M87" s="244" t="e">
        <v>#REF!</v>
      </c>
      <c r="N87" s="244" t="e">
        <v>#REF!</v>
      </c>
      <c r="O87" s="244" t="e">
        <v>#REF!</v>
      </c>
      <c r="P87" s="244" t="e">
        <v>#REF!</v>
      </c>
    </row>
    <row r="88" spans="1:16" ht="12" customHeight="1" x14ac:dyDescent="0.2">
      <c r="A88" s="245"/>
      <c r="B88" s="245"/>
      <c r="C88" s="245"/>
      <c r="D88" s="245"/>
      <c r="E88" s="245"/>
      <c r="G88" s="274" t="s">
        <v>618</v>
      </c>
      <c r="H88" s="274"/>
      <c r="I88" s="274" t="s">
        <v>159</v>
      </c>
      <c r="J88" s="274"/>
      <c r="K88" s="271" t="s">
        <v>275</v>
      </c>
      <c r="L88" s="272" t="e">
        <f>SUM(L89:L91)</f>
        <v>#REF!</v>
      </c>
      <c r="M88" s="272" t="e">
        <f>SUM(M89:M91)</f>
        <v>#REF!</v>
      </c>
      <c r="N88" s="272" t="e">
        <f>SUM(N89:N91)</f>
        <v>#REF!</v>
      </c>
      <c r="O88" s="272" t="e">
        <f>SUM(O89:O91)</f>
        <v>#REF!</v>
      </c>
      <c r="P88" s="272" t="e">
        <f>SUM(P89:P91)</f>
        <v>#REF!</v>
      </c>
    </row>
    <row r="89" spans="1:16" ht="12" customHeight="1" x14ac:dyDescent="0.2">
      <c r="A89" s="245"/>
      <c r="B89" s="245"/>
      <c r="C89" s="245"/>
      <c r="D89" s="245"/>
      <c r="E89" s="245"/>
      <c r="G89" s="273" t="s">
        <v>618</v>
      </c>
      <c r="H89" s="273"/>
      <c r="I89" s="273" t="s">
        <v>160</v>
      </c>
      <c r="J89" s="273"/>
      <c r="K89" s="245" t="s">
        <v>161</v>
      </c>
      <c r="L89" s="244" t="e">
        <f>SUM(M89:P89)</f>
        <v>#REF!</v>
      </c>
      <c r="M89" s="244" t="e">
        <v>#REF!</v>
      </c>
      <c r="N89" s="244" t="e">
        <v>#REF!</v>
      </c>
      <c r="O89" s="244" t="e">
        <v>#REF!</v>
      </c>
      <c r="P89" s="244" t="e">
        <v>#REF!</v>
      </c>
    </row>
    <row r="90" spans="1:16" ht="12" hidden="1" customHeight="1" x14ac:dyDescent="0.2">
      <c r="A90" s="245"/>
      <c r="B90" s="245"/>
      <c r="C90" s="245"/>
      <c r="D90" s="245"/>
      <c r="E90" s="245"/>
      <c r="G90" s="273" t="s">
        <v>618</v>
      </c>
      <c r="H90" s="273"/>
      <c r="I90" s="273" t="s">
        <v>652</v>
      </c>
      <c r="J90" s="273"/>
      <c r="K90" s="245" t="s">
        <v>653</v>
      </c>
      <c r="L90" s="244">
        <v>0</v>
      </c>
    </row>
    <row r="91" spans="1:16" ht="12" hidden="1" customHeight="1" x14ac:dyDescent="0.2">
      <c r="A91" s="245"/>
      <c r="B91" s="245"/>
      <c r="C91" s="245"/>
      <c r="D91" s="245"/>
      <c r="E91" s="245"/>
      <c r="G91" s="273" t="s">
        <v>618</v>
      </c>
      <c r="H91" s="273"/>
      <c r="I91" s="273" t="s">
        <v>654</v>
      </c>
      <c r="J91" s="273"/>
      <c r="K91" s="245" t="s">
        <v>655</v>
      </c>
      <c r="L91" s="244">
        <v>0</v>
      </c>
    </row>
    <row r="92" spans="1:16" ht="12" customHeight="1" x14ac:dyDescent="0.2">
      <c r="A92" s="245"/>
      <c r="B92" s="245"/>
      <c r="C92" s="245"/>
      <c r="D92" s="245"/>
      <c r="E92" s="245"/>
      <c r="G92" s="274" t="s">
        <v>618</v>
      </c>
      <c r="H92" s="274"/>
      <c r="I92" s="274" t="s">
        <v>162</v>
      </c>
      <c r="J92" s="274"/>
      <c r="K92" s="271" t="s">
        <v>656</v>
      </c>
      <c r="L92" s="272" t="e">
        <f>SUM(L93:L95)</f>
        <v>#REF!</v>
      </c>
      <c r="M92" s="272" t="e">
        <f>SUM(M93:M95)</f>
        <v>#REF!</v>
      </c>
      <c r="N92" s="272" t="e">
        <f>SUM(N93:N95)</f>
        <v>#REF!</v>
      </c>
      <c r="O92" s="272" t="e">
        <f>SUM(O93:O95)</f>
        <v>#REF!</v>
      </c>
      <c r="P92" s="272" t="e">
        <f>SUM(P93:P95)</f>
        <v>#REF!</v>
      </c>
    </row>
    <row r="93" spans="1:16" ht="12" customHeight="1" x14ac:dyDescent="0.2">
      <c r="A93" s="245"/>
      <c r="B93" s="245"/>
      <c r="C93" s="245"/>
      <c r="D93" s="245"/>
      <c r="E93" s="245"/>
      <c r="G93" s="273" t="s">
        <v>618</v>
      </c>
      <c r="H93" s="273"/>
      <c r="I93" s="273" t="s">
        <v>164</v>
      </c>
      <c r="J93" s="273"/>
      <c r="K93" s="245" t="s">
        <v>657</v>
      </c>
      <c r="L93" s="244" t="e">
        <f>SUM(M93:P93)</f>
        <v>#REF!</v>
      </c>
      <c r="M93" s="244" t="e">
        <v>#REF!</v>
      </c>
      <c r="N93" s="244" t="e">
        <v>#REF!</v>
      </c>
      <c r="O93" s="244" t="e">
        <v>#REF!</v>
      </c>
      <c r="P93" s="244" t="e">
        <v>#REF!</v>
      </c>
    </row>
    <row r="94" spans="1:16" ht="12" hidden="1" customHeight="1" x14ac:dyDescent="0.2">
      <c r="A94" s="245"/>
      <c r="B94" s="245"/>
      <c r="C94" s="245"/>
      <c r="D94" s="245"/>
      <c r="E94" s="245"/>
      <c r="G94" s="273" t="s">
        <v>618</v>
      </c>
      <c r="H94" s="273"/>
      <c r="I94" s="273" t="s">
        <v>166</v>
      </c>
      <c r="J94" s="273"/>
      <c r="K94" s="245" t="s">
        <v>658</v>
      </c>
      <c r="L94" s="244" t="e">
        <f>SUM(M94:P94)</f>
        <v>#REF!</v>
      </c>
      <c r="M94" s="244" t="e">
        <v>#REF!</v>
      </c>
      <c r="N94" s="244" t="e">
        <v>#REF!</v>
      </c>
      <c r="O94" s="244" t="e">
        <v>#REF!</v>
      </c>
      <c r="P94" s="244" t="e">
        <v>#REF!</v>
      </c>
    </row>
    <row r="95" spans="1:16" ht="12" customHeight="1" x14ac:dyDescent="0.2">
      <c r="A95" s="245"/>
      <c r="B95" s="245"/>
      <c r="C95" s="245"/>
      <c r="D95" s="245"/>
      <c r="E95" s="245"/>
      <c r="G95" s="273" t="s">
        <v>618</v>
      </c>
      <c r="H95" s="273"/>
      <c r="I95" s="273" t="s">
        <v>168</v>
      </c>
      <c r="J95" s="273"/>
      <c r="K95" s="245" t="s">
        <v>659</v>
      </c>
      <c r="L95" s="244" t="e">
        <f>SUM(M95:P95)</f>
        <v>#REF!</v>
      </c>
      <c r="M95" s="244" t="e">
        <v>#REF!</v>
      </c>
      <c r="N95" s="244" t="e">
        <v>#REF!</v>
      </c>
      <c r="O95" s="244" t="e">
        <v>#REF!</v>
      </c>
      <c r="P95" s="244" t="e">
        <v>#REF!</v>
      </c>
    </row>
    <row r="96" spans="1:16" ht="12" customHeight="1" x14ac:dyDescent="0.2">
      <c r="A96" s="245"/>
      <c r="B96" s="245"/>
      <c r="C96" s="245"/>
      <c r="D96" s="245"/>
      <c r="E96" s="245"/>
      <c r="G96" s="274" t="s">
        <v>618</v>
      </c>
      <c r="H96" s="274"/>
      <c r="I96" s="274" t="s">
        <v>170</v>
      </c>
      <c r="J96" s="274"/>
      <c r="K96" s="271" t="s">
        <v>660</v>
      </c>
      <c r="L96" s="272" t="e">
        <f>SUM(L97:L105)</f>
        <v>#REF!</v>
      </c>
      <c r="M96" s="272" t="e">
        <f>SUM(M97:M105)</f>
        <v>#REF!</v>
      </c>
      <c r="N96" s="272" t="e">
        <f>SUM(N97:N105)</f>
        <v>#REF!</v>
      </c>
      <c r="O96" s="272" t="e">
        <f>SUM(O97:O105)</f>
        <v>#REF!</v>
      </c>
      <c r="P96" s="272" t="e">
        <f>SUM(P97:P105)</f>
        <v>#REF!</v>
      </c>
    </row>
    <row r="97" spans="1:16" ht="12" customHeight="1" x14ac:dyDescent="0.2">
      <c r="A97" s="245"/>
      <c r="B97" s="245"/>
      <c r="C97" s="245"/>
      <c r="D97" s="245"/>
      <c r="E97" s="245"/>
      <c r="G97" s="273" t="s">
        <v>618</v>
      </c>
      <c r="H97" s="273"/>
      <c r="I97" s="273" t="s">
        <v>172</v>
      </c>
      <c r="J97" s="273"/>
      <c r="K97" s="245" t="s">
        <v>661</v>
      </c>
      <c r="L97" s="244" t="e">
        <f t="shared" ref="L97:L105" si="2">SUM(M97:P97)</f>
        <v>#REF!</v>
      </c>
      <c r="M97" s="244" t="e">
        <v>#REF!</v>
      </c>
      <c r="N97" s="244" t="e">
        <v>#REF!</v>
      </c>
      <c r="O97" s="244" t="e">
        <v>#REF!</v>
      </c>
      <c r="P97" s="244" t="e">
        <v>#REF!</v>
      </c>
    </row>
    <row r="98" spans="1:16" ht="12" hidden="1" customHeight="1" x14ac:dyDescent="0.2">
      <c r="A98" s="245"/>
      <c r="B98" s="245"/>
      <c r="C98" s="245"/>
      <c r="D98" s="245"/>
      <c r="E98" s="245"/>
      <c r="G98" s="273" t="s">
        <v>618</v>
      </c>
      <c r="H98" s="273"/>
      <c r="I98" s="273" t="s">
        <v>662</v>
      </c>
      <c r="J98" s="273"/>
      <c r="K98" s="245" t="s">
        <v>663</v>
      </c>
      <c r="L98" s="244" t="e">
        <f t="shared" si="2"/>
        <v>#REF!</v>
      </c>
      <c r="N98" s="244" t="e">
        <v>#REF!</v>
      </c>
    </row>
    <row r="99" spans="1:16" ht="12" hidden="1" customHeight="1" x14ac:dyDescent="0.2">
      <c r="A99" s="245"/>
      <c r="B99" s="245"/>
      <c r="C99" s="245"/>
      <c r="D99" s="245"/>
      <c r="E99" s="245"/>
      <c r="G99" s="273" t="s">
        <v>618</v>
      </c>
      <c r="H99" s="273"/>
      <c r="I99" s="273" t="s">
        <v>174</v>
      </c>
      <c r="J99" s="273"/>
      <c r="K99" s="245" t="s">
        <v>664</v>
      </c>
      <c r="L99" s="244" t="e">
        <f t="shared" si="2"/>
        <v>#REF!</v>
      </c>
      <c r="M99" s="244" t="e">
        <v>#REF!</v>
      </c>
      <c r="N99" s="244" t="e">
        <v>#REF!</v>
      </c>
      <c r="O99" s="244" t="e">
        <v>#REF!</v>
      </c>
      <c r="P99" s="244" t="e">
        <v>#REF!</v>
      </c>
    </row>
    <row r="100" spans="1:16" ht="12" hidden="1" customHeight="1" x14ac:dyDescent="0.2">
      <c r="A100" s="245"/>
      <c r="B100" s="245"/>
      <c r="C100" s="245"/>
      <c r="D100" s="245"/>
      <c r="E100" s="245"/>
      <c r="G100" s="273" t="s">
        <v>618</v>
      </c>
      <c r="H100" s="273"/>
      <c r="I100" s="273" t="s">
        <v>402</v>
      </c>
      <c r="J100" s="273"/>
      <c r="K100" s="245" t="s">
        <v>665</v>
      </c>
      <c r="L100" s="244" t="e">
        <f t="shared" si="2"/>
        <v>#REF!</v>
      </c>
      <c r="M100" s="244" t="e">
        <v>#REF!</v>
      </c>
      <c r="N100" s="244" t="e">
        <v>#REF!</v>
      </c>
      <c r="O100" s="244" t="e">
        <v>#REF!</v>
      </c>
      <c r="P100" s="244" t="e">
        <v>#REF!</v>
      </c>
    </row>
    <row r="101" spans="1:16" ht="12" customHeight="1" x14ac:dyDescent="0.2">
      <c r="A101" s="245"/>
      <c r="B101" s="245"/>
      <c r="C101" s="245"/>
      <c r="D101" s="245"/>
      <c r="E101" s="245"/>
      <c r="G101" s="273" t="s">
        <v>618</v>
      </c>
      <c r="H101" s="273"/>
      <c r="I101" s="273" t="s">
        <v>176</v>
      </c>
      <c r="J101" s="273"/>
      <c r="K101" s="245" t="s">
        <v>666</v>
      </c>
      <c r="L101" s="244" t="e">
        <f t="shared" si="2"/>
        <v>#REF!</v>
      </c>
      <c r="M101" s="244" t="e">
        <v>#REF!</v>
      </c>
      <c r="N101" s="244" t="e">
        <v>#REF!</v>
      </c>
      <c r="O101" s="244" t="e">
        <v>#REF!</v>
      </c>
      <c r="P101" s="244" t="e">
        <v>#REF!</v>
      </c>
    </row>
    <row r="102" spans="1:16" ht="12" customHeight="1" x14ac:dyDescent="0.2">
      <c r="A102" s="245"/>
      <c r="B102" s="245"/>
      <c r="C102" s="245"/>
      <c r="D102" s="245"/>
      <c r="E102" s="245"/>
      <c r="G102" s="273" t="s">
        <v>618</v>
      </c>
      <c r="H102" s="273"/>
      <c r="I102" s="273" t="s">
        <v>178</v>
      </c>
      <c r="J102" s="273"/>
      <c r="K102" s="245" t="s">
        <v>667</v>
      </c>
      <c r="L102" s="244" t="e">
        <f t="shared" si="2"/>
        <v>#REF!</v>
      </c>
      <c r="M102" s="244" t="e">
        <v>#REF!</v>
      </c>
      <c r="N102" s="244" t="e">
        <v>#REF!</v>
      </c>
      <c r="O102" s="244" t="e">
        <v>#REF!</v>
      </c>
      <c r="P102" s="244" t="e">
        <v>#REF!</v>
      </c>
    </row>
    <row r="103" spans="1:16" ht="12" customHeight="1" x14ac:dyDescent="0.2">
      <c r="A103" s="245"/>
      <c r="B103" s="245"/>
      <c r="C103" s="245"/>
      <c r="D103" s="245"/>
      <c r="E103" s="245"/>
      <c r="G103" s="273" t="s">
        <v>618</v>
      </c>
      <c r="H103" s="273"/>
      <c r="I103" s="273" t="s">
        <v>180</v>
      </c>
      <c r="J103" s="273"/>
      <c r="K103" s="245" t="s">
        <v>668</v>
      </c>
      <c r="L103" s="244" t="e">
        <f t="shared" si="2"/>
        <v>#REF!</v>
      </c>
      <c r="M103" s="244" t="e">
        <v>#REF!</v>
      </c>
      <c r="N103" s="244" t="e">
        <v>#REF!</v>
      </c>
      <c r="O103" s="244" t="e">
        <v>#REF!</v>
      </c>
      <c r="P103" s="244" t="e">
        <v>#REF!</v>
      </c>
    </row>
    <row r="104" spans="1:16" ht="12" customHeight="1" x14ac:dyDescent="0.2">
      <c r="A104" s="245"/>
      <c r="B104" s="245"/>
      <c r="C104" s="245"/>
      <c r="D104" s="245"/>
      <c r="E104" s="245"/>
      <c r="G104" s="273" t="s">
        <v>618</v>
      </c>
      <c r="H104" s="273"/>
      <c r="I104" s="273" t="s">
        <v>182</v>
      </c>
      <c r="J104" s="273"/>
      <c r="K104" s="245" t="s">
        <v>669</v>
      </c>
      <c r="L104" s="244" t="e">
        <f t="shared" si="2"/>
        <v>#REF!</v>
      </c>
      <c r="M104" s="244" t="e">
        <v>#REF!</v>
      </c>
      <c r="N104" s="244" t="e">
        <v>#REF!</v>
      </c>
      <c r="O104" s="244" t="e">
        <v>#REF!</v>
      </c>
      <c r="P104" s="244" t="e">
        <v>#REF!</v>
      </c>
    </row>
    <row r="105" spans="1:16" ht="12" customHeight="1" x14ac:dyDescent="0.2">
      <c r="A105" s="245"/>
      <c r="B105" s="245"/>
      <c r="C105" s="245"/>
      <c r="D105" s="245"/>
      <c r="E105" s="245"/>
      <c r="G105" s="273" t="s">
        <v>618</v>
      </c>
      <c r="H105" s="273"/>
      <c r="I105" s="273" t="s">
        <v>183</v>
      </c>
      <c r="J105" s="273"/>
      <c r="K105" s="245" t="s">
        <v>670</v>
      </c>
      <c r="L105" s="244" t="e">
        <f t="shared" si="2"/>
        <v>#REF!</v>
      </c>
      <c r="M105" s="244" t="e">
        <v>#REF!</v>
      </c>
      <c r="N105" s="244" t="e">
        <v>#REF!</v>
      </c>
      <c r="O105" s="244" t="e">
        <v>#REF!</v>
      </c>
      <c r="P105" s="244" t="e">
        <v>#REF!</v>
      </c>
    </row>
    <row r="106" spans="1:16" ht="16.5" hidden="1" customHeight="1" x14ac:dyDescent="0.2">
      <c r="G106" s="259"/>
      <c r="H106" s="259"/>
      <c r="I106" s="259"/>
      <c r="J106" s="259"/>
      <c r="L106" s="244">
        <v>0</v>
      </c>
      <c r="M106" s="244" t="e">
        <v>#REF!</v>
      </c>
    </row>
    <row r="107" spans="1:16" ht="12" customHeight="1" x14ac:dyDescent="0.2">
      <c r="A107" s="245"/>
      <c r="B107" s="245"/>
      <c r="C107" s="245"/>
      <c r="D107" s="245"/>
      <c r="E107" s="245"/>
      <c r="G107" s="274" t="s">
        <v>618</v>
      </c>
      <c r="H107" s="274"/>
      <c r="I107" s="274" t="s">
        <v>185</v>
      </c>
      <c r="J107" s="274"/>
      <c r="K107" s="271" t="s">
        <v>186</v>
      </c>
      <c r="L107" s="272" t="e">
        <f>SUM(L108:L113)</f>
        <v>#REF!</v>
      </c>
      <c r="M107" s="272" t="e">
        <f>SUM(M108:M113)</f>
        <v>#REF!</v>
      </c>
      <c r="N107" s="272" t="e">
        <f>SUM(N108:N113)</f>
        <v>#REF!</v>
      </c>
      <c r="O107" s="272" t="e">
        <f>SUM(O108:O113)</f>
        <v>#REF!</v>
      </c>
      <c r="P107" s="272">
        <f>SUM(P108:P113)</f>
        <v>0</v>
      </c>
    </row>
    <row r="108" spans="1:16" ht="12" hidden="1" customHeight="1" x14ac:dyDescent="0.2">
      <c r="A108" s="245"/>
      <c r="B108" s="245"/>
      <c r="C108" s="245"/>
      <c r="D108" s="245"/>
      <c r="E108" s="245"/>
      <c r="G108" s="273" t="s">
        <v>618</v>
      </c>
      <c r="H108" s="273"/>
      <c r="I108" s="273" t="s">
        <v>671</v>
      </c>
      <c r="J108" s="273"/>
      <c r="K108" s="245" t="s">
        <v>672</v>
      </c>
      <c r="L108" s="244">
        <f t="shared" ref="L108:L113" si="3">SUM(M108:P108)</f>
        <v>0</v>
      </c>
    </row>
    <row r="109" spans="1:16" ht="12" customHeight="1" x14ac:dyDescent="0.2">
      <c r="A109" s="245"/>
      <c r="B109" s="245"/>
      <c r="C109" s="245"/>
      <c r="D109" s="245"/>
      <c r="E109" s="245"/>
      <c r="G109" s="273" t="s">
        <v>618</v>
      </c>
      <c r="H109" s="273"/>
      <c r="I109" s="273" t="s">
        <v>408</v>
      </c>
      <c r="J109" s="273"/>
      <c r="K109" s="245" t="s">
        <v>409</v>
      </c>
      <c r="L109" s="244" t="e">
        <f t="shared" si="3"/>
        <v>#REF!</v>
      </c>
      <c r="M109" s="244" t="e">
        <v>#REF!</v>
      </c>
      <c r="N109" s="244" t="e">
        <v>#REF!</v>
      </c>
    </row>
    <row r="110" spans="1:16" ht="12" hidden="1" customHeight="1" x14ac:dyDescent="0.2">
      <c r="A110" s="245"/>
      <c r="B110" s="245"/>
      <c r="C110" s="245"/>
      <c r="D110" s="245"/>
      <c r="E110" s="245"/>
      <c r="G110" s="273" t="s">
        <v>618</v>
      </c>
      <c r="H110" s="273"/>
      <c r="I110" s="273" t="s">
        <v>673</v>
      </c>
      <c r="J110" s="273"/>
      <c r="K110" s="245" t="s">
        <v>674</v>
      </c>
      <c r="L110" s="244">
        <f t="shared" si="3"/>
        <v>0</v>
      </c>
    </row>
    <row r="111" spans="1:16" ht="12" hidden="1" customHeight="1" x14ac:dyDescent="0.2">
      <c r="A111" s="245"/>
      <c r="B111" s="245"/>
      <c r="C111" s="245"/>
      <c r="D111" s="245"/>
      <c r="E111" s="245"/>
      <c r="G111" s="273" t="s">
        <v>618</v>
      </c>
      <c r="H111" s="273"/>
      <c r="I111" s="273" t="s">
        <v>675</v>
      </c>
      <c r="J111" s="273"/>
      <c r="K111" s="245" t="s">
        <v>676</v>
      </c>
      <c r="L111" s="244">
        <f t="shared" si="3"/>
        <v>0</v>
      </c>
    </row>
    <row r="112" spans="1:16" ht="12" customHeight="1" x14ac:dyDescent="0.2">
      <c r="A112" s="245"/>
      <c r="B112" s="245"/>
      <c r="C112" s="245"/>
      <c r="D112" s="245"/>
      <c r="E112" s="245"/>
      <c r="G112" s="273" t="s">
        <v>618</v>
      </c>
      <c r="H112" s="273"/>
      <c r="I112" s="273" t="s">
        <v>187</v>
      </c>
      <c r="J112" s="273"/>
      <c r="K112" s="245" t="s">
        <v>188</v>
      </c>
      <c r="L112" s="244" t="e">
        <f t="shared" si="3"/>
        <v>#REF!</v>
      </c>
      <c r="M112" s="244" t="e">
        <v>#REF!</v>
      </c>
      <c r="N112" s="244" t="e">
        <v>#REF!</v>
      </c>
      <c r="O112" s="244" t="e">
        <v>#REF!</v>
      </c>
    </row>
    <row r="113" spans="1:16" ht="12" customHeight="1" x14ac:dyDescent="0.2">
      <c r="A113" s="245"/>
      <c r="B113" s="245"/>
      <c r="C113" s="245"/>
      <c r="D113" s="245"/>
      <c r="E113" s="245"/>
      <c r="G113" s="273" t="s">
        <v>618</v>
      </c>
      <c r="H113" s="273"/>
      <c r="I113" s="273" t="s">
        <v>189</v>
      </c>
      <c r="J113" s="273"/>
      <c r="K113" s="245" t="s">
        <v>677</v>
      </c>
      <c r="L113" s="244" t="e">
        <f t="shared" si="3"/>
        <v>#REF!</v>
      </c>
      <c r="M113" s="244" t="e">
        <v>#REF!</v>
      </c>
      <c r="N113" s="244" t="e">
        <v>#REF!</v>
      </c>
      <c r="O113" s="244" t="e">
        <v>#REF!</v>
      </c>
    </row>
    <row r="114" spans="1:16" ht="12" hidden="1" customHeight="1" x14ac:dyDescent="0.2">
      <c r="A114" s="245"/>
      <c r="B114" s="245"/>
      <c r="C114" s="245"/>
      <c r="D114" s="245"/>
      <c r="E114" s="245"/>
      <c r="G114" s="273" t="s">
        <v>382</v>
      </c>
      <c r="H114" s="273"/>
      <c r="I114" s="247"/>
      <c r="J114" s="247"/>
      <c r="K114" s="245"/>
    </row>
    <row r="115" spans="1:16" ht="12.75" hidden="1" customHeight="1" x14ac:dyDescent="0.2">
      <c r="A115" s="260"/>
      <c r="B115" s="260"/>
      <c r="C115" s="261"/>
      <c r="D115" s="262"/>
      <c r="E115" s="262"/>
      <c r="F115" s="263"/>
      <c r="G115" s="261" t="s">
        <v>618</v>
      </c>
      <c r="H115" s="261"/>
      <c r="I115" s="261">
        <v>2</v>
      </c>
      <c r="J115" s="261"/>
      <c r="K115" s="264" t="s">
        <v>22</v>
      </c>
      <c r="L115" s="263" t="e">
        <f>+L117+L123+L128+L136+L144+L139</f>
        <v>#REF!</v>
      </c>
      <c r="M115" s="263" t="e">
        <f>+M117+M123+M128+M136+M144+M139</f>
        <v>#REF!</v>
      </c>
      <c r="N115" s="263" t="e">
        <f>+N117+N123+N128+N136+N144+N139</f>
        <v>#REF!</v>
      </c>
      <c r="O115" s="263" t="e">
        <f>+O117+O123+O128+O136+O144+O139</f>
        <v>#REF!</v>
      </c>
      <c r="P115" s="263" t="e">
        <f>+P117+P123+P128+P136+P144+P139</f>
        <v>#REF!</v>
      </c>
    </row>
    <row r="116" spans="1:16" ht="12" hidden="1" customHeight="1" x14ac:dyDescent="0.2">
      <c r="A116" s="245"/>
      <c r="B116" s="245"/>
      <c r="C116" s="245"/>
      <c r="D116" s="245"/>
      <c r="E116" s="245"/>
      <c r="G116" s="273" t="s">
        <v>382</v>
      </c>
      <c r="H116" s="273"/>
      <c r="I116" s="274"/>
      <c r="J116" s="274"/>
      <c r="K116" s="271"/>
    </row>
    <row r="117" spans="1:16" ht="12" hidden="1" customHeight="1" x14ac:dyDescent="0.2">
      <c r="A117" s="245"/>
      <c r="B117" s="245"/>
      <c r="C117" s="245"/>
      <c r="D117" s="245"/>
      <c r="E117" s="245"/>
      <c r="G117" s="274" t="s">
        <v>618</v>
      </c>
      <c r="H117" s="274"/>
      <c r="I117" s="274" t="s">
        <v>191</v>
      </c>
      <c r="J117" s="274"/>
      <c r="K117" s="271" t="s">
        <v>678</v>
      </c>
      <c r="L117" s="272" t="e">
        <f>SUM(L118:L122)</f>
        <v>#REF!</v>
      </c>
      <c r="M117" s="272" t="e">
        <f>SUM(M118:M122)</f>
        <v>#REF!</v>
      </c>
      <c r="N117" s="272" t="e">
        <f>SUM(N118:N122)</f>
        <v>#REF!</v>
      </c>
      <c r="O117" s="272" t="e">
        <f>SUM(O118:O122)</f>
        <v>#REF!</v>
      </c>
      <c r="P117" s="272" t="e">
        <f>SUM(P118:P122)</f>
        <v>#REF!</v>
      </c>
    </row>
    <row r="118" spans="1:16" ht="12" hidden="1" customHeight="1" x14ac:dyDescent="0.2">
      <c r="A118" s="245"/>
      <c r="B118" s="245"/>
      <c r="C118" s="245"/>
      <c r="D118" s="245"/>
      <c r="E118" s="245"/>
      <c r="G118" s="273" t="s">
        <v>618</v>
      </c>
      <c r="H118" s="273"/>
      <c r="I118" s="273" t="s">
        <v>193</v>
      </c>
      <c r="J118" s="273"/>
      <c r="K118" s="245" t="s">
        <v>679</v>
      </c>
      <c r="L118" s="244" t="e">
        <f>SUM(M118:P118)</f>
        <v>#REF!</v>
      </c>
      <c r="M118" s="244" t="e">
        <v>#REF!</v>
      </c>
      <c r="N118" s="244" t="e">
        <v>#REF!</v>
      </c>
      <c r="O118" s="244" t="e">
        <v>#REF!</v>
      </c>
      <c r="P118" s="244" t="e">
        <v>#REF!</v>
      </c>
    </row>
    <row r="119" spans="1:16" ht="12" hidden="1" customHeight="1" x14ac:dyDescent="0.2">
      <c r="A119" s="245"/>
      <c r="B119" s="245"/>
      <c r="C119" s="245"/>
      <c r="D119" s="245"/>
      <c r="E119" s="245"/>
      <c r="G119" s="273" t="s">
        <v>618</v>
      </c>
      <c r="H119" s="273"/>
      <c r="I119" s="273" t="s">
        <v>195</v>
      </c>
      <c r="J119" s="273"/>
      <c r="K119" s="245" t="s">
        <v>680</v>
      </c>
      <c r="L119" s="244" t="e">
        <f>SUM(M119:P119)</f>
        <v>#REF!</v>
      </c>
      <c r="M119" s="244" t="e">
        <v>#REF!</v>
      </c>
      <c r="N119" s="244" t="e">
        <v>#REF!</v>
      </c>
      <c r="O119" s="244" t="e">
        <v>#REF!</v>
      </c>
      <c r="P119" s="244" t="e">
        <v>#REF!</v>
      </c>
    </row>
    <row r="120" spans="1:16" ht="12" hidden="1" customHeight="1" x14ac:dyDescent="0.2">
      <c r="A120" s="245"/>
      <c r="B120" s="245"/>
      <c r="C120" s="245"/>
      <c r="D120" s="245"/>
      <c r="E120" s="245"/>
      <c r="G120" s="273" t="s">
        <v>618</v>
      </c>
      <c r="H120" s="273"/>
      <c r="I120" s="273" t="s">
        <v>681</v>
      </c>
      <c r="J120" s="273"/>
      <c r="K120" s="245" t="s">
        <v>682</v>
      </c>
      <c r="L120" s="244" t="e">
        <f>SUM(M120:P120)</f>
        <v>#REF!</v>
      </c>
      <c r="N120" s="244" t="e">
        <v>#REF!</v>
      </c>
      <c r="O120" s="244">
        <v>0</v>
      </c>
      <c r="P120" s="244" t="e">
        <v>#REF!</v>
      </c>
    </row>
    <row r="121" spans="1:16" ht="12" hidden="1" customHeight="1" x14ac:dyDescent="0.2">
      <c r="A121" s="245"/>
      <c r="B121" s="245"/>
      <c r="C121" s="245"/>
      <c r="D121" s="245"/>
      <c r="E121" s="245"/>
      <c r="G121" s="273" t="s">
        <v>618</v>
      </c>
      <c r="H121" s="273"/>
      <c r="I121" s="273" t="s">
        <v>197</v>
      </c>
      <c r="J121" s="273"/>
      <c r="K121" s="245" t="s">
        <v>683</v>
      </c>
      <c r="L121" s="244" t="e">
        <f>SUM(M121:P121)</f>
        <v>#REF!</v>
      </c>
      <c r="M121" s="244" t="e">
        <v>#REF!</v>
      </c>
      <c r="N121" s="244" t="e">
        <v>#REF!</v>
      </c>
      <c r="O121" s="244" t="e">
        <v>#REF!</v>
      </c>
      <c r="P121" s="244" t="e">
        <v>#REF!</v>
      </c>
    </row>
    <row r="122" spans="1:16" ht="12" hidden="1" customHeight="1" x14ac:dyDescent="0.2">
      <c r="A122" s="245"/>
      <c r="B122" s="245"/>
      <c r="C122" s="245"/>
      <c r="D122" s="245"/>
      <c r="E122" s="245"/>
      <c r="G122" s="273" t="s">
        <v>618</v>
      </c>
      <c r="H122" s="273"/>
      <c r="I122" s="273" t="s">
        <v>199</v>
      </c>
      <c r="J122" s="273"/>
      <c r="K122" s="245" t="s">
        <v>684</v>
      </c>
      <c r="L122" s="244" t="e">
        <f>SUM(M122:P122)</f>
        <v>#REF!</v>
      </c>
      <c r="N122" s="244" t="e">
        <v>#REF!</v>
      </c>
      <c r="O122" s="244" t="e">
        <v>#REF!</v>
      </c>
      <c r="P122" s="244" t="e">
        <v>#REF!</v>
      </c>
    </row>
    <row r="123" spans="1:16" hidden="1" x14ac:dyDescent="0.2">
      <c r="A123" s="245"/>
      <c r="B123" s="245"/>
      <c r="C123" s="245"/>
      <c r="D123" s="245"/>
      <c r="E123" s="245"/>
      <c r="G123" s="274" t="s">
        <v>618</v>
      </c>
      <c r="H123" s="274"/>
      <c r="I123" s="274" t="s">
        <v>349</v>
      </c>
      <c r="J123" s="274"/>
      <c r="K123" s="271" t="s">
        <v>350</v>
      </c>
      <c r="L123" s="272" t="e">
        <f>SUM(L124:L127)</f>
        <v>#REF!</v>
      </c>
      <c r="M123" s="272" t="e">
        <f>SUM(M124:M127)</f>
        <v>#REF!</v>
      </c>
      <c r="N123" s="272" t="e">
        <f>SUM(N124:N127)</f>
        <v>#REF!</v>
      </c>
      <c r="O123" s="272" t="e">
        <f>SUM(O124:O127)</f>
        <v>#REF!</v>
      </c>
      <c r="P123" s="272" t="e">
        <f>SUM(P124:P127)</f>
        <v>#REF!</v>
      </c>
    </row>
    <row r="124" spans="1:16" ht="12" hidden="1" customHeight="1" x14ac:dyDescent="0.2">
      <c r="A124" s="245"/>
      <c r="B124" s="245"/>
      <c r="C124" s="245"/>
      <c r="D124" s="245"/>
      <c r="E124" s="245"/>
      <c r="G124" s="273" t="s">
        <v>618</v>
      </c>
      <c r="H124" s="273"/>
      <c r="I124" s="273" t="s">
        <v>685</v>
      </c>
      <c r="J124" s="273"/>
      <c r="K124" s="245" t="s">
        <v>686</v>
      </c>
      <c r="L124" s="244">
        <f>SUM(M124:P124)</f>
        <v>0</v>
      </c>
      <c r="P124" s="244">
        <v>0</v>
      </c>
    </row>
    <row r="125" spans="1:16" ht="12" hidden="1" customHeight="1" x14ac:dyDescent="0.2">
      <c r="A125" s="245"/>
      <c r="B125" s="245"/>
      <c r="C125" s="245"/>
      <c r="D125" s="245"/>
      <c r="E125" s="245"/>
      <c r="G125" s="273" t="s">
        <v>618</v>
      </c>
      <c r="H125" s="273"/>
      <c r="I125" s="273" t="s">
        <v>687</v>
      </c>
      <c r="J125" s="273"/>
      <c r="K125" s="245" t="s">
        <v>688</v>
      </c>
      <c r="L125" s="244">
        <f>SUM(M125:P125)</f>
        <v>0</v>
      </c>
      <c r="P125" s="244">
        <v>0</v>
      </c>
    </row>
    <row r="126" spans="1:16" ht="12" hidden="1" customHeight="1" x14ac:dyDescent="0.2">
      <c r="A126" s="245"/>
      <c r="B126" s="245"/>
      <c r="C126" s="245"/>
      <c r="D126" s="245"/>
      <c r="E126" s="245"/>
      <c r="G126" s="273" t="s">
        <v>618</v>
      </c>
      <c r="H126" s="273"/>
      <c r="I126" s="273" t="s">
        <v>351</v>
      </c>
      <c r="J126" s="273"/>
      <c r="K126" s="245" t="s">
        <v>362</v>
      </c>
      <c r="L126" s="244" t="e">
        <f>SUM(M126:P126)</f>
        <v>#REF!</v>
      </c>
      <c r="M126" s="244" t="e">
        <v>#REF!</v>
      </c>
      <c r="N126" s="244" t="e">
        <v>#REF!</v>
      </c>
      <c r="O126" s="244" t="e">
        <v>#REF!</v>
      </c>
      <c r="P126" s="244" t="e">
        <v>#REF!</v>
      </c>
    </row>
    <row r="127" spans="1:16" ht="12" hidden="1" customHeight="1" x14ac:dyDescent="0.2">
      <c r="A127" s="245"/>
      <c r="B127" s="245"/>
      <c r="C127" s="245"/>
      <c r="D127" s="245"/>
      <c r="E127" s="245"/>
      <c r="G127" s="273" t="s">
        <v>618</v>
      </c>
      <c r="H127" s="273"/>
      <c r="I127" s="273" t="s">
        <v>689</v>
      </c>
      <c r="J127" s="273"/>
      <c r="K127" s="245" t="s">
        <v>690</v>
      </c>
      <c r="L127" s="244">
        <f>SUM(M127:P127)</f>
        <v>0</v>
      </c>
      <c r="P127" s="244">
        <v>0</v>
      </c>
    </row>
    <row r="128" spans="1:16" ht="12" hidden="1" customHeight="1" x14ac:dyDescent="0.2">
      <c r="A128" s="245"/>
      <c r="B128" s="245"/>
      <c r="C128" s="245"/>
      <c r="D128" s="245"/>
      <c r="E128" s="245"/>
      <c r="G128" s="274" t="s">
        <v>618</v>
      </c>
      <c r="H128" s="274"/>
      <c r="I128" s="274" t="s">
        <v>201</v>
      </c>
      <c r="J128" s="274"/>
      <c r="K128" s="271" t="s">
        <v>691</v>
      </c>
      <c r="L128" s="272" t="e">
        <f>SUM(L129:L135)</f>
        <v>#REF!</v>
      </c>
      <c r="M128" s="272" t="e">
        <f>SUM(M129:M135)</f>
        <v>#REF!</v>
      </c>
      <c r="N128" s="272" t="e">
        <f>SUM(N129:N135)</f>
        <v>#REF!</v>
      </c>
      <c r="O128" s="272" t="e">
        <f>SUM(O129:O135)</f>
        <v>#REF!</v>
      </c>
      <c r="P128" s="272" t="e">
        <f>SUM(P129:P135)</f>
        <v>#REF!</v>
      </c>
    </row>
    <row r="129" spans="1:16" ht="12" hidden="1" customHeight="1" x14ac:dyDescent="0.2">
      <c r="A129" s="245"/>
      <c r="B129" s="245"/>
      <c r="C129" s="245"/>
      <c r="D129" s="245"/>
      <c r="E129" s="245"/>
      <c r="G129" s="273" t="s">
        <v>618</v>
      </c>
      <c r="H129" s="273"/>
      <c r="I129" s="273" t="s">
        <v>202</v>
      </c>
      <c r="J129" s="273"/>
      <c r="K129" s="245" t="s">
        <v>692</v>
      </c>
      <c r="L129" s="244" t="e">
        <f t="shared" ref="L129:L135" si="4">SUM(M129:P129)</f>
        <v>#REF!</v>
      </c>
      <c r="M129" s="244" t="e">
        <v>#REF!</v>
      </c>
      <c r="N129" s="244" t="e">
        <v>#REF!</v>
      </c>
      <c r="O129" s="244" t="e">
        <v>#REF!</v>
      </c>
      <c r="P129" s="244" t="e">
        <v>#REF!</v>
      </c>
    </row>
    <row r="130" spans="1:16" ht="12" hidden="1" customHeight="1" x14ac:dyDescent="0.2">
      <c r="A130" s="245"/>
      <c r="B130" s="245"/>
      <c r="C130" s="245"/>
      <c r="D130" s="245"/>
      <c r="E130" s="245"/>
      <c r="G130" s="273" t="s">
        <v>618</v>
      </c>
      <c r="H130" s="273"/>
      <c r="I130" s="273" t="s">
        <v>693</v>
      </c>
      <c r="J130" s="273"/>
      <c r="K130" s="245" t="s">
        <v>694</v>
      </c>
      <c r="L130" s="244" t="e">
        <f t="shared" si="4"/>
        <v>#REF!</v>
      </c>
      <c r="N130" s="244" t="e">
        <v>#REF!</v>
      </c>
    </row>
    <row r="131" spans="1:16" ht="12" hidden="1" customHeight="1" x14ac:dyDescent="0.2">
      <c r="A131" s="245"/>
      <c r="B131" s="245"/>
      <c r="C131" s="245"/>
      <c r="D131" s="245"/>
      <c r="E131" s="245"/>
      <c r="G131" s="273" t="s">
        <v>618</v>
      </c>
      <c r="H131" s="273"/>
      <c r="I131" s="273" t="s">
        <v>204</v>
      </c>
      <c r="J131" s="273"/>
      <c r="K131" s="245" t="s">
        <v>205</v>
      </c>
      <c r="L131" s="244" t="e">
        <f t="shared" si="4"/>
        <v>#REF!</v>
      </c>
      <c r="M131" s="244" t="e">
        <v>#REF!</v>
      </c>
      <c r="N131" s="244" t="e">
        <v>#REF!</v>
      </c>
      <c r="O131" s="244" t="e">
        <v>#REF!</v>
      </c>
      <c r="P131" s="244" t="e">
        <v>#REF!</v>
      </c>
    </row>
    <row r="132" spans="1:16" ht="12" hidden="1" customHeight="1" x14ac:dyDescent="0.2">
      <c r="A132" s="245"/>
      <c r="B132" s="245"/>
      <c r="C132" s="245"/>
      <c r="D132" s="245"/>
      <c r="E132" s="245"/>
      <c r="G132" s="273" t="s">
        <v>618</v>
      </c>
      <c r="H132" s="273"/>
      <c r="I132" s="273" t="s">
        <v>206</v>
      </c>
      <c r="J132" s="273"/>
      <c r="K132" s="245" t="s">
        <v>695</v>
      </c>
      <c r="L132" s="244" t="e">
        <f t="shared" si="4"/>
        <v>#REF!</v>
      </c>
      <c r="M132" s="244" t="e">
        <v>#REF!</v>
      </c>
      <c r="N132" s="244" t="e">
        <v>#REF!</v>
      </c>
      <c r="O132" s="244" t="e">
        <v>#REF!</v>
      </c>
      <c r="P132" s="244" t="e">
        <v>#REF!</v>
      </c>
    </row>
    <row r="133" spans="1:16" ht="12" hidden="1" customHeight="1" x14ac:dyDescent="0.2">
      <c r="A133" s="245"/>
      <c r="B133" s="245"/>
      <c r="C133" s="245"/>
      <c r="D133" s="245"/>
      <c r="E133" s="245"/>
      <c r="G133" s="273" t="s">
        <v>618</v>
      </c>
      <c r="H133" s="273"/>
      <c r="I133" s="273" t="s">
        <v>208</v>
      </c>
      <c r="J133" s="273"/>
      <c r="K133" s="245" t="s">
        <v>696</v>
      </c>
      <c r="L133" s="244" t="e">
        <f t="shared" si="4"/>
        <v>#REF!</v>
      </c>
      <c r="M133" s="244" t="e">
        <v>#REF!</v>
      </c>
      <c r="N133" s="244" t="e">
        <v>#REF!</v>
      </c>
      <c r="O133" s="244" t="e">
        <v>#REF!</v>
      </c>
      <c r="P133" s="244" t="e">
        <v>#REF!</v>
      </c>
    </row>
    <row r="134" spans="1:16" ht="12" hidden="1" customHeight="1" x14ac:dyDescent="0.2">
      <c r="A134" s="245"/>
      <c r="B134" s="245"/>
      <c r="C134" s="245"/>
      <c r="D134" s="245"/>
      <c r="E134" s="245"/>
      <c r="G134" s="273" t="s">
        <v>618</v>
      </c>
      <c r="H134" s="273"/>
      <c r="I134" s="273" t="s">
        <v>210</v>
      </c>
      <c r="J134" s="273"/>
      <c r="K134" s="245" t="s">
        <v>697</v>
      </c>
      <c r="L134" s="244" t="e">
        <f t="shared" si="4"/>
        <v>#REF!</v>
      </c>
      <c r="M134" s="244" t="e">
        <v>#REF!</v>
      </c>
      <c r="N134" s="244" t="e">
        <v>#REF!</v>
      </c>
      <c r="O134" s="244" t="e">
        <v>#REF!</v>
      </c>
      <c r="P134" s="244" t="e">
        <v>#REF!</v>
      </c>
    </row>
    <row r="135" spans="1:16" ht="12" hidden="1" customHeight="1" x14ac:dyDescent="0.2">
      <c r="A135" s="245"/>
      <c r="B135" s="245"/>
      <c r="C135" s="245"/>
      <c r="D135" s="245"/>
      <c r="E135" s="245"/>
      <c r="G135" s="273" t="s">
        <v>618</v>
      </c>
      <c r="H135" s="273"/>
      <c r="I135" s="273" t="s">
        <v>212</v>
      </c>
      <c r="J135" s="273"/>
      <c r="K135" s="245" t="s">
        <v>698</v>
      </c>
      <c r="L135" s="244" t="e">
        <f t="shared" si="4"/>
        <v>#REF!</v>
      </c>
      <c r="M135" s="244" t="e">
        <v>#REF!</v>
      </c>
      <c r="N135" s="244" t="e">
        <v>#REF!</v>
      </c>
      <c r="O135" s="244" t="e">
        <v>#REF!</v>
      </c>
      <c r="P135" s="244" t="e">
        <v>#REF!</v>
      </c>
    </row>
    <row r="136" spans="1:16" ht="12" hidden="1" customHeight="1" x14ac:dyDescent="0.2">
      <c r="A136" s="245"/>
      <c r="B136" s="245"/>
      <c r="C136" s="245"/>
      <c r="D136" s="245"/>
      <c r="E136" s="245"/>
      <c r="G136" s="274" t="s">
        <v>618</v>
      </c>
      <c r="H136" s="274"/>
      <c r="I136" s="274" t="s">
        <v>214</v>
      </c>
      <c r="J136" s="274"/>
      <c r="K136" s="271" t="s">
        <v>215</v>
      </c>
      <c r="L136" s="272" t="e">
        <f>SUM(L137:L138)</f>
        <v>#REF!</v>
      </c>
      <c r="M136" s="272" t="e">
        <f>SUM(M137:M138)</f>
        <v>#REF!</v>
      </c>
      <c r="N136" s="272" t="e">
        <f>SUM(N137:N138)</f>
        <v>#REF!</v>
      </c>
      <c r="O136" s="272" t="e">
        <f>SUM(O137:O138)</f>
        <v>#REF!</v>
      </c>
      <c r="P136" s="272" t="e">
        <f>SUM(P137:P138)</f>
        <v>#REF!</v>
      </c>
    </row>
    <row r="137" spans="1:16" ht="12" hidden="1" customHeight="1" x14ac:dyDescent="0.2">
      <c r="A137" s="245"/>
      <c r="B137" s="245"/>
      <c r="C137" s="245"/>
      <c r="D137" s="245"/>
      <c r="E137" s="245"/>
      <c r="G137" s="273" t="s">
        <v>618</v>
      </c>
      <c r="H137" s="273"/>
      <c r="I137" s="273" t="s">
        <v>216</v>
      </c>
      <c r="J137" s="273"/>
      <c r="K137" s="245" t="s">
        <v>699</v>
      </c>
      <c r="L137" s="244" t="e">
        <f t="shared" ref="L137:L143" si="5">SUM(M137:P137)</f>
        <v>#REF!</v>
      </c>
      <c r="M137" s="244" t="e">
        <v>#REF!</v>
      </c>
      <c r="N137" s="244" t="e">
        <v>#REF!</v>
      </c>
      <c r="O137" s="244" t="e">
        <v>#REF!</v>
      </c>
      <c r="P137" s="244" t="e">
        <v>#REF!</v>
      </c>
    </row>
    <row r="138" spans="1:16" ht="12" hidden="1" customHeight="1" x14ac:dyDescent="0.2">
      <c r="A138" s="245"/>
      <c r="B138" s="245"/>
      <c r="C138" s="245"/>
      <c r="D138" s="245"/>
      <c r="E138" s="245"/>
      <c r="G138" s="273" t="s">
        <v>618</v>
      </c>
      <c r="H138" s="273"/>
      <c r="I138" s="273" t="s">
        <v>218</v>
      </c>
      <c r="J138" s="273"/>
      <c r="K138" s="245" t="s">
        <v>700</v>
      </c>
      <c r="L138" s="244" t="e">
        <f t="shared" si="5"/>
        <v>#REF!</v>
      </c>
      <c r="M138" s="244" t="e">
        <v>#REF!</v>
      </c>
      <c r="N138" s="244" t="e">
        <v>#REF!</v>
      </c>
      <c r="O138" s="244" t="e">
        <v>#REF!</v>
      </c>
      <c r="P138" s="244" t="e">
        <v>#REF!</v>
      </c>
    </row>
    <row r="139" spans="1:16" ht="12" hidden="1" customHeight="1" x14ac:dyDescent="0.2">
      <c r="A139" s="245"/>
      <c r="B139" s="245"/>
      <c r="C139" s="245"/>
      <c r="D139" s="245"/>
      <c r="E139" s="245"/>
      <c r="G139" s="274" t="s">
        <v>618</v>
      </c>
      <c r="H139" s="274"/>
      <c r="I139" s="274" t="s">
        <v>701</v>
      </c>
      <c r="J139" s="274"/>
      <c r="K139" s="271" t="s">
        <v>702</v>
      </c>
      <c r="L139" s="244">
        <f t="shared" si="5"/>
        <v>0</v>
      </c>
    </row>
    <row r="140" spans="1:16" ht="12" hidden="1" customHeight="1" x14ac:dyDescent="0.2">
      <c r="A140" s="245"/>
      <c r="B140" s="245"/>
      <c r="C140" s="245"/>
      <c r="D140" s="245"/>
      <c r="E140" s="245"/>
      <c r="G140" s="273" t="s">
        <v>618</v>
      </c>
      <c r="H140" s="273"/>
      <c r="I140" s="273" t="s">
        <v>703</v>
      </c>
      <c r="J140" s="273"/>
      <c r="K140" s="245" t="s">
        <v>704</v>
      </c>
      <c r="L140" s="244">
        <f t="shared" si="5"/>
        <v>0</v>
      </c>
    </row>
    <row r="141" spans="1:16" ht="12" hidden="1" customHeight="1" x14ac:dyDescent="0.2">
      <c r="A141" s="245"/>
      <c r="B141" s="245"/>
      <c r="C141" s="245"/>
      <c r="D141" s="245"/>
      <c r="E141" s="245"/>
      <c r="G141" s="273" t="s">
        <v>618</v>
      </c>
      <c r="H141" s="273"/>
      <c r="I141" s="273" t="s">
        <v>705</v>
      </c>
      <c r="J141" s="273"/>
      <c r="K141" s="245" t="s">
        <v>706</v>
      </c>
      <c r="L141" s="244">
        <f t="shared" si="5"/>
        <v>0</v>
      </c>
    </row>
    <row r="142" spans="1:16" ht="12" hidden="1" customHeight="1" x14ac:dyDescent="0.2">
      <c r="A142" s="245"/>
      <c r="B142" s="245"/>
      <c r="C142" s="245"/>
      <c r="D142" s="245"/>
      <c r="E142" s="245"/>
      <c r="G142" s="273" t="s">
        <v>618</v>
      </c>
      <c r="H142" s="273"/>
      <c r="I142" s="273" t="s">
        <v>707</v>
      </c>
      <c r="J142" s="273"/>
      <c r="K142" s="245" t="s">
        <v>708</v>
      </c>
      <c r="L142" s="244">
        <f t="shared" si="5"/>
        <v>0</v>
      </c>
    </row>
    <row r="143" spans="1:16" ht="12" hidden="1" customHeight="1" x14ac:dyDescent="0.2">
      <c r="A143" s="245"/>
      <c r="B143" s="245"/>
      <c r="C143" s="245"/>
      <c r="D143" s="245"/>
      <c r="E143" s="245"/>
      <c r="G143" s="273" t="s">
        <v>618</v>
      </c>
      <c r="H143" s="273"/>
      <c r="I143" s="273" t="s">
        <v>709</v>
      </c>
      <c r="J143" s="273"/>
      <c r="K143" s="245" t="s">
        <v>710</v>
      </c>
      <c r="L143" s="244">
        <f t="shared" si="5"/>
        <v>0</v>
      </c>
    </row>
    <row r="144" spans="1:16" ht="12" hidden="1" customHeight="1" x14ac:dyDescent="0.2">
      <c r="A144" s="245"/>
      <c r="B144" s="245"/>
      <c r="C144" s="245"/>
      <c r="D144" s="245"/>
      <c r="E144" s="245"/>
      <c r="G144" s="274" t="s">
        <v>618</v>
      </c>
      <c r="H144" s="274"/>
      <c r="I144" s="274" t="s">
        <v>220</v>
      </c>
      <c r="J144" s="274"/>
      <c r="K144" s="271" t="s">
        <v>711</v>
      </c>
      <c r="L144" s="272" t="e">
        <f>SUM(L145:L152)</f>
        <v>#REF!</v>
      </c>
      <c r="M144" s="272" t="e">
        <f>SUM(M145:M152)</f>
        <v>#REF!</v>
      </c>
      <c r="N144" s="272" t="e">
        <f>SUM(N145:N152)</f>
        <v>#REF!</v>
      </c>
      <c r="O144" s="272" t="e">
        <f>SUM(O145:O152)</f>
        <v>#REF!</v>
      </c>
      <c r="P144" s="272" t="e">
        <f>SUM(P145:P152)</f>
        <v>#REF!</v>
      </c>
    </row>
    <row r="145" spans="1:16" ht="12" hidden="1" customHeight="1" x14ac:dyDescent="0.2">
      <c r="A145" s="245"/>
      <c r="B145" s="245"/>
      <c r="C145" s="245"/>
      <c r="D145" s="245"/>
      <c r="E145" s="245"/>
      <c r="G145" s="273" t="s">
        <v>618</v>
      </c>
      <c r="H145" s="273"/>
      <c r="I145" s="273" t="s">
        <v>221</v>
      </c>
      <c r="J145" s="273"/>
      <c r="K145" s="245" t="s">
        <v>712</v>
      </c>
      <c r="L145" s="244" t="e">
        <f t="shared" ref="L145:L152" si="6">SUM(M145:P145)</f>
        <v>#REF!</v>
      </c>
      <c r="M145" s="244" t="e">
        <v>#REF!</v>
      </c>
      <c r="N145" s="244" t="e">
        <v>#REF!</v>
      </c>
      <c r="O145" s="244" t="e">
        <v>#REF!</v>
      </c>
      <c r="P145" s="244" t="e">
        <v>#REF!</v>
      </c>
    </row>
    <row r="146" spans="1:16" ht="12" hidden="1" customHeight="1" x14ac:dyDescent="0.2">
      <c r="A146" s="245"/>
      <c r="B146" s="245"/>
      <c r="C146" s="245"/>
      <c r="D146" s="245"/>
      <c r="E146" s="245"/>
      <c r="G146" s="273" t="s">
        <v>618</v>
      </c>
      <c r="H146" s="273"/>
      <c r="I146" s="273" t="s">
        <v>223</v>
      </c>
      <c r="J146" s="273"/>
      <c r="K146" s="245" t="s">
        <v>713</v>
      </c>
      <c r="L146" s="244" t="e">
        <f t="shared" si="6"/>
        <v>#REF!</v>
      </c>
      <c r="M146" s="244" t="e">
        <v>#REF!</v>
      </c>
      <c r="N146" s="244" t="e">
        <v>#REF!</v>
      </c>
      <c r="O146" s="244" t="e">
        <v>#REF!</v>
      </c>
      <c r="P146" s="244" t="e">
        <v>#REF!</v>
      </c>
    </row>
    <row r="147" spans="1:16" ht="12" hidden="1" customHeight="1" x14ac:dyDescent="0.2">
      <c r="A147" s="245"/>
      <c r="B147" s="245"/>
      <c r="C147" s="245"/>
      <c r="D147" s="245"/>
      <c r="E147" s="245"/>
      <c r="G147" s="273" t="s">
        <v>618</v>
      </c>
      <c r="H147" s="273"/>
      <c r="I147" s="273" t="s">
        <v>224</v>
      </c>
      <c r="J147" s="273"/>
      <c r="K147" s="245" t="s">
        <v>714</v>
      </c>
      <c r="L147" s="244" t="e">
        <f t="shared" si="6"/>
        <v>#REF!</v>
      </c>
      <c r="M147" s="244" t="e">
        <v>#REF!</v>
      </c>
      <c r="N147" s="244" t="e">
        <v>#REF!</v>
      </c>
      <c r="O147" s="244" t="e">
        <v>#REF!</v>
      </c>
      <c r="P147" s="244" t="e">
        <v>#REF!</v>
      </c>
    </row>
    <row r="148" spans="1:16" ht="12" hidden="1" customHeight="1" x14ac:dyDescent="0.2">
      <c r="A148" s="245"/>
      <c r="B148" s="245"/>
      <c r="C148" s="245"/>
      <c r="D148" s="245"/>
      <c r="E148" s="245"/>
      <c r="G148" s="273" t="s">
        <v>618</v>
      </c>
      <c r="H148" s="273"/>
      <c r="I148" s="273" t="s">
        <v>226</v>
      </c>
      <c r="J148" s="273"/>
      <c r="K148" s="245" t="s">
        <v>715</v>
      </c>
      <c r="L148" s="244">
        <f t="shared" si="6"/>
        <v>1026727700</v>
      </c>
      <c r="M148" s="244">
        <v>929740200</v>
      </c>
      <c r="N148" s="244">
        <v>74047700</v>
      </c>
      <c r="O148" s="244">
        <v>0</v>
      </c>
      <c r="P148" s="244">
        <v>22939800</v>
      </c>
    </row>
    <row r="149" spans="1:16" ht="12" hidden="1" customHeight="1" x14ac:dyDescent="0.2">
      <c r="A149" s="245"/>
      <c r="B149" s="245"/>
      <c r="C149" s="245"/>
      <c r="D149" s="245"/>
      <c r="E149" s="245"/>
      <c r="G149" s="273" t="s">
        <v>618</v>
      </c>
      <c r="H149" s="273"/>
      <c r="I149" s="273" t="s">
        <v>228</v>
      </c>
      <c r="J149" s="273"/>
      <c r="K149" s="245" t="s">
        <v>716</v>
      </c>
      <c r="L149" s="244">
        <f t="shared" si="6"/>
        <v>12932200</v>
      </c>
      <c r="M149" s="244">
        <v>0</v>
      </c>
      <c r="N149" s="244">
        <v>0</v>
      </c>
      <c r="O149" s="244">
        <v>12932200</v>
      </c>
      <c r="P149" s="244">
        <v>0</v>
      </c>
    </row>
    <row r="150" spans="1:16" ht="12" hidden="1" customHeight="1" x14ac:dyDescent="0.2">
      <c r="A150" s="245"/>
      <c r="B150" s="245"/>
      <c r="C150" s="245"/>
      <c r="D150" s="245"/>
      <c r="E150" s="245"/>
      <c r="G150" s="273" t="s">
        <v>618</v>
      </c>
      <c r="H150" s="273"/>
      <c r="I150" s="273" t="s">
        <v>230</v>
      </c>
      <c r="J150" s="273"/>
      <c r="K150" s="245" t="s">
        <v>717</v>
      </c>
      <c r="L150" s="244">
        <f t="shared" si="6"/>
        <v>5000000</v>
      </c>
      <c r="M150" s="244">
        <v>5000000</v>
      </c>
      <c r="N150" s="244">
        <v>0</v>
      </c>
      <c r="O150" s="244">
        <v>0</v>
      </c>
      <c r="P150" s="244">
        <v>0</v>
      </c>
    </row>
    <row r="151" spans="1:16" ht="12" hidden="1" customHeight="1" x14ac:dyDescent="0.2">
      <c r="A151" s="245"/>
      <c r="B151" s="245"/>
      <c r="C151" s="245"/>
      <c r="D151" s="245"/>
      <c r="E151" s="245"/>
      <c r="G151" s="277" t="s">
        <v>618</v>
      </c>
      <c r="H151" s="277"/>
      <c r="I151" s="273" t="s">
        <v>366</v>
      </c>
      <c r="J151" s="273"/>
      <c r="K151" s="245" t="s">
        <v>410</v>
      </c>
      <c r="L151" s="244">
        <f t="shared" si="6"/>
        <v>1044659900</v>
      </c>
      <c r="M151" s="244">
        <v>934740200</v>
      </c>
      <c r="N151" s="244">
        <v>74047700</v>
      </c>
      <c r="O151" s="244">
        <v>12932200</v>
      </c>
      <c r="P151" s="244">
        <v>22939800</v>
      </c>
    </row>
    <row r="152" spans="1:16" ht="12" hidden="1" customHeight="1" x14ac:dyDescent="0.2">
      <c r="A152" s="245"/>
      <c r="B152" s="245"/>
      <c r="C152" s="245"/>
      <c r="D152" s="245"/>
      <c r="E152" s="245"/>
      <c r="G152" s="277" t="s">
        <v>618</v>
      </c>
      <c r="H152" s="277"/>
      <c r="I152" s="273" t="s">
        <v>232</v>
      </c>
      <c r="J152" s="273"/>
      <c r="K152" s="245" t="s">
        <v>718</v>
      </c>
      <c r="L152" s="244">
        <f t="shared" si="6"/>
        <v>10851600</v>
      </c>
      <c r="M152" s="244">
        <v>5751600</v>
      </c>
      <c r="N152" s="244">
        <v>0</v>
      </c>
      <c r="O152" s="244">
        <v>5100000</v>
      </c>
      <c r="P152" s="244">
        <v>0</v>
      </c>
    </row>
    <row r="153" spans="1:16" ht="12" hidden="1" customHeight="1" x14ac:dyDescent="0.2">
      <c r="A153" s="245"/>
      <c r="B153" s="245"/>
      <c r="C153" s="245"/>
      <c r="D153" s="245"/>
      <c r="E153" s="245"/>
      <c r="G153" s="277"/>
      <c r="H153" s="277"/>
      <c r="I153" s="273"/>
      <c r="J153" s="273"/>
      <c r="K153" s="245"/>
    </row>
    <row r="154" spans="1:16" ht="12" hidden="1" customHeight="1" x14ac:dyDescent="0.2">
      <c r="A154" s="245"/>
      <c r="B154" s="245"/>
      <c r="C154" s="245"/>
      <c r="D154" s="245"/>
      <c r="E154" s="245"/>
      <c r="G154" s="277"/>
      <c r="H154" s="277"/>
      <c r="I154" s="273"/>
      <c r="J154" s="273"/>
      <c r="K154" s="245"/>
    </row>
    <row r="155" spans="1:16" ht="12" hidden="1" customHeight="1" x14ac:dyDescent="0.2"/>
    <row r="156" spans="1:16" ht="12" hidden="1" customHeight="1" thickBot="1" x14ac:dyDescent="0.25">
      <c r="A156" s="279"/>
      <c r="B156" s="279"/>
      <c r="C156" s="279"/>
      <c r="D156" s="279"/>
      <c r="E156" s="279"/>
      <c r="F156" s="280"/>
      <c r="G156" s="281"/>
      <c r="H156" s="281"/>
      <c r="I156" s="282"/>
      <c r="J156" s="282"/>
      <c r="K156" s="279"/>
    </row>
    <row r="157" spans="1:16" ht="12" hidden="1" customHeight="1" x14ac:dyDescent="0.2">
      <c r="A157" s="245"/>
      <c r="B157" s="245"/>
      <c r="C157" s="245"/>
      <c r="D157" s="245"/>
      <c r="E157" s="245"/>
      <c r="G157" s="277"/>
      <c r="H157" s="277"/>
      <c r="I157" s="274">
        <v>3</v>
      </c>
      <c r="J157" s="274"/>
      <c r="K157" s="271" t="s">
        <v>719</v>
      </c>
    </row>
    <row r="158" spans="1:16" ht="12" hidden="1" customHeight="1" x14ac:dyDescent="0.2">
      <c r="A158" s="245"/>
      <c r="B158" s="245"/>
      <c r="C158" s="245"/>
      <c r="D158" s="245"/>
      <c r="E158" s="245"/>
      <c r="G158" s="277" t="s">
        <v>618</v>
      </c>
      <c r="H158" s="277"/>
      <c r="I158" s="274" t="s">
        <v>720</v>
      </c>
      <c r="J158" s="274"/>
      <c r="K158" s="271" t="s">
        <v>721</v>
      </c>
    </row>
    <row r="159" spans="1:16" ht="12" hidden="1" customHeight="1" x14ac:dyDescent="0.2">
      <c r="A159" s="245"/>
      <c r="B159" s="245"/>
      <c r="C159" s="245"/>
      <c r="D159" s="245"/>
      <c r="E159" s="245"/>
      <c r="G159" s="277" t="s">
        <v>618</v>
      </c>
      <c r="H159" s="277"/>
      <c r="I159" s="273" t="s">
        <v>722</v>
      </c>
      <c r="J159" s="273"/>
      <c r="K159" s="247" t="s">
        <v>723</v>
      </c>
      <c r="L159" s="244">
        <v>0</v>
      </c>
    </row>
    <row r="160" spans="1:16" ht="12" hidden="1" customHeight="1" x14ac:dyDescent="0.2">
      <c r="A160" s="245"/>
      <c r="B160" s="245"/>
      <c r="C160" s="245"/>
      <c r="D160" s="245"/>
      <c r="E160" s="245"/>
      <c r="G160" s="277" t="s">
        <v>618</v>
      </c>
      <c r="H160" s="277"/>
      <c r="I160" s="273" t="s">
        <v>724</v>
      </c>
      <c r="J160" s="273"/>
      <c r="K160" s="245" t="s">
        <v>725</v>
      </c>
      <c r="L160" s="244">
        <v>0</v>
      </c>
    </row>
    <row r="161" spans="1:16" ht="12" hidden="1" customHeight="1" x14ac:dyDescent="0.2">
      <c r="A161" s="245"/>
      <c r="B161" s="245"/>
      <c r="C161" s="245"/>
      <c r="D161" s="245"/>
      <c r="E161" s="245"/>
      <c r="G161" s="277" t="s">
        <v>618</v>
      </c>
      <c r="H161" s="277"/>
      <c r="I161" s="273" t="s">
        <v>726</v>
      </c>
      <c r="J161" s="273"/>
      <c r="K161" s="247" t="s">
        <v>727</v>
      </c>
      <c r="L161" s="244">
        <v>0</v>
      </c>
    </row>
    <row r="162" spans="1:16" ht="12" hidden="1" customHeight="1" x14ac:dyDescent="0.2">
      <c r="A162" s="245"/>
      <c r="B162" s="245"/>
      <c r="C162" s="245"/>
      <c r="D162" s="245"/>
      <c r="E162" s="245"/>
      <c r="G162" s="277" t="s">
        <v>618</v>
      </c>
      <c r="H162" s="277"/>
      <c r="I162" s="273" t="s">
        <v>728</v>
      </c>
      <c r="J162" s="273"/>
      <c r="K162" s="245" t="s">
        <v>729</v>
      </c>
      <c r="L162" s="244">
        <v>0</v>
      </c>
    </row>
    <row r="163" spans="1:16" ht="12" hidden="1" customHeight="1" x14ac:dyDescent="0.2">
      <c r="A163" s="245"/>
      <c r="B163" s="245"/>
      <c r="C163" s="245"/>
      <c r="D163" s="245"/>
      <c r="E163" s="245"/>
      <c r="G163" s="277"/>
      <c r="H163" s="277"/>
      <c r="I163" s="273"/>
      <c r="J163" s="273"/>
      <c r="K163" s="245"/>
      <c r="L163" s="244">
        <v>0</v>
      </c>
    </row>
    <row r="164" spans="1:16" ht="12" hidden="1" customHeight="1" x14ac:dyDescent="0.2">
      <c r="A164" s="245"/>
      <c r="B164" s="245"/>
      <c r="C164" s="245"/>
      <c r="D164" s="245"/>
      <c r="E164" s="245"/>
      <c r="G164" s="274" t="s">
        <v>382</v>
      </c>
      <c r="H164" s="274"/>
      <c r="I164" s="283">
        <v>9</v>
      </c>
      <c r="J164" s="283"/>
      <c r="K164" s="284" t="s">
        <v>58</v>
      </c>
    </row>
    <row r="165" spans="1:16" ht="12" hidden="1" customHeight="1" x14ac:dyDescent="0.2">
      <c r="A165" s="245"/>
      <c r="B165" s="245"/>
      <c r="C165" s="245"/>
      <c r="D165" s="245"/>
      <c r="E165" s="245"/>
      <c r="G165" s="273" t="s">
        <v>618</v>
      </c>
      <c r="H165" s="273"/>
      <c r="I165" s="276" t="s">
        <v>730</v>
      </c>
      <c r="J165" s="276"/>
      <c r="K165" s="284" t="s">
        <v>731</v>
      </c>
    </row>
    <row r="166" spans="1:16" ht="12" hidden="1" customHeight="1" x14ac:dyDescent="0.2">
      <c r="A166" s="245"/>
      <c r="B166" s="245"/>
      <c r="C166" s="245"/>
      <c r="D166" s="245"/>
      <c r="E166" s="245"/>
      <c r="G166" s="273" t="s">
        <v>618</v>
      </c>
      <c r="H166" s="273"/>
      <c r="I166" s="277" t="s">
        <v>732</v>
      </c>
      <c r="J166" s="277"/>
      <c r="K166" s="247" t="s">
        <v>733</v>
      </c>
      <c r="L166" s="244">
        <v>0</v>
      </c>
    </row>
    <row r="167" spans="1:16" ht="12" hidden="1" customHeight="1" x14ac:dyDescent="0.2">
      <c r="A167" s="245"/>
      <c r="B167" s="245"/>
      <c r="C167" s="245"/>
      <c r="D167" s="245"/>
      <c r="E167" s="245"/>
      <c r="G167" s="247"/>
      <c r="H167" s="247"/>
      <c r="I167" s="247"/>
      <c r="J167" s="247"/>
      <c r="K167" s="245"/>
    </row>
    <row r="168" spans="1:16" s="269" customFormat="1" ht="12" hidden="1" customHeight="1" x14ac:dyDescent="0.2">
      <c r="A168" s="262"/>
      <c r="B168" s="262" t="s">
        <v>734</v>
      </c>
      <c r="C168" s="261" t="s">
        <v>735</v>
      </c>
      <c r="D168" s="262"/>
      <c r="E168" s="262"/>
      <c r="F168" s="263"/>
      <c r="G168" s="261" t="s">
        <v>382</v>
      </c>
      <c r="H168" s="261"/>
      <c r="I168" s="261">
        <v>3</v>
      </c>
      <c r="J168" s="261"/>
      <c r="K168" s="264" t="s">
        <v>736</v>
      </c>
      <c r="L168" s="263"/>
      <c r="M168" s="263"/>
      <c r="N168" s="263"/>
      <c r="O168" s="263"/>
      <c r="P168" s="263"/>
    </row>
    <row r="169" spans="1:16" ht="12" hidden="1" customHeight="1" x14ac:dyDescent="0.2">
      <c r="A169" s="245"/>
      <c r="B169" s="274"/>
      <c r="C169" s="269"/>
      <c r="E169" s="245"/>
      <c r="G169" s="277"/>
      <c r="H169" s="277"/>
      <c r="I169" s="283"/>
      <c r="J169" s="283"/>
      <c r="K169" s="271"/>
    </row>
    <row r="170" spans="1:16" s="269" customFormat="1" ht="12" hidden="1" customHeight="1" x14ac:dyDescent="0.2">
      <c r="A170" s="268"/>
      <c r="B170" s="268"/>
      <c r="C170" s="268" t="s">
        <v>737</v>
      </c>
      <c r="D170" s="285" t="s">
        <v>738</v>
      </c>
      <c r="E170" s="268"/>
      <c r="F170" s="286"/>
      <c r="G170" s="268"/>
      <c r="H170" s="268"/>
      <c r="I170" s="268"/>
      <c r="J170" s="268"/>
      <c r="K170" s="268"/>
      <c r="L170" s="286"/>
      <c r="M170" s="286"/>
      <c r="N170" s="286"/>
      <c r="O170" s="286"/>
      <c r="P170" s="286"/>
    </row>
    <row r="171" spans="1:16" ht="12" hidden="1" customHeight="1" x14ac:dyDescent="0.2">
      <c r="A171" s="245"/>
      <c r="B171" s="245"/>
      <c r="E171" s="245"/>
      <c r="G171" s="276" t="s">
        <v>737</v>
      </c>
      <c r="H171" s="276"/>
      <c r="I171" s="276" t="s">
        <v>739</v>
      </c>
      <c r="J171" s="276"/>
      <c r="K171" s="271" t="s">
        <v>740</v>
      </c>
    </row>
    <row r="172" spans="1:16" ht="12" hidden="1" customHeight="1" x14ac:dyDescent="0.2">
      <c r="A172" s="245"/>
      <c r="B172" s="245"/>
      <c r="C172" s="245"/>
      <c r="D172" s="245"/>
      <c r="E172" s="245"/>
      <c r="G172" s="277" t="s">
        <v>737</v>
      </c>
      <c r="H172" s="277"/>
      <c r="I172" s="273" t="s">
        <v>741</v>
      </c>
      <c r="J172" s="273"/>
      <c r="K172" s="245" t="s">
        <v>742</v>
      </c>
      <c r="L172" s="244">
        <v>0</v>
      </c>
    </row>
    <row r="173" spans="1:16" ht="12" hidden="1" customHeight="1" x14ac:dyDescent="0.2">
      <c r="A173" s="245"/>
      <c r="B173" s="245"/>
      <c r="C173" s="245"/>
      <c r="D173" s="245"/>
      <c r="E173" s="245"/>
      <c r="G173" s="277" t="s">
        <v>737</v>
      </c>
      <c r="H173" s="277"/>
      <c r="I173" s="273" t="s">
        <v>743</v>
      </c>
      <c r="J173" s="273"/>
      <c r="K173" s="245" t="s">
        <v>744</v>
      </c>
      <c r="L173" s="244">
        <v>0</v>
      </c>
    </row>
    <row r="174" spans="1:16" ht="12" hidden="1" customHeight="1" x14ac:dyDescent="0.2">
      <c r="A174" s="245"/>
      <c r="B174" s="245"/>
      <c r="C174" s="245"/>
      <c r="D174" s="245"/>
      <c r="E174" s="245"/>
      <c r="G174" s="276" t="s">
        <v>737</v>
      </c>
      <c r="H174" s="276"/>
      <c r="I174" s="274" t="s">
        <v>745</v>
      </c>
      <c r="J174" s="274"/>
      <c r="K174" s="271" t="s">
        <v>746</v>
      </c>
      <c r="L174" s="244">
        <v>0</v>
      </c>
    </row>
    <row r="175" spans="1:16" ht="12" hidden="1" customHeight="1" x14ac:dyDescent="0.2">
      <c r="A175" s="245"/>
      <c r="B175" s="245"/>
      <c r="C175" s="245"/>
      <c r="D175" s="245"/>
      <c r="E175" s="245"/>
      <c r="G175" s="277" t="s">
        <v>737</v>
      </c>
      <c r="H175" s="277"/>
      <c r="I175" s="273" t="s">
        <v>747</v>
      </c>
      <c r="J175" s="273"/>
      <c r="K175" s="247" t="s">
        <v>748</v>
      </c>
      <c r="L175" s="244">
        <v>0</v>
      </c>
    </row>
    <row r="176" spans="1:16" ht="12" hidden="1" customHeight="1" x14ac:dyDescent="0.2">
      <c r="A176" s="245"/>
      <c r="B176" s="245"/>
      <c r="C176" s="245"/>
      <c r="D176" s="245"/>
      <c r="E176" s="245"/>
      <c r="G176" s="277" t="s">
        <v>737</v>
      </c>
      <c r="H176" s="277"/>
      <c r="I176" s="273" t="s">
        <v>749</v>
      </c>
      <c r="J176" s="273"/>
      <c r="K176" s="247" t="s">
        <v>750</v>
      </c>
      <c r="L176" s="244">
        <v>0</v>
      </c>
    </row>
    <row r="177" spans="1:16" ht="12" hidden="1" customHeight="1" x14ac:dyDescent="0.2">
      <c r="A177" s="245"/>
      <c r="B177" s="245"/>
      <c r="C177" s="245"/>
      <c r="D177" s="245"/>
      <c r="E177" s="245"/>
      <c r="G177" s="277" t="s">
        <v>737</v>
      </c>
      <c r="H177" s="277"/>
      <c r="I177" s="273" t="s">
        <v>751</v>
      </c>
      <c r="J177" s="273"/>
      <c r="K177" s="247" t="s">
        <v>752</v>
      </c>
      <c r="L177" s="244">
        <v>0</v>
      </c>
    </row>
    <row r="178" spans="1:16" ht="12" hidden="1" customHeight="1" x14ac:dyDescent="0.2">
      <c r="A178" s="245"/>
      <c r="B178" s="245"/>
      <c r="C178" s="245"/>
      <c r="D178" s="245"/>
      <c r="E178" s="245"/>
      <c r="G178" s="277" t="s">
        <v>737</v>
      </c>
      <c r="H178" s="277"/>
      <c r="I178" s="273" t="s">
        <v>753</v>
      </c>
      <c r="J178" s="273"/>
      <c r="K178" s="247" t="s">
        <v>754</v>
      </c>
      <c r="L178" s="244">
        <v>0</v>
      </c>
    </row>
    <row r="179" spans="1:16" ht="12" hidden="1" customHeight="1" x14ac:dyDescent="0.2">
      <c r="A179" s="245"/>
      <c r="B179" s="245"/>
      <c r="C179" s="245"/>
      <c r="D179" s="245"/>
      <c r="E179" s="245"/>
      <c r="G179" s="277" t="s">
        <v>737</v>
      </c>
      <c r="H179" s="277"/>
      <c r="I179" s="273" t="s">
        <v>755</v>
      </c>
      <c r="J179" s="273"/>
      <c r="K179" s="247" t="s">
        <v>756</v>
      </c>
      <c r="L179" s="244">
        <v>0</v>
      </c>
    </row>
    <row r="180" spans="1:16" ht="12" hidden="1" customHeight="1" x14ac:dyDescent="0.2">
      <c r="A180" s="245"/>
      <c r="B180" s="245"/>
      <c r="C180" s="245"/>
      <c r="D180" s="245"/>
      <c r="E180" s="245"/>
      <c r="G180" s="277" t="s">
        <v>737</v>
      </c>
      <c r="H180" s="277"/>
      <c r="I180" s="273" t="s">
        <v>757</v>
      </c>
      <c r="J180" s="273"/>
      <c r="K180" s="247" t="s">
        <v>758</v>
      </c>
      <c r="L180" s="244">
        <v>0</v>
      </c>
    </row>
    <row r="181" spans="1:16" ht="12" hidden="1" customHeight="1" x14ac:dyDescent="0.2">
      <c r="A181" s="245"/>
      <c r="B181" s="245"/>
      <c r="C181" s="245"/>
      <c r="D181" s="245"/>
      <c r="E181" s="245"/>
      <c r="G181" s="277" t="s">
        <v>737</v>
      </c>
      <c r="H181" s="277"/>
      <c r="I181" s="273" t="s">
        <v>759</v>
      </c>
      <c r="J181" s="273"/>
      <c r="K181" s="247" t="s">
        <v>760</v>
      </c>
      <c r="L181" s="244">
        <v>0</v>
      </c>
    </row>
    <row r="182" spans="1:16" ht="12" hidden="1" customHeight="1" x14ac:dyDescent="0.2">
      <c r="A182" s="245"/>
      <c r="B182" s="245"/>
      <c r="C182" s="245"/>
      <c r="D182" s="245"/>
      <c r="E182" s="245"/>
      <c r="G182" s="277" t="s">
        <v>737</v>
      </c>
      <c r="H182" s="277"/>
      <c r="I182" s="274" t="s">
        <v>761</v>
      </c>
      <c r="J182" s="274"/>
      <c r="K182" s="284" t="s">
        <v>762</v>
      </c>
      <c r="L182" s="244">
        <v>0</v>
      </c>
    </row>
    <row r="183" spans="1:16" ht="14.25" hidden="1" customHeight="1" x14ac:dyDescent="0.2">
      <c r="A183" s="245"/>
      <c r="B183" s="245"/>
      <c r="C183" s="245"/>
      <c r="D183" s="245"/>
      <c r="E183" s="245"/>
      <c r="G183" s="277" t="s">
        <v>737</v>
      </c>
      <c r="H183" s="277"/>
      <c r="I183" s="273" t="s">
        <v>763</v>
      </c>
      <c r="J183" s="273"/>
      <c r="K183" s="247" t="s">
        <v>764</v>
      </c>
      <c r="L183" s="244">
        <v>0</v>
      </c>
    </row>
    <row r="184" spans="1:16" ht="12" hidden="1" customHeight="1" x14ac:dyDescent="0.2">
      <c r="A184" s="245"/>
      <c r="B184" s="245"/>
      <c r="C184" s="245"/>
      <c r="D184" s="245"/>
      <c r="E184" s="245"/>
      <c r="G184" s="277" t="s">
        <v>737</v>
      </c>
      <c r="H184" s="277"/>
      <c r="I184" s="273" t="s">
        <v>765</v>
      </c>
      <c r="J184" s="273"/>
      <c r="K184" s="247" t="s">
        <v>766</v>
      </c>
      <c r="L184" s="244">
        <v>0</v>
      </c>
    </row>
    <row r="185" spans="1:16" ht="12" hidden="1" customHeight="1" x14ac:dyDescent="0.2">
      <c r="A185" s="245"/>
      <c r="B185" s="245"/>
      <c r="C185" s="245"/>
      <c r="D185" s="245"/>
      <c r="E185" s="245"/>
      <c r="G185" s="277" t="s">
        <v>737</v>
      </c>
      <c r="H185" s="277"/>
      <c r="I185" s="274" t="s">
        <v>720</v>
      </c>
      <c r="J185" s="274"/>
      <c r="K185" s="284" t="s">
        <v>721</v>
      </c>
      <c r="L185" s="244">
        <v>0</v>
      </c>
    </row>
    <row r="186" spans="1:16" ht="12" hidden="1" customHeight="1" x14ac:dyDescent="0.2">
      <c r="A186" s="245"/>
      <c r="B186" s="245"/>
      <c r="C186" s="245"/>
      <c r="D186" s="245"/>
      <c r="E186" s="245"/>
      <c r="G186" s="277" t="s">
        <v>737</v>
      </c>
      <c r="H186" s="277"/>
      <c r="I186" s="273" t="s">
        <v>767</v>
      </c>
      <c r="J186" s="273"/>
      <c r="K186" s="247" t="s">
        <v>768</v>
      </c>
      <c r="L186" s="244">
        <v>0</v>
      </c>
    </row>
    <row r="187" spans="1:16" ht="12" hidden="1" customHeight="1" x14ac:dyDescent="0.2">
      <c r="A187" s="245"/>
      <c r="B187" s="245"/>
      <c r="C187" s="245"/>
      <c r="D187" s="245"/>
      <c r="E187" s="245"/>
      <c r="G187" s="277"/>
      <c r="H187" s="277"/>
      <c r="I187" s="273"/>
      <c r="J187" s="273"/>
      <c r="K187" s="247"/>
      <c r="L187" s="244">
        <v>0</v>
      </c>
    </row>
    <row r="188" spans="1:16" s="269" customFormat="1" ht="12" hidden="1" customHeight="1" x14ac:dyDescent="0.2">
      <c r="A188" s="268"/>
      <c r="B188" s="268"/>
      <c r="C188" s="268" t="s">
        <v>769</v>
      </c>
      <c r="D188" s="285" t="s">
        <v>770</v>
      </c>
      <c r="E188" s="268"/>
      <c r="F188" s="286"/>
      <c r="G188" s="268" t="s">
        <v>382</v>
      </c>
      <c r="H188" s="268"/>
      <c r="I188" s="268"/>
      <c r="J188" s="268"/>
      <c r="K188" s="268"/>
      <c r="L188" s="286"/>
      <c r="M188" s="286"/>
      <c r="N188" s="286"/>
      <c r="O188" s="286"/>
      <c r="P188" s="286"/>
    </row>
    <row r="189" spans="1:16" ht="12" hidden="1" customHeight="1" x14ac:dyDescent="0.2">
      <c r="A189" s="245"/>
      <c r="B189" s="245"/>
      <c r="C189" s="245"/>
      <c r="D189" s="245"/>
      <c r="E189" s="245"/>
      <c r="G189" s="276" t="s">
        <v>771</v>
      </c>
      <c r="H189" s="276"/>
      <c r="I189" s="276" t="s">
        <v>739</v>
      </c>
      <c r="J189" s="276"/>
      <c r="K189" s="271" t="s">
        <v>740</v>
      </c>
    </row>
    <row r="190" spans="1:16" ht="12" hidden="1" customHeight="1" x14ac:dyDescent="0.2">
      <c r="A190" s="245"/>
      <c r="B190" s="245"/>
      <c r="C190" s="245"/>
      <c r="D190" s="245"/>
      <c r="E190" s="245"/>
      <c r="G190" s="277" t="s">
        <v>771</v>
      </c>
      <c r="H190" s="277"/>
      <c r="I190" s="273" t="s">
        <v>772</v>
      </c>
      <c r="J190" s="273"/>
      <c r="K190" s="245" t="s">
        <v>773</v>
      </c>
      <c r="L190" s="244">
        <v>0</v>
      </c>
    </row>
    <row r="191" spans="1:16" ht="12" hidden="1" customHeight="1" x14ac:dyDescent="0.2">
      <c r="A191" s="245"/>
      <c r="B191" s="245"/>
      <c r="C191" s="245"/>
      <c r="D191" s="245" t="s">
        <v>382</v>
      </c>
      <c r="E191" s="245"/>
      <c r="G191" s="277" t="s">
        <v>771</v>
      </c>
      <c r="H191" s="277"/>
      <c r="I191" s="273" t="s">
        <v>774</v>
      </c>
      <c r="J191" s="273"/>
      <c r="K191" s="245" t="s">
        <v>775</v>
      </c>
      <c r="L191" s="244">
        <v>0</v>
      </c>
    </row>
    <row r="192" spans="1:16" ht="12" hidden="1" customHeight="1" x14ac:dyDescent="0.2">
      <c r="A192" s="245"/>
      <c r="B192" s="245"/>
      <c r="C192" s="245"/>
      <c r="D192" s="245"/>
      <c r="E192" s="245"/>
      <c r="G192" s="276" t="s">
        <v>771</v>
      </c>
      <c r="H192" s="276"/>
      <c r="I192" s="274" t="s">
        <v>745</v>
      </c>
      <c r="J192" s="274"/>
      <c r="K192" s="271" t="s">
        <v>746</v>
      </c>
    </row>
    <row r="193" spans="1:16" ht="12" hidden="1" customHeight="1" x14ac:dyDescent="0.2">
      <c r="A193" s="245"/>
      <c r="B193" s="245"/>
      <c r="C193" s="245"/>
      <c r="D193" s="245"/>
      <c r="E193" s="245"/>
      <c r="G193" s="277" t="s">
        <v>771</v>
      </c>
      <c r="H193" s="277"/>
      <c r="I193" s="273" t="s">
        <v>776</v>
      </c>
      <c r="J193" s="273"/>
      <c r="K193" s="247" t="s">
        <v>777</v>
      </c>
      <c r="L193" s="244">
        <v>0</v>
      </c>
    </row>
    <row r="194" spans="1:16" ht="12" hidden="1" customHeight="1" x14ac:dyDescent="0.2">
      <c r="A194" s="245"/>
      <c r="B194" s="245"/>
      <c r="C194" s="245"/>
      <c r="D194" s="245"/>
      <c r="E194" s="245" t="s">
        <v>382</v>
      </c>
      <c r="G194" s="276" t="s">
        <v>771</v>
      </c>
      <c r="H194" s="276"/>
      <c r="I194" s="274" t="s">
        <v>761</v>
      </c>
      <c r="J194" s="274"/>
      <c r="K194" s="284" t="s">
        <v>762</v>
      </c>
    </row>
    <row r="195" spans="1:16" ht="12" hidden="1" customHeight="1" x14ac:dyDescent="0.2">
      <c r="A195" s="245"/>
      <c r="B195" s="245"/>
      <c r="C195" s="245"/>
      <c r="D195" s="245"/>
      <c r="E195" s="245"/>
      <c r="G195" s="277" t="s">
        <v>771</v>
      </c>
      <c r="H195" s="277"/>
      <c r="I195" s="273" t="s">
        <v>763</v>
      </c>
      <c r="J195" s="273"/>
      <c r="K195" s="247" t="s">
        <v>764</v>
      </c>
      <c r="L195" s="244">
        <v>0</v>
      </c>
    </row>
    <row r="196" spans="1:16" ht="12" hidden="1" customHeight="1" x14ac:dyDescent="0.2">
      <c r="A196" s="245"/>
      <c r="B196" s="245"/>
      <c r="C196" s="245"/>
      <c r="D196" s="245"/>
      <c r="E196" s="245"/>
      <c r="G196" s="277" t="s">
        <v>771</v>
      </c>
      <c r="H196" s="277"/>
      <c r="I196" s="273" t="s">
        <v>765</v>
      </c>
      <c r="J196" s="273"/>
      <c r="K196" s="247" t="s">
        <v>766</v>
      </c>
      <c r="L196" s="244">
        <v>0</v>
      </c>
    </row>
    <row r="197" spans="1:16" ht="12" customHeight="1" x14ac:dyDescent="0.2">
      <c r="G197" s="259"/>
      <c r="H197" s="259"/>
      <c r="I197" s="259"/>
      <c r="J197" s="259"/>
    </row>
    <row r="198" spans="1:16" s="269" customFormat="1" ht="12" customHeight="1" x14ac:dyDescent="0.2">
      <c r="A198" s="262"/>
      <c r="B198" s="261" t="s">
        <v>778</v>
      </c>
      <c r="C198" s="261" t="s">
        <v>20</v>
      </c>
      <c r="D198" s="262"/>
      <c r="E198" s="262"/>
      <c r="F198" s="263" t="e">
        <f>+F200+F216+F239</f>
        <v>#REF!</v>
      </c>
      <c r="G198" s="261" t="s">
        <v>778</v>
      </c>
      <c r="H198" s="261"/>
      <c r="I198" s="261">
        <v>6</v>
      </c>
      <c r="J198" s="261"/>
      <c r="K198" s="264" t="s">
        <v>20</v>
      </c>
      <c r="L198" s="263" t="e">
        <f>+L200+L216+L239+L235</f>
        <v>#REF!</v>
      </c>
      <c r="M198" s="263" t="e">
        <f>+M200+M216+M239+M235</f>
        <v>#REF!</v>
      </c>
      <c r="N198" s="263">
        <f>+N200+N216+N239+N235</f>
        <v>1836600</v>
      </c>
      <c r="O198" s="263" t="e">
        <f>+O200+O216+O239+O235</f>
        <v>#REF!</v>
      </c>
      <c r="P198" s="263">
        <f>+P200+P216+P239+P235</f>
        <v>0</v>
      </c>
    </row>
    <row r="199" spans="1:16" ht="12" customHeight="1" x14ac:dyDescent="0.2">
      <c r="A199" s="245"/>
      <c r="B199" s="245"/>
      <c r="C199" s="245"/>
      <c r="D199" s="245"/>
      <c r="E199" s="245"/>
      <c r="G199" s="247"/>
      <c r="H199" s="247"/>
      <c r="I199" s="277"/>
      <c r="J199" s="277"/>
      <c r="K199" s="245"/>
    </row>
    <row r="200" spans="1:16" s="269" customFormat="1" ht="12" customHeight="1" x14ac:dyDescent="0.2">
      <c r="A200" s="265"/>
      <c r="B200" s="265"/>
      <c r="C200" s="266" t="s">
        <v>779</v>
      </c>
      <c r="D200" s="1574" t="s">
        <v>780</v>
      </c>
      <c r="E200" s="1574"/>
      <c r="F200" s="267" t="e">
        <f>+L200</f>
        <v>#REF!</v>
      </c>
      <c r="G200" s="266" t="s">
        <v>779</v>
      </c>
      <c r="H200" s="265"/>
      <c r="I200" s="265" t="s">
        <v>262</v>
      </c>
      <c r="J200" s="265"/>
      <c r="K200" s="265" t="s">
        <v>781</v>
      </c>
      <c r="L200" s="267" t="e">
        <f>+L201+L202+L210</f>
        <v>#REF!</v>
      </c>
      <c r="M200" s="267" t="e">
        <f>+M201+M202+M210</f>
        <v>#REF!</v>
      </c>
      <c r="N200" s="267">
        <f>+N201+N202+N210</f>
        <v>1836600</v>
      </c>
      <c r="O200" s="267" t="e">
        <f>+O201+O202+O210</f>
        <v>#REF!</v>
      </c>
      <c r="P200" s="267">
        <f>+P201+P202+P210</f>
        <v>0</v>
      </c>
    </row>
    <row r="201" spans="1:16" ht="12" customHeight="1" x14ac:dyDescent="0.2">
      <c r="A201" s="245"/>
      <c r="B201" s="245"/>
      <c r="C201" s="273"/>
      <c r="D201" s="245"/>
      <c r="E201" s="245"/>
      <c r="G201" s="273" t="s">
        <v>779</v>
      </c>
      <c r="H201" s="273"/>
      <c r="I201" s="273" t="s">
        <v>353</v>
      </c>
      <c r="J201" s="273"/>
      <c r="K201" s="247" t="s">
        <v>413</v>
      </c>
      <c r="L201" s="244">
        <f>SUM(M201:P201)</f>
        <v>781380</v>
      </c>
      <c r="M201" s="244">
        <v>781380</v>
      </c>
      <c r="N201" s="244">
        <v>0</v>
      </c>
      <c r="O201" s="244">
        <v>0</v>
      </c>
      <c r="P201" s="244">
        <v>0</v>
      </c>
    </row>
    <row r="202" spans="1:16" ht="12" hidden="1" customHeight="1" x14ac:dyDescent="0.2">
      <c r="A202" s="245"/>
      <c r="B202" s="245"/>
      <c r="C202" s="273"/>
      <c r="D202" s="245"/>
      <c r="E202" s="245"/>
      <c r="G202" s="273" t="s">
        <v>779</v>
      </c>
      <c r="H202" s="273"/>
      <c r="I202" s="273" t="s">
        <v>263</v>
      </c>
      <c r="J202" s="273"/>
      <c r="K202" s="247" t="s">
        <v>782</v>
      </c>
      <c r="L202" s="244">
        <f>SUM(M202:P202)</f>
        <v>4634500</v>
      </c>
      <c r="M202" s="244">
        <v>0</v>
      </c>
      <c r="N202" s="244">
        <v>1836600</v>
      </c>
      <c r="O202" s="244">
        <v>2797900</v>
      </c>
      <c r="P202" s="244">
        <v>0</v>
      </c>
    </row>
    <row r="203" spans="1:16" ht="12" hidden="1" customHeight="1" x14ac:dyDescent="0.2">
      <c r="A203" s="245"/>
      <c r="B203" s="245"/>
      <c r="C203" s="273"/>
      <c r="D203" s="245"/>
      <c r="E203" s="245"/>
      <c r="G203" s="273" t="s">
        <v>779</v>
      </c>
      <c r="H203" s="273"/>
      <c r="I203" s="273" t="s">
        <v>783</v>
      </c>
      <c r="J203" s="273"/>
      <c r="K203" s="247" t="s">
        <v>784</v>
      </c>
      <c r="L203" s="244">
        <v>0</v>
      </c>
    </row>
    <row r="204" spans="1:16" ht="12" hidden="1" customHeight="1" x14ac:dyDescent="0.2">
      <c r="A204" s="245"/>
      <c r="B204" s="245"/>
      <c r="C204" s="273"/>
      <c r="D204" s="245"/>
      <c r="E204" s="245"/>
      <c r="G204" s="273" t="s">
        <v>779</v>
      </c>
      <c r="H204" s="273"/>
      <c r="I204" s="273" t="s">
        <v>785</v>
      </c>
      <c r="J204" s="273"/>
      <c r="K204" s="247" t="s">
        <v>786</v>
      </c>
      <c r="L204" s="244">
        <v>0</v>
      </c>
    </row>
    <row r="205" spans="1:16" ht="12" hidden="1" customHeight="1" x14ac:dyDescent="0.2">
      <c r="A205" s="245"/>
      <c r="B205" s="245"/>
      <c r="C205" s="273"/>
      <c r="D205" s="245"/>
      <c r="E205" s="245"/>
      <c r="G205" s="273" t="s">
        <v>779</v>
      </c>
      <c r="H205" s="273"/>
      <c r="I205" s="273" t="s">
        <v>787</v>
      </c>
      <c r="J205" s="273"/>
      <c r="K205" s="247" t="s">
        <v>788</v>
      </c>
      <c r="L205" s="244">
        <v>0</v>
      </c>
    </row>
    <row r="206" spans="1:16" ht="12" hidden="1" customHeight="1" x14ac:dyDescent="0.2">
      <c r="A206" s="245"/>
      <c r="B206" s="245"/>
      <c r="C206" s="273"/>
      <c r="D206" s="245"/>
      <c r="E206" s="245"/>
      <c r="G206" s="273" t="s">
        <v>779</v>
      </c>
      <c r="H206" s="273"/>
      <c r="I206" s="273" t="s">
        <v>789</v>
      </c>
      <c r="J206" s="273"/>
      <c r="K206" s="247" t="s">
        <v>790</v>
      </c>
      <c r="L206" s="244">
        <v>0</v>
      </c>
    </row>
    <row r="207" spans="1:16" ht="12" hidden="1" customHeight="1" x14ac:dyDescent="0.2">
      <c r="A207" s="245"/>
      <c r="B207" s="245"/>
      <c r="C207" s="273"/>
      <c r="D207" s="245"/>
      <c r="E207" s="245"/>
      <c r="G207" s="273" t="s">
        <v>779</v>
      </c>
      <c r="H207" s="273"/>
      <c r="I207" s="273" t="s">
        <v>791</v>
      </c>
      <c r="J207" s="273"/>
      <c r="K207" s="247" t="s">
        <v>792</v>
      </c>
      <c r="L207" s="244">
        <v>0</v>
      </c>
    </row>
    <row r="208" spans="1:16" ht="12" hidden="1" customHeight="1" x14ac:dyDescent="0.2">
      <c r="A208" s="245"/>
      <c r="B208" s="245"/>
      <c r="C208" s="273"/>
      <c r="D208" s="245"/>
      <c r="E208" s="245"/>
      <c r="G208" s="273" t="s">
        <v>779</v>
      </c>
      <c r="H208" s="273"/>
      <c r="I208" s="273" t="s">
        <v>793</v>
      </c>
      <c r="J208" s="273"/>
      <c r="K208" s="247" t="s">
        <v>794</v>
      </c>
      <c r="L208" s="244">
        <v>0</v>
      </c>
    </row>
    <row r="209" spans="1:16" ht="12" hidden="1" customHeight="1" x14ac:dyDescent="0.2">
      <c r="A209" s="245"/>
      <c r="B209" s="245"/>
      <c r="C209" s="273"/>
      <c r="D209" s="245"/>
      <c r="E209" s="245"/>
      <c r="G209" s="273" t="s">
        <v>779</v>
      </c>
      <c r="H209" s="273"/>
      <c r="I209" s="273" t="s">
        <v>795</v>
      </c>
      <c r="J209" s="273"/>
      <c r="K209" s="247" t="s">
        <v>796</v>
      </c>
      <c r="L209" s="244">
        <v>0</v>
      </c>
    </row>
    <row r="210" spans="1:16" ht="12" customHeight="1" x14ac:dyDescent="0.2">
      <c r="A210" s="245"/>
      <c r="B210" s="245"/>
      <c r="C210" s="273"/>
      <c r="D210" s="245"/>
      <c r="E210" s="245"/>
      <c r="G210" s="274" t="s">
        <v>779</v>
      </c>
      <c r="H210" s="274"/>
      <c r="I210" s="274" t="s">
        <v>404</v>
      </c>
      <c r="J210" s="274"/>
      <c r="K210" s="271" t="s">
        <v>405</v>
      </c>
      <c r="L210" s="272" t="e">
        <f>+L214</f>
        <v>#REF!</v>
      </c>
      <c r="M210" s="272" t="e">
        <f>+M214</f>
        <v>#REF!</v>
      </c>
      <c r="N210" s="272">
        <f>+N214</f>
        <v>0</v>
      </c>
      <c r="O210" s="272" t="e">
        <f>+O214</f>
        <v>#REF!</v>
      </c>
      <c r="P210" s="272">
        <f>+P214</f>
        <v>0</v>
      </c>
    </row>
    <row r="211" spans="1:16" ht="12" hidden="1" customHeight="1" x14ac:dyDescent="0.2">
      <c r="A211" s="245"/>
      <c r="B211" s="245"/>
      <c r="C211" s="273"/>
      <c r="D211" s="245"/>
      <c r="E211" s="245"/>
      <c r="G211" s="273" t="s">
        <v>779</v>
      </c>
      <c r="H211" s="273"/>
      <c r="I211" s="273" t="s">
        <v>797</v>
      </c>
      <c r="J211" s="273"/>
      <c r="K211" s="245" t="s">
        <v>798</v>
      </c>
      <c r="L211" s="244">
        <v>0</v>
      </c>
    </row>
    <row r="212" spans="1:16" ht="12" hidden="1" customHeight="1" x14ac:dyDescent="0.2">
      <c r="A212" s="245"/>
      <c r="B212" s="245"/>
      <c r="C212" s="273"/>
      <c r="D212" s="245"/>
      <c r="E212" s="245"/>
      <c r="G212" s="273" t="s">
        <v>779</v>
      </c>
      <c r="H212" s="273"/>
      <c r="I212" s="273" t="s">
        <v>799</v>
      </c>
      <c r="J212" s="273"/>
      <c r="K212" s="245" t="s">
        <v>800</v>
      </c>
      <c r="L212" s="244">
        <v>0</v>
      </c>
    </row>
    <row r="213" spans="1:16" ht="12" hidden="1" customHeight="1" x14ac:dyDescent="0.2">
      <c r="A213" s="245"/>
      <c r="B213" s="245"/>
      <c r="C213" s="245"/>
      <c r="D213" s="245"/>
      <c r="E213" s="245"/>
      <c r="G213" s="273" t="s">
        <v>779</v>
      </c>
      <c r="H213" s="273"/>
      <c r="I213" s="273" t="s">
        <v>801</v>
      </c>
      <c r="J213" s="273"/>
      <c r="K213" s="245" t="s">
        <v>802</v>
      </c>
      <c r="L213" s="244">
        <v>0</v>
      </c>
    </row>
    <row r="214" spans="1:16" ht="12" customHeight="1" x14ac:dyDescent="0.2">
      <c r="A214" s="245"/>
      <c r="B214" s="245"/>
      <c r="C214" s="245"/>
      <c r="D214" s="245"/>
      <c r="E214" s="245"/>
      <c r="G214" s="273" t="s">
        <v>779</v>
      </c>
      <c r="H214" s="273"/>
      <c r="I214" s="273" t="s">
        <v>406</v>
      </c>
      <c r="J214" s="273"/>
      <c r="K214" s="245" t="s">
        <v>407</v>
      </c>
      <c r="L214" s="244" t="e">
        <f>SUM(M214:P214)</f>
        <v>#REF!</v>
      </c>
      <c r="M214" s="244" t="e">
        <v>#REF!</v>
      </c>
      <c r="O214" s="244" t="e">
        <v>#REF!</v>
      </c>
    </row>
    <row r="215" spans="1:16" ht="12" customHeight="1" x14ac:dyDescent="0.2">
      <c r="A215" s="245"/>
      <c r="B215" s="245"/>
      <c r="C215" s="273"/>
      <c r="D215" s="245"/>
      <c r="E215" s="245"/>
      <c r="G215" s="273"/>
      <c r="H215" s="273"/>
      <c r="I215" s="273"/>
      <c r="J215" s="273"/>
      <c r="K215" s="245"/>
    </row>
    <row r="216" spans="1:16" s="269" customFormat="1" ht="12" customHeight="1" x14ac:dyDescent="0.2">
      <c r="A216" s="265"/>
      <c r="B216" s="265"/>
      <c r="C216" s="266" t="s">
        <v>803</v>
      </c>
      <c r="D216" s="1574" t="s">
        <v>804</v>
      </c>
      <c r="E216" s="1574"/>
      <c r="F216" s="267">
        <f>+L216+L235</f>
        <v>460000</v>
      </c>
      <c r="G216" s="266" t="s">
        <v>803</v>
      </c>
      <c r="H216" s="265"/>
      <c r="I216" s="265" t="s">
        <v>805</v>
      </c>
      <c r="J216" s="265"/>
      <c r="K216" s="265" t="s">
        <v>806</v>
      </c>
      <c r="L216" s="267">
        <f>+L217+L218+L219+L220+L221</f>
        <v>460000</v>
      </c>
      <c r="M216" s="267">
        <f>+M217+M218+M219+M220+M221</f>
        <v>250000</v>
      </c>
      <c r="N216" s="267">
        <f>+N217+N218+N219+N220+N221</f>
        <v>0</v>
      </c>
      <c r="O216" s="267">
        <f>+O217+O218+O219+O220+O221</f>
        <v>210000</v>
      </c>
      <c r="P216" s="267">
        <f>+P217+P218+P219+P220+P221</f>
        <v>0</v>
      </c>
    </row>
    <row r="217" spans="1:16" ht="12" hidden="1" customHeight="1" x14ac:dyDescent="0.2">
      <c r="A217" s="245"/>
      <c r="B217" s="245"/>
      <c r="C217" s="273"/>
      <c r="D217" s="245" t="s">
        <v>382</v>
      </c>
      <c r="E217" s="245"/>
      <c r="G217" s="277" t="s">
        <v>803</v>
      </c>
      <c r="H217" s="277"/>
      <c r="I217" s="277" t="s">
        <v>807</v>
      </c>
      <c r="J217" s="277"/>
      <c r="K217" s="245" t="s">
        <v>808</v>
      </c>
      <c r="L217" s="244">
        <v>0</v>
      </c>
      <c r="M217" s="244">
        <v>0</v>
      </c>
      <c r="N217" s="244">
        <v>0</v>
      </c>
      <c r="O217" s="244">
        <v>0</v>
      </c>
      <c r="P217" s="244">
        <v>0</v>
      </c>
    </row>
    <row r="218" spans="1:16" ht="12" hidden="1" customHeight="1" x14ac:dyDescent="0.2">
      <c r="A218" s="245"/>
      <c r="B218" s="245"/>
      <c r="C218" s="273"/>
      <c r="D218" s="245"/>
      <c r="E218" s="245"/>
      <c r="G218" s="277" t="s">
        <v>803</v>
      </c>
      <c r="H218" s="277"/>
      <c r="I218" s="277" t="s">
        <v>809</v>
      </c>
      <c r="J218" s="277"/>
      <c r="K218" s="245" t="s">
        <v>810</v>
      </c>
      <c r="L218" s="244">
        <v>0</v>
      </c>
      <c r="M218" s="244">
        <v>0</v>
      </c>
      <c r="N218" s="244">
        <v>0</v>
      </c>
      <c r="O218" s="244">
        <v>0</v>
      </c>
      <c r="P218" s="244">
        <v>0</v>
      </c>
    </row>
    <row r="219" spans="1:16" ht="12" hidden="1" customHeight="1" x14ac:dyDescent="0.2">
      <c r="A219" s="245"/>
      <c r="B219" s="245"/>
      <c r="C219" s="273"/>
      <c r="D219" s="245"/>
      <c r="E219" s="245"/>
      <c r="G219" s="277" t="s">
        <v>803</v>
      </c>
      <c r="H219" s="277"/>
      <c r="I219" s="277" t="s">
        <v>811</v>
      </c>
      <c r="J219" s="277"/>
      <c r="K219" s="245" t="s">
        <v>812</v>
      </c>
      <c r="L219" s="244">
        <v>0</v>
      </c>
      <c r="M219" s="244">
        <v>0</v>
      </c>
      <c r="N219" s="244">
        <v>0</v>
      </c>
      <c r="O219" s="244">
        <v>0</v>
      </c>
      <c r="P219" s="244">
        <v>0</v>
      </c>
    </row>
    <row r="220" spans="1:16" ht="12" hidden="1" customHeight="1" x14ac:dyDescent="0.2">
      <c r="A220" s="245"/>
      <c r="B220" s="245"/>
      <c r="C220" s="273"/>
      <c r="D220" s="245"/>
      <c r="E220" s="245"/>
      <c r="G220" s="277" t="s">
        <v>803</v>
      </c>
      <c r="H220" s="277"/>
      <c r="I220" s="277" t="s">
        <v>813</v>
      </c>
      <c r="J220" s="277"/>
      <c r="K220" s="245" t="s">
        <v>814</v>
      </c>
      <c r="L220" s="244">
        <v>0</v>
      </c>
      <c r="M220" s="244">
        <v>0</v>
      </c>
      <c r="N220" s="244">
        <v>0</v>
      </c>
      <c r="O220" s="244">
        <v>0</v>
      </c>
      <c r="P220" s="244">
        <v>0</v>
      </c>
    </row>
    <row r="221" spans="1:16" ht="12" customHeight="1" x14ac:dyDescent="0.2">
      <c r="A221" s="245"/>
      <c r="B221" s="245"/>
      <c r="C221" s="273"/>
      <c r="D221" s="245"/>
      <c r="E221" s="245"/>
      <c r="G221" s="277" t="s">
        <v>803</v>
      </c>
      <c r="H221" s="277"/>
      <c r="I221" s="276" t="s">
        <v>264</v>
      </c>
      <c r="J221" s="276"/>
      <c r="K221" s="271" t="s">
        <v>815</v>
      </c>
      <c r="L221" s="272">
        <f>+L222+L223+L224+L225</f>
        <v>460000</v>
      </c>
      <c r="M221" s="272">
        <f>+M222+M223+M224+M225</f>
        <v>250000</v>
      </c>
      <c r="N221" s="272">
        <f>+N222+N223+N224+N225</f>
        <v>0</v>
      </c>
      <c r="O221" s="272">
        <f>+O222+O223+O224+O225</f>
        <v>210000</v>
      </c>
      <c r="P221" s="272">
        <f>+P222+P223+P224+P225</f>
        <v>0</v>
      </c>
    </row>
    <row r="222" spans="1:16" ht="12" customHeight="1" x14ac:dyDescent="0.2">
      <c r="A222" s="245"/>
      <c r="B222" s="245"/>
      <c r="C222" s="273"/>
      <c r="D222" s="245"/>
      <c r="E222" s="245"/>
      <c r="G222" s="277" t="s">
        <v>803</v>
      </c>
      <c r="H222" s="277"/>
      <c r="I222" s="277" t="s">
        <v>345</v>
      </c>
      <c r="J222" s="277"/>
      <c r="K222" s="245" t="s">
        <v>816</v>
      </c>
      <c r="L222" s="244">
        <f>SUM(M222:P222)</f>
        <v>460000</v>
      </c>
      <c r="M222" s="244">
        <v>250000</v>
      </c>
      <c r="N222" s="244">
        <v>0</v>
      </c>
      <c r="O222" s="244">
        <v>210000</v>
      </c>
      <c r="P222" s="244">
        <v>0</v>
      </c>
    </row>
    <row r="223" spans="1:16" ht="12" hidden="1" customHeight="1" x14ac:dyDescent="0.2">
      <c r="A223" s="245"/>
      <c r="B223" s="245"/>
      <c r="C223" s="273"/>
      <c r="D223" s="245"/>
      <c r="E223" s="245"/>
      <c r="G223" s="277" t="s">
        <v>803</v>
      </c>
      <c r="H223" s="277"/>
      <c r="I223" s="277" t="s">
        <v>817</v>
      </c>
      <c r="J223" s="277"/>
      <c r="K223" s="245" t="s">
        <v>818</v>
      </c>
      <c r="L223" s="244">
        <v>0</v>
      </c>
    </row>
    <row r="224" spans="1:16" ht="12" hidden="1" customHeight="1" x14ac:dyDescent="0.2">
      <c r="A224" s="245"/>
      <c r="B224" s="245"/>
      <c r="C224" s="273"/>
      <c r="D224" s="245"/>
      <c r="E224" s="245"/>
      <c r="G224" s="277" t="s">
        <v>803</v>
      </c>
      <c r="H224" s="277"/>
      <c r="I224" s="277" t="s">
        <v>819</v>
      </c>
      <c r="J224" s="277"/>
      <c r="K224" s="245" t="s">
        <v>820</v>
      </c>
      <c r="L224" s="244">
        <v>0</v>
      </c>
    </row>
    <row r="225" spans="1:16" ht="12" hidden="1" customHeight="1" x14ac:dyDescent="0.2">
      <c r="A225" s="245"/>
      <c r="B225" s="245"/>
      <c r="C225" s="273"/>
      <c r="D225" s="245"/>
      <c r="E225" s="245"/>
      <c r="G225" s="277" t="s">
        <v>803</v>
      </c>
      <c r="H225" s="277"/>
      <c r="I225" s="277" t="s">
        <v>821</v>
      </c>
      <c r="J225" s="277"/>
      <c r="K225" s="245" t="s">
        <v>822</v>
      </c>
      <c r="L225" s="244">
        <v>0</v>
      </c>
    </row>
    <row r="226" spans="1:16" ht="12" hidden="1" customHeight="1" x14ac:dyDescent="0.2">
      <c r="A226" s="245"/>
      <c r="B226" s="245"/>
      <c r="C226" s="273"/>
      <c r="D226" s="245"/>
      <c r="E226" s="245"/>
      <c r="G226" s="277" t="s">
        <v>803</v>
      </c>
      <c r="H226" s="277"/>
      <c r="I226" s="277" t="s">
        <v>823</v>
      </c>
      <c r="J226" s="277"/>
      <c r="K226" s="245" t="s">
        <v>824</v>
      </c>
      <c r="L226" s="244">
        <v>0</v>
      </c>
    </row>
    <row r="227" spans="1:16" ht="12" hidden="1" customHeight="1" x14ac:dyDescent="0.2">
      <c r="A227" s="245"/>
      <c r="B227" s="245"/>
      <c r="C227" s="273"/>
      <c r="D227" s="245"/>
      <c r="E227" s="245"/>
      <c r="G227" s="277" t="s">
        <v>803</v>
      </c>
      <c r="H227" s="277"/>
      <c r="I227" s="276" t="s">
        <v>825</v>
      </c>
      <c r="J227" s="276"/>
      <c r="K227" s="271" t="s">
        <v>826</v>
      </c>
    </row>
    <row r="228" spans="1:16" ht="12" hidden="1" customHeight="1" x14ac:dyDescent="0.2">
      <c r="A228" s="245"/>
      <c r="B228" s="245"/>
      <c r="C228" s="273"/>
      <c r="D228" s="245" t="s">
        <v>382</v>
      </c>
      <c r="E228" s="245"/>
      <c r="G228" s="277" t="s">
        <v>803</v>
      </c>
      <c r="H228" s="277"/>
      <c r="I228" s="277" t="s">
        <v>827</v>
      </c>
      <c r="J228" s="277"/>
      <c r="K228" s="245" t="s">
        <v>828</v>
      </c>
      <c r="L228" s="244">
        <v>0</v>
      </c>
    </row>
    <row r="229" spans="1:16" ht="12" hidden="1" customHeight="1" x14ac:dyDescent="0.2">
      <c r="A229" s="245"/>
      <c r="B229" s="245"/>
      <c r="C229" s="273"/>
      <c r="D229" s="245"/>
      <c r="E229" s="245"/>
      <c r="G229" s="277" t="s">
        <v>803</v>
      </c>
      <c r="H229" s="277"/>
      <c r="I229" s="277" t="s">
        <v>829</v>
      </c>
      <c r="J229" s="277"/>
      <c r="K229" s="245" t="s">
        <v>830</v>
      </c>
      <c r="L229" s="244">
        <v>0</v>
      </c>
    </row>
    <row r="230" spans="1:16" ht="12" hidden="1" customHeight="1" thickBot="1" x14ac:dyDescent="0.25">
      <c r="A230" s="279"/>
      <c r="B230" s="279"/>
      <c r="C230" s="282"/>
      <c r="D230" s="279"/>
      <c r="E230" s="279"/>
      <c r="F230" s="280"/>
      <c r="G230" s="281" t="s">
        <v>803</v>
      </c>
      <c r="H230" s="281"/>
      <c r="I230" s="281" t="s">
        <v>831</v>
      </c>
      <c r="J230" s="281"/>
      <c r="K230" s="279" t="s">
        <v>832</v>
      </c>
      <c r="L230" s="244">
        <v>0</v>
      </c>
    </row>
    <row r="231" spans="1:16" ht="12" hidden="1" customHeight="1" x14ac:dyDescent="0.2">
      <c r="A231" s="245"/>
      <c r="B231" s="245"/>
      <c r="C231" s="273"/>
      <c r="D231" s="245"/>
      <c r="E231" s="245"/>
      <c r="F231" s="246"/>
      <c r="G231" s="277"/>
      <c r="H231" s="277"/>
      <c r="I231" s="277"/>
      <c r="J231" s="277"/>
      <c r="K231" s="245"/>
    </row>
    <row r="232" spans="1:16" ht="12" hidden="1" customHeight="1" x14ac:dyDescent="0.2">
      <c r="A232" s="245"/>
      <c r="B232" s="245"/>
      <c r="C232" s="273"/>
      <c r="D232" s="245"/>
      <c r="E232" s="245"/>
      <c r="G232" s="277" t="s">
        <v>803</v>
      </c>
      <c r="H232" s="277"/>
      <c r="I232" s="277" t="s">
        <v>833</v>
      </c>
      <c r="J232" s="277"/>
      <c r="K232" s="245" t="s">
        <v>834</v>
      </c>
      <c r="L232" s="244">
        <v>0</v>
      </c>
    </row>
    <row r="233" spans="1:16" ht="12" hidden="1" customHeight="1" x14ac:dyDescent="0.2">
      <c r="A233" s="245"/>
      <c r="B233" s="245"/>
      <c r="C233" s="273"/>
      <c r="D233" s="245"/>
      <c r="E233" s="245"/>
      <c r="G233" s="277" t="s">
        <v>803</v>
      </c>
      <c r="H233" s="277"/>
      <c r="I233" s="276" t="s">
        <v>835</v>
      </c>
      <c r="J233" s="276"/>
      <c r="K233" s="271" t="s">
        <v>836</v>
      </c>
      <c r="L233" s="244">
        <v>0</v>
      </c>
    </row>
    <row r="234" spans="1:16" ht="12" hidden="1" customHeight="1" x14ac:dyDescent="0.2">
      <c r="A234" s="245"/>
      <c r="B234" s="245"/>
      <c r="C234" s="273"/>
      <c r="D234" s="245" t="s">
        <v>382</v>
      </c>
      <c r="E234" s="245"/>
      <c r="G234" s="277" t="s">
        <v>803</v>
      </c>
      <c r="H234" s="277"/>
      <c r="I234" s="277" t="s">
        <v>837</v>
      </c>
      <c r="J234" s="277"/>
      <c r="K234" s="245" t="s">
        <v>838</v>
      </c>
      <c r="L234" s="244">
        <v>0</v>
      </c>
    </row>
    <row r="235" spans="1:16" ht="12" hidden="1" customHeight="1" x14ac:dyDescent="0.2">
      <c r="A235" s="245"/>
      <c r="B235" s="245"/>
      <c r="C235" s="273"/>
      <c r="D235" s="245"/>
      <c r="E235" s="245"/>
      <c r="G235" s="277" t="s">
        <v>803</v>
      </c>
      <c r="H235" s="277"/>
      <c r="I235" s="276" t="s">
        <v>378</v>
      </c>
      <c r="J235" s="276"/>
      <c r="K235" s="271" t="s">
        <v>839</v>
      </c>
      <c r="L235" s="272">
        <f>+L236</f>
        <v>0</v>
      </c>
      <c r="M235" s="272">
        <f>+M236</f>
        <v>0</v>
      </c>
      <c r="N235" s="272">
        <f>+N236</f>
        <v>0</v>
      </c>
      <c r="O235" s="272">
        <f>+O236</f>
        <v>0</v>
      </c>
      <c r="P235" s="272">
        <f>+P236</f>
        <v>0</v>
      </c>
    </row>
    <row r="236" spans="1:16" ht="12" hidden="1" customHeight="1" x14ac:dyDescent="0.2">
      <c r="A236" s="245"/>
      <c r="B236" s="245"/>
      <c r="C236" s="273"/>
      <c r="D236" s="245"/>
      <c r="E236" s="245"/>
      <c r="G236" s="277" t="s">
        <v>803</v>
      </c>
      <c r="H236" s="277"/>
      <c r="I236" s="277" t="s">
        <v>380</v>
      </c>
      <c r="J236" s="277"/>
      <c r="K236" s="247" t="s">
        <v>381</v>
      </c>
      <c r="L236" s="244">
        <f>SUM(M236:P236)</f>
        <v>0</v>
      </c>
      <c r="M236" s="244">
        <v>0</v>
      </c>
    </row>
    <row r="237" spans="1:16" ht="12" hidden="1" customHeight="1" x14ac:dyDescent="0.2">
      <c r="A237" s="245"/>
      <c r="B237" s="245"/>
      <c r="C237" s="273"/>
      <c r="D237" s="245"/>
      <c r="E237" s="245"/>
      <c r="G237" s="277" t="s">
        <v>803</v>
      </c>
      <c r="H237" s="277"/>
      <c r="I237" s="277" t="s">
        <v>840</v>
      </c>
      <c r="J237" s="277"/>
      <c r="K237" s="247" t="s">
        <v>841</v>
      </c>
      <c r="L237" s="244">
        <v>0</v>
      </c>
    </row>
    <row r="238" spans="1:16" ht="12" hidden="1" customHeight="1" x14ac:dyDescent="0.2">
      <c r="A238" s="245"/>
      <c r="B238" s="245"/>
      <c r="C238" s="273"/>
      <c r="D238" s="245"/>
      <c r="E238" s="245"/>
      <c r="G238" s="277" t="s">
        <v>382</v>
      </c>
      <c r="H238" s="277"/>
      <c r="I238" s="277"/>
      <c r="J238" s="277"/>
      <c r="K238" s="245"/>
    </row>
    <row r="239" spans="1:16" s="269" customFormat="1" ht="12" hidden="1" customHeight="1" x14ac:dyDescent="0.2">
      <c r="A239" s="265"/>
      <c r="B239" s="265"/>
      <c r="C239" s="266" t="s">
        <v>842</v>
      </c>
      <c r="D239" s="265" t="s">
        <v>843</v>
      </c>
      <c r="E239" s="266"/>
      <c r="F239" s="265">
        <f>+L239</f>
        <v>0</v>
      </c>
      <c r="G239" s="322" t="s">
        <v>842</v>
      </c>
      <c r="H239" s="265"/>
      <c r="I239" s="265" t="s">
        <v>266</v>
      </c>
      <c r="J239" s="265"/>
      <c r="K239" s="265" t="s">
        <v>281</v>
      </c>
      <c r="L239" s="275">
        <f>+L240+L241</f>
        <v>0</v>
      </c>
      <c r="M239" s="275">
        <f>+M240+M241</f>
        <v>0</v>
      </c>
      <c r="N239" s="275">
        <f>+N240+N241</f>
        <v>0</v>
      </c>
      <c r="O239" s="275">
        <f>+O240+O241</f>
        <v>0</v>
      </c>
      <c r="P239" s="275">
        <f>+P240+P241</f>
        <v>0</v>
      </c>
    </row>
    <row r="240" spans="1:16" ht="12" hidden="1" customHeight="1" x14ac:dyDescent="0.2">
      <c r="A240" s="245"/>
      <c r="B240" s="245"/>
      <c r="C240" s="245"/>
      <c r="D240" s="245" t="s">
        <v>382</v>
      </c>
      <c r="E240" s="245"/>
      <c r="G240" s="277" t="s">
        <v>842</v>
      </c>
      <c r="H240" s="277"/>
      <c r="I240" s="277" t="s">
        <v>267</v>
      </c>
      <c r="J240" s="277"/>
      <c r="K240" s="245" t="s">
        <v>844</v>
      </c>
      <c r="L240" s="244">
        <v>0</v>
      </c>
    </row>
    <row r="241" spans="1:16" ht="13.5" hidden="1" customHeight="1" x14ac:dyDescent="0.2">
      <c r="A241" s="245"/>
      <c r="B241" s="245"/>
      <c r="C241" s="245"/>
      <c r="D241" s="245" t="s">
        <v>382</v>
      </c>
      <c r="E241" s="245"/>
      <c r="G241" s="277" t="s">
        <v>842</v>
      </c>
      <c r="H241" s="277"/>
      <c r="I241" s="277" t="s">
        <v>359</v>
      </c>
      <c r="J241" s="277"/>
      <c r="K241" s="245" t="s">
        <v>845</v>
      </c>
      <c r="L241" s="244">
        <f>SUM(M241:P241)</f>
        <v>0</v>
      </c>
      <c r="P241" s="244">
        <v>0</v>
      </c>
    </row>
    <row r="242" spans="1:16" ht="12" customHeight="1" x14ac:dyDescent="0.2">
      <c r="A242" s="245"/>
      <c r="B242" s="245"/>
      <c r="C242" s="245"/>
      <c r="D242" s="245"/>
      <c r="E242" s="245"/>
      <c r="G242" s="277"/>
      <c r="H242" s="277"/>
      <c r="I242" s="277"/>
      <c r="J242" s="277"/>
      <c r="K242" s="245"/>
    </row>
    <row r="243" spans="1:16" s="317" customFormat="1" ht="20.100000000000001" customHeight="1" x14ac:dyDescent="0.25">
      <c r="A243" s="309" t="s">
        <v>846</v>
      </c>
      <c r="B243" s="1575" t="s">
        <v>847</v>
      </c>
      <c r="C243" s="1575"/>
      <c r="D243" s="313"/>
      <c r="E243" s="313"/>
      <c r="F243" s="314">
        <f>+F245+F256+F282</f>
        <v>1204599100</v>
      </c>
      <c r="G243" s="313">
        <v>2</v>
      </c>
      <c r="H243" s="313"/>
      <c r="I243" s="313">
        <v>5</v>
      </c>
      <c r="J243" s="315"/>
      <c r="K243" s="313" t="s">
        <v>57</v>
      </c>
      <c r="L243" s="325">
        <f>+L256</f>
        <v>1204599100</v>
      </c>
      <c r="M243" s="325">
        <f>+M256</f>
        <v>1031320300</v>
      </c>
      <c r="N243" s="325">
        <f>+N256</f>
        <v>132944800</v>
      </c>
      <c r="O243" s="325">
        <f>+O256</f>
        <v>19650600</v>
      </c>
      <c r="P243" s="325">
        <f>+P256</f>
        <v>20683400</v>
      </c>
    </row>
    <row r="244" spans="1:16" ht="12" hidden="1" customHeight="1" x14ac:dyDescent="0.2">
      <c r="A244" s="245"/>
      <c r="B244" s="245"/>
      <c r="C244" s="245"/>
      <c r="D244" s="245"/>
      <c r="E244" s="245"/>
      <c r="G244" s="247"/>
      <c r="H244" s="247"/>
      <c r="I244" s="277"/>
      <c r="J244" s="277"/>
      <c r="K244" s="245"/>
    </row>
    <row r="245" spans="1:16" s="269" customFormat="1" ht="12" hidden="1" customHeight="1" x14ac:dyDescent="0.2">
      <c r="A245" s="268"/>
      <c r="B245" s="268" t="s">
        <v>848</v>
      </c>
      <c r="C245" s="268" t="s">
        <v>849</v>
      </c>
      <c r="D245" s="288"/>
      <c r="E245" s="268"/>
      <c r="F245" s="286">
        <f>+L245</f>
        <v>0</v>
      </c>
      <c r="G245" s="268" t="s">
        <v>382</v>
      </c>
      <c r="H245" s="268"/>
      <c r="I245" s="268" t="s">
        <v>250</v>
      </c>
      <c r="J245" s="268"/>
      <c r="K245" s="268" t="s">
        <v>251</v>
      </c>
      <c r="L245" s="286">
        <f>+L247+L248+L249+L250+L251+L252+L253+L254</f>
        <v>0</v>
      </c>
      <c r="M245" s="286"/>
      <c r="N245" s="286"/>
      <c r="O245" s="286"/>
      <c r="P245" s="286"/>
    </row>
    <row r="246" spans="1:16" ht="12" hidden="1" customHeight="1" x14ac:dyDescent="0.2">
      <c r="A246" s="245"/>
      <c r="B246" s="274"/>
      <c r="C246" s="278"/>
      <c r="D246" s="245"/>
      <c r="E246" s="245"/>
      <c r="G246" s="276"/>
      <c r="H246" s="276"/>
      <c r="I246" s="276"/>
      <c r="J246" s="276"/>
      <c r="K246" s="271"/>
    </row>
    <row r="247" spans="1:16" ht="12" hidden="1" customHeight="1" x14ac:dyDescent="0.2">
      <c r="A247" s="245"/>
      <c r="B247" s="239"/>
      <c r="C247" s="273" t="s">
        <v>850</v>
      </c>
      <c r="D247" s="245" t="s">
        <v>851</v>
      </c>
      <c r="E247" s="245"/>
      <c r="G247" s="273" t="s">
        <v>850</v>
      </c>
      <c r="H247" s="273"/>
      <c r="I247" s="277" t="s">
        <v>252</v>
      </c>
      <c r="J247" s="277"/>
      <c r="K247" s="245" t="s">
        <v>253</v>
      </c>
      <c r="L247" s="244">
        <v>0</v>
      </c>
    </row>
    <row r="248" spans="1:16" ht="12" hidden="1" customHeight="1" x14ac:dyDescent="0.2">
      <c r="A248" s="245"/>
      <c r="B248" s="239"/>
      <c r="C248" s="273" t="s">
        <v>852</v>
      </c>
      <c r="D248" s="245" t="s">
        <v>853</v>
      </c>
      <c r="E248" s="245"/>
      <c r="G248" s="273" t="s">
        <v>852</v>
      </c>
      <c r="H248" s="273"/>
      <c r="I248" s="277" t="s">
        <v>854</v>
      </c>
      <c r="J248" s="277"/>
      <c r="K248" s="245" t="s">
        <v>855</v>
      </c>
      <c r="L248" s="244">
        <v>0</v>
      </c>
    </row>
    <row r="249" spans="1:16" ht="12" hidden="1" customHeight="1" x14ac:dyDescent="0.2">
      <c r="A249" s="245"/>
      <c r="B249" s="239"/>
      <c r="C249" s="245"/>
      <c r="D249" s="245"/>
      <c r="E249" s="245"/>
      <c r="G249" s="273" t="s">
        <v>852</v>
      </c>
      <c r="H249" s="273"/>
      <c r="I249" s="277" t="s">
        <v>856</v>
      </c>
      <c r="J249" s="277"/>
      <c r="K249" s="245" t="s">
        <v>857</v>
      </c>
      <c r="L249" s="244">
        <v>0</v>
      </c>
    </row>
    <row r="250" spans="1:16" ht="12" hidden="1" customHeight="1" x14ac:dyDescent="0.2">
      <c r="A250" s="245"/>
      <c r="B250" s="245"/>
      <c r="C250" s="245"/>
      <c r="D250" s="245"/>
      <c r="E250" s="245"/>
      <c r="G250" s="273" t="s">
        <v>852</v>
      </c>
      <c r="H250" s="273"/>
      <c r="I250" s="277" t="s">
        <v>858</v>
      </c>
      <c r="J250" s="277"/>
      <c r="K250" s="245" t="s">
        <v>859</v>
      </c>
      <c r="L250" s="244">
        <v>0</v>
      </c>
    </row>
    <row r="251" spans="1:16" ht="12" hidden="1" customHeight="1" x14ac:dyDescent="0.2">
      <c r="A251" s="245"/>
      <c r="B251" s="245"/>
      <c r="C251" s="245"/>
      <c r="D251" s="245"/>
      <c r="E251" s="245"/>
      <c r="G251" s="273" t="s">
        <v>852</v>
      </c>
      <c r="H251" s="273"/>
      <c r="I251" s="277" t="s">
        <v>860</v>
      </c>
      <c r="J251" s="277"/>
      <c r="K251" s="245" t="s">
        <v>861</v>
      </c>
      <c r="L251" s="244">
        <v>0</v>
      </c>
    </row>
    <row r="252" spans="1:16" ht="12" hidden="1" customHeight="1" x14ac:dyDescent="0.2">
      <c r="A252" s="245"/>
      <c r="B252" s="245"/>
      <c r="C252" s="273" t="s">
        <v>862</v>
      </c>
      <c r="D252" s="245" t="s">
        <v>863</v>
      </c>
      <c r="E252" s="245"/>
      <c r="G252" s="273" t="s">
        <v>862</v>
      </c>
      <c r="H252" s="273"/>
      <c r="I252" s="277" t="s">
        <v>864</v>
      </c>
      <c r="J252" s="277"/>
      <c r="K252" s="245" t="s">
        <v>863</v>
      </c>
      <c r="L252" s="244">
        <v>0</v>
      </c>
    </row>
    <row r="253" spans="1:16" ht="12" hidden="1" customHeight="1" x14ac:dyDescent="0.2">
      <c r="A253" s="245"/>
      <c r="B253" s="245"/>
      <c r="C253" s="273" t="s">
        <v>865</v>
      </c>
      <c r="D253" s="245" t="s">
        <v>255</v>
      </c>
      <c r="E253" s="245"/>
      <c r="G253" s="273" t="s">
        <v>865</v>
      </c>
      <c r="H253" s="273"/>
      <c r="I253" s="277" t="s">
        <v>254</v>
      </c>
      <c r="J253" s="277"/>
      <c r="K253" s="245" t="s">
        <v>255</v>
      </c>
      <c r="L253" s="244">
        <v>0</v>
      </c>
    </row>
    <row r="254" spans="1:16" ht="12" hidden="1" customHeight="1" x14ac:dyDescent="0.2">
      <c r="A254" s="245"/>
      <c r="B254" s="245"/>
      <c r="C254" s="273" t="s">
        <v>866</v>
      </c>
      <c r="D254" s="245" t="s">
        <v>867</v>
      </c>
      <c r="E254" s="245"/>
      <c r="G254" s="295" t="s">
        <v>866</v>
      </c>
      <c r="H254" s="295"/>
      <c r="I254" s="295" t="s">
        <v>256</v>
      </c>
      <c r="J254" s="295"/>
      <c r="K254" s="296" t="s">
        <v>868</v>
      </c>
      <c r="L254" s="297">
        <v>0</v>
      </c>
      <c r="M254" s="297"/>
      <c r="N254" s="297"/>
      <c r="O254" s="297"/>
      <c r="P254" s="297"/>
    </row>
    <row r="255" spans="1:16" ht="12" customHeight="1" x14ac:dyDescent="0.2">
      <c r="A255" s="245"/>
      <c r="B255" s="245"/>
      <c r="C255" s="273"/>
      <c r="D255" s="245"/>
      <c r="E255" s="245"/>
      <c r="G255" s="273"/>
      <c r="H255" s="273"/>
      <c r="I255" s="277"/>
      <c r="J255" s="277"/>
      <c r="K255" s="245"/>
    </row>
    <row r="256" spans="1:16" s="269" customFormat="1" ht="12" customHeight="1" x14ac:dyDescent="0.2">
      <c r="A256" s="265"/>
      <c r="B256" s="266" t="s">
        <v>869</v>
      </c>
      <c r="C256" s="265" t="s">
        <v>870</v>
      </c>
      <c r="D256" s="265"/>
      <c r="E256" s="266"/>
      <c r="F256" s="275">
        <f>+L256</f>
        <v>1204599100</v>
      </c>
      <c r="G256" s="267" t="s">
        <v>382</v>
      </c>
      <c r="H256" s="265"/>
      <c r="I256" s="265"/>
      <c r="J256" s="265"/>
      <c r="K256" s="265"/>
      <c r="L256" s="275">
        <f>+L258+L276</f>
        <v>1204599100</v>
      </c>
      <c r="M256" s="275">
        <f>+M258+M276</f>
        <v>1031320300</v>
      </c>
      <c r="N256" s="275">
        <f>+N258+N276</f>
        <v>132944800</v>
      </c>
      <c r="O256" s="275">
        <f>+O258+O276</f>
        <v>19650600</v>
      </c>
      <c r="P256" s="275">
        <f>+P258+P276</f>
        <v>20683400</v>
      </c>
    </row>
    <row r="257" spans="1:16" ht="12" customHeight="1" x14ac:dyDescent="0.2">
      <c r="A257" s="245"/>
      <c r="B257" s="274"/>
      <c r="C257" s="278"/>
      <c r="D257" s="245"/>
      <c r="E257" s="245"/>
      <c r="G257" s="277"/>
      <c r="H257" s="277"/>
      <c r="I257" s="247"/>
      <c r="J257" s="247"/>
      <c r="K257" s="245"/>
    </row>
    <row r="258" spans="1:16" s="269" customFormat="1" ht="12" customHeight="1" x14ac:dyDescent="0.2">
      <c r="A258" s="265"/>
      <c r="B258" s="265"/>
      <c r="C258" s="266" t="s">
        <v>871</v>
      </c>
      <c r="D258" s="265" t="s">
        <v>872</v>
      </c>
      <c r="E258" s="266"/>
      <c r="F258" s="265"/>
      <c r="G258" s="323" t="s">
        <v>871</v>
      </c>
      <c r="H258" s="265"/>
      <c r="I258" s="265" t="s">
        <v>234</v>
      </c>
      <c r="J258" s="265"/>
      <c r="K258" s="265" t="s">
        <v>235</v>
      </c>
      <c r="L258" s="275">
        <f>SUM(L259:L266)</f>
        <v>1132599100</v>
      </c>
      <c r="M258" s="275">
        <f>SUM(M259:M266)</f>
        <v>1031320300</v>
      </c>
      <c r="N258" s="275">
        <f>SUM(N259:N266)</f>
        <v>60944800</v>
      </c>
      <c r="O258" s="275">
        <f>SUM(O259:O266)</f>
        <v>19650600</v>
      </c>
      <c r="P258" s="275">
        <f>SUM(P259:P266)</f>
        <v>20683400</v>
      </c>
    </row>
    <row r="259" spans="1:16" ht="12" hidden="1" customHeight="1" x14ac:dyDescent="0.2">
      <c r="A259" s="245"/>
      <c r="B259" s="245"/>
      <c r="C259" s="273"/>
      <c r="D259" s="245"/>
      <c r="E259" s="245"/>
      <c r="G259" s="277" t="s">
        <v>871</v>
      </c>
      <c r="H259" s="277"/>
      <c r="I259" s="277" t="s">
        <v>430</v>
      </c>
      <c r="J259" s="277"/>
      <c r="K259" s="245" t="s">
        <v>873</v>
      </c>
      <c r="L259" s="244">
        <v>0</v>
      </c>
    </row>
    <row r="260" spans="1:16" ht="12" hidden="1" customHeight="1" x14ac:dyDescent="0.2">
      <c r="A260" s="245"/>
      <c r="B260" s="245"/>
      <c r="C260" s="273"/>
      <c r="D260" s="245"/>
      <c r="E260" s="245"/>
      <c r="G260" s="277" t="s">
        <v>871</v>
      </c>
      <c r="H260" s="277"/>
      <c r="I260" s="277" t="s">
        <v>236</v>
      </c>
      <c r="J260" s="277"/>
      <c r="K260" s="245" t="s">
        <v>874</v>
      </c>
      <c r="L260" s="244">
        <v>0</v>
      </c>
    </row>
    <row r="261" spans="1:16" x14ac:dyDescent="0.2">
      <c r="A261" s="245"/>
      <c r="B261" s="245"/>
      <c r="C261" s="273"/>
      <c r="D261" s="245"/>
      <c r="E261" s="245"/>
      <c r="G261" s="277" t="s">
        <v>871</v>
      </c>
      <c r="H261" s="277"/>
      <c r="I261" s="277" t="s">
        <v>238</v>
      </c>
      <c r="J261" s="277"/>
      <c r="K261" s="245" t="s">
        <v>875</v>
      </c>
      <c r="L261" s="244">
        <f t="shared" ref="L261:L266" si="7">SUM(M261:P261)</f>
        <v>58848600</v>
      </c>
      <c r="M261" s="244">
        <v>55561800</v>
      </c>
      <c r="N261" s="244">
        <v>3286800</v>
      </c>
      <c r="O261" s="244">
        <v>0</v>
      </c>
      <c r="P261" s="244">
        <v>0</v>
      </c>
    </row>
    <row r="262" spans="1:16" ht="12" customHeight="1" x14ac:dyDescent="0.2">
      <c r="A262" s="245"/>
      <c r="B262" s="245"/>
      <c r="C262" s="273"/>
      <c r="D262" s="245"/>
      <c r="E262" s="245"/>
      <c r="G262" s="277" t="s">
        <v>871</v>
      </c>
      <c r="H262" s="277"/>
      <c r="I262" s="277" t="s">
        <v>240</v>
      </c>
      <c r="J262" s="277"/>
      <c r="K262" s="245" t="s">
        <v>876</v>
      </c>
      <c r="L262" s="244">
        <f t="shared" si="7"/>
        <v>798931000</v>
      </c>
      <c r="M262" s="244">
        <v>726464900</v>
      </c>
      <c r="N262" s="244">
        <v>40479000</v>
      </c>
      <c r="O262" s="244">
        <v>14735400</v>
      </c>
      <c r="P262" s="244">
        <v>17251700</v>
      </c>
    </row>
    <row r="263" spans="1:16" ht="12" customHeight="1" x14ac:dyDescent="0.2">
      <c r="A263" s="245"/>
      <c r="B263" s="245"/>
      <c r="C263" s="273"/>
      <c r="D263" s="245"/>
      <c r="E263" s="245"/>
      <c r="G263" s="277" t="s">
        <v>871</v>
      </c>
      <c r="H263" s="277"/>
      <c r="I263" s="277" t="s">
        <v>242</v>
      </c>
      <c r="J263" s="277"/>
      <c r="K263" s="245" t="s">
        <v>877</v>
      </c>
      <c r="L263" s="244">
        <f t="shared" si="7"/>
        <v>157913900</v>
      </c>
      <c r="M263" s="244">
        <v>141905500</v>
      </c>
      <c r="N263" s="244">
        <v>9778800</v>
      </c>
      <c r="O263" s="244">
        <v>2797900</v>
      </c>
      <c r="P263" s="244">
        <v>3431700</v>
      </c>
    </row>
    <row r="264" spans="1:16" ht="12" hidden="1" customHeight="1" x14ac:dyDescent="0.2">
      <c r="A264" s="245"/>
      <c r="B264" s="245"/>
      <c r="C264" s="273"/>
      <c r="D264" s="245"/>
      <c r="E264" s="245"/>
      <c r="G264" s="277" t="s">
        <v>871</v>
      </c>
      <c r="H264" s="277"/>
      <c r="I264" s="277" t="s">
        <v>244</v>
      </c>
      <c r="J264" s="277"/>
      <c r="K264" s="245" t="s">
        <v>878</v>
      </c>
      <c r="L264" s="244">
        <f t="shared" si="7"/>
        <v>8350300</v>
      </c>
      <c r="M264" s="244">
        <v>7670500</v>
      </c>
      <c r="N264" s="244">
        <v>528600</v>
      </c>
      <c r="O264" s="244">
        <v>151200</v>
      </c>
    </row>
    <row r="265" spans="1:16" ht="12" hidden="1" customHeight="1" x14ac:dyDescent="0.2">
      <c r="A265" s="245"/>
      <c r="B265" s="245"/>
      <c r="C265" s="273"/>
      <c r="D265" s="245"/>
      <c r="E265" s="245"/>
      <c r="G265" s="277" t="s">
        <v>871</v>
      </c>
      <c r="H265" s="277"/>
      <c r="I265" s="277" t="s">
        <v>246</v>
      </c>
      <c r="J265" s="277"/>
      <c r="K265" s="245" t="s">
        <v>879</v>
      </c>
      <c r="L265" s="244">
        <f t="shared" si="7"/>
        <v>25051300</v>
      </c>
      <c r="M265" s="244">
        <v>23011800</v>
      </c>
      <c r="N265" s="244">
        <v>1585800</v>
      </c>
      <c r="O265" s="244">
        <v>453700</v>
      </c>
    </row>
    <row r="266" spans="1:16" ht="12" customHeight="1" x14ac:dyDescent="0.2">
      <c r="A266" s="245"/>
      <c r="B266" s="245"/>
      <c r="C266" s="273"/>
      <c r="D266" s="245"/>
      <c r="E266" s="245"/>
      <c r="G266" s="277" t="s">
        <v>871</v>
      </c>
      <c r="H266" s="277"/>
      <c r="I266" s="277" t="s">
        <v>248</v>
      </c>
      <c r="J266" s="277"/>
      <c r="K266" s="245" t="s">
        <v>880</v>
      </c>
      <c r="L266" s="244">
        <f t="shared" si="7"/>
        <v>83504000</v>
      </c>
      <c r="M266" s="244">
        <v>76705800</v>
      </c>
      <c r="N266" s="244">
        <v>5285800</v>
      </c>
      <c r="O266" s="244">
        <v>1512400</v>
      </c>
    </row>
    <row r="267" spans="1:16" ht="12" hidden="1" customHeight="1" x14ac:dyDescent="0.2">
      <c r="A267" s="245"/>
      <c r="B267" s="245"/>
      <c r="C267" s="273"/>
      <c r="D267" s="245"/>
      <c r="E267" s="245"/>
      <c r="G267" s="277"/>
      <c r="H267" s="277"/>
      <c r="I267" s="277"/>
      <c r="J267" s="277"/>
      <c r="K267" s="245"/>
    </row>
    <row r="268" spans="1:16" ht="12" hidden="1" customHeight="1" x14ac:dyDescent="0.2">
      <c r="A268" s="245"/>
      <c r="B268" s="245"/>
      <c r="C268" s="273"/>
      <c r="D268" s="245"/>
      <c r="E268" s="245"/>
      <c r="G268" s="276" t="s">
        <v>871</v>
      </c>
      <c r="H268" s="276"/>
      <c r="I268" s="276" t="s">
        <v>258</v>
      </c>
      <c r="J268" s="276"/>
      <c r="K268" s="271" t="s">
        <v>881</v>
      </c>
    </row>
    <row r="269" spans="1:16" ht="12" hidden="1" customHeight="1" x14ac:dyDescent="0.2">
      <c r="A269" s="245"/>
      <c r="B269" s="245"/>
      <c r="C269" s="273"/>
      <c r="D269" s="245"/>
      <c r="E269" s="245"/>
      <c r="G269" s="277" t="s">
        <v>871</v>
      </c>
      <c r="H269" s="277"/>
      <c r="I269" s="277" t="s">
        <v>882</v>
      </c>
      <c r="J269" s="277"/>
      <c r="K269" s="245" t="s">
        <v>883</v>
      </c>
      <c r="L269" s="244">
        <v>0</v>
      </c>
    </row>
    <row r="270" spans="1:16" ht="12" hidden="1" customHeight="1" x14ac:dyDescent="0.2">
      <c r="A270" s="245"/>
      <c r="B270" s="245"/>
      <c r="C270" s="273"/>
      <c r="D270" s="245"/>
      <c r="E270" s="245"/>
      <c r="G270" s="277" t="s">
        <v>382</v>
      </c>
      <c r="H270" s="277"/>
      <c r="I270" s="277"/>
      <c r="J270" s="277"/>
      <c r="K270" s="245"/>
    </row>
    <row r="271" spans="1:16" ht="12" hidden="1" customHeight="1" x14ac:dyDescent="0.2">
      <c r="A271" s="245"/>
      <c r="B271" s="245"/>
      <c r="C271" s="273"/>
      <c r="D271" s="245"/>
      <c r="E271" s="245"/>
      <c r="G271" s="277" t="s">
        <v>382</v>
      </c>
      <c r="H271" s="277"/>
      <c r="I271" s="276" t="s">
        <v>884</v>
      </c>
      <c r="J271" s="276"/>
      <c r="K271" s="271" t="s">
        <v>885</v>
      </c>
    </row>
    <row r="272" spans="1:16" ht="12" hidden="1" customHeight="1" x14ac:dyDescent="0.2">
      <c r="A272" s="245"/>
      <c r="B272" s="245"/>
      <c r="C272" s="273" t="s">
        <v>886</v>
      </c>
      <c r="D272" s="245" t="s">
        <v>887</v>
      </c>
      <c r="E272" s="245"/>
      <c r="G272" s="277" t="s">
        <v>886</v>
      </c>
      <c r="H272" s="277"/>
      <c r="I272" s="277" t="s">
        <v>888</v>
      </c>
      <c r="J272" s="277"/>
      <c r="K272" s="245" t="s">
        <v>887</v>
      </c>
      <c r="L272" s="244">
        <v>0</v>
      </c>
    </row>
    <row r="273" spans="1:16" ht="12" hidden="1" customHeight="1" x14ac:dyDescent="0.2">
      <c r="A273" s="245"/>
      <c r="B273" s="245"/>
      <c r="C273" s="273" t="s">
        <v>889</v>
      </c>
      <c r="D273" s="245" t="s">
        <v>253</v>
      </c>
      <c r="E273" s="245"/>
      <c r="G273" s="277" t="s">
        <v>889</v>
      </c>
      <c r="H273" s="277"/>
      <c r="I273" s="277" t="s">
        <v>890</v>
      </c>
      <c r="J273" s="277"/>
      <c r="K273" s="245" t="s">
        <v>891</v>
      </c>
      <c r="L273" s="244">
        <v>0</v>
      </c>
    </row>
    <row r="274" spans="1:16" ht="12" hidden="1" customHeight="1" x14ac:dyDescent="0.2">
      <c r="A274" s="245"/>
      <c r="B274" s="245"/>
      <c r="C274" s="273"/>
      <c r="D274" s="245"/>
      <c r="E274" s="245"/>
      <c r="G274" s="277" t="s">
        <v>889</v>
      </c>
      <c r="H274" s="277"/>
      <c r="I274" s="277" t="s">
        <v>892</v>
      </c>
      <c r="J274" s="277"/>
      <c r="K274" s="245" t="s">
        <v>893</v>
      </c>
      <c r="L274" s="244">
        <v>0</v>
      </c>
    </row>
    <row r="275" spans="1:16" ht="12" hidden="1" customHeight="1" x14ac:dyDescent="0.2">
      <c r="A275" s="245"/>
      <c r="B275" s="245"/>
      <c r="C275" s="273"/>
      <c r="D275" s="245"/>
      <c r="E275" s="245"/>
      <c r="G275" s="245"/>
      <c r="H275" s="245"/>
      <c r="I275" s="245"/>
      <c r="J275" s="245"/>
      <c r="K275" s="245"/>
    </row>
    <row r="276" spans="1:16" ht="12" customHeight="1" x14ac:dyDescent="0.2">
      <c r="A276" s="245"/>
      <c r="B276" s="245"/>
      <c r="C276" s="273"/>
      <c r="D276" s="245"/>
      <c r="E276" s="245"/>
      <c r="G276" s="247" t="s">
        <v>382</v>
      </c>
      <c r="H276" s="247"/>
      <c r="I276" s="276" t="s">
        <v>258</v>
      </c>
      <c r="J276" s="276"/>
      <c r="K276" s="271" t="s">
        <v>881</v>
      </c>
      <c r="L276" s="272">
        <f>+L277</f>
        <v>72000000</v>
      </c>
      <c r="M276" s="272">
        <f>+M277</f>
        <v>0</v>
      </c>
      <c r="N276" s="272">
        <f>+N277</f>
        <v>72000000</v>
      </c>
      <c r="O276" s="272">
        <f>+O277</f>
        <v>0</v>
      </c>
      <c r="P276" s="272">
        <f>+P277</f>
        <v>0</v>
      </c>
    </row>
    <row r="277" spans="1:16" s="269" customFormat="1" ht="12" customHeight="1" x14ac:dyDescent="0.2">
      <c r="A277" s="265"/>
      <c r="B277" s="265"/>
      <c r="C277" s="266" t="s">
        <v>894</v>
      </c>
      <c r="D277" s="265" t="s">
        <v>895</v>
      </c>
      <c r="E277" s="266"/>
      <c r="F277" s="265"/>
      <c r="G277" s="323" t="s">
        <v>894</v>
      </c>
      <c r="H277" s="265"/>
      <c r="I277" s="265" t="s">
        <v>411</v>
      </c>
      <c r="J277" s="265"/>
      <c r="K277" s="265" t="s">
        <v>412</v>
      </c>
      <c r="L277" s="275">
        <f>SUM(M277:P277)</f>
        <v>72000000</v>
      </c>
      <c r="M277" s="275">
        <v>0</v>
      </c>
      <c r="N277" s="275">
        <v>72000000</v>
      </c>
      <c r="O277" s="275">
        <v>0</v>
      </c>
      <c r="P277" s="275">
        <v>0</v>
      </c>
    </row>
    <row r="278" spans="1:16" ht="12" hidden="1" customHeight="1" x14ac:dyDescent="0.2">
      <c r="A278" s="245"/>
      <c r="B278" s="245"/>
      <c r="C278" s="273" t="s">
        <v>896</v>
      </c>
      <c r="D278" s="245" t="s">
        <v>897</v>
      </c>
      <c r="E278" s="245"/>
      <c r="G278" s="273" t="s">
        <v>896</v>
      </c>
      <c r="H278" s="273"/>
      <c r="I278" s="277" t="s">
        <v>898</v>
      </c>
      <c r="J278" s="277"/>
      <c r="K278" s="245" t="s">
        <v>899</v>
      </c>
      <c r="L278" s="244">
        <v>0</v>
      </c>
    </row>
    <row r="279" spans="1:16" ht="12" hidden="1" customHeight="1" x14ac:dyDescent="0.2">
      <c r="A279" s="245"/>
      <c r="B279" s="245"/>
      <c r="C279" s="245"/>
      <c r="D279" s="245"/>
      <c r="E279" s="245"/>
      <c r="G279" s="273" t="s">
        <v>896</v>
      </c>
      <c r="H279" s="273"/>
      <c r="I279" s="277" t="s">
        <v>259</v>
      </c>
      <c r="J279" s="277"/>
      <c r="K279" s="245" t="s">
        <v>900</v>
      </c>
      <c r="L279" s="244">
        <v>0</v>
      </c>
    </row>
    <row r="280" spans="1:16" ht="12" hidden="1" customHeight="1" x14ac:dyDescent="0.2">
      <c r="A280" s="245"/>
      <c r="B280" s="245"/>
      <c r="C280" s="245"/>
      <c r="D280" s="245"/>
      <c r="E280" s="245"/>
      <c r="G280" s="247"/>
      <c r="H280" s="247"/>
      <c r="I280" s="277"/>
      <c r="J280" s="277"/>
      <c r="K280" s="245"/>
    </row>
    <row r="281" spans="1:16" ht="12" hidden="1" customHeight="1" x14ac:dyDescent="0.2">
      <c r="A281" s="245"/>
      <c r="B281" s="245"/>
      <c r="C281" s="245"/>
      <c r="D281" s="245"/>
      <c r="E281" s="245"/>
      <c r="G281" s="247"/>
      <c r="H281" s="247"/>
      <c r="I281" s="277"/>
      <c r="J281" s="277"/>
      <c r="K281" s="245"/>
    </row>
    <row r="282" spans="1:16" ht="12" hidden="1" customHeight="1" x14ac:dyDescent="0.2">
      <c r="A282" s="245"/>
      <c r="B282" s="274" t="s">
        <v>901</v>
      </c>
      <c r="C282" s="278" t="s">
        <v>902</v>
      </c>
      <c r="D282" s="245"/>
      <c r="E282" s="245"/>
      <c r="G282" s="276" t="s">
        <v>901</v>
      </c>
      <c r="H282" s="276"/>
      <c r="I282" s="276">
        <v>7</v>
      </c>
      <c r="J282" s="276"/>
      <c r="K282" s="284" t="s">
        <v>902</v>
      </c>
    </row>
    <row r="283" spans="1:16" ht="12" hidden="1" customHeight="1" x14ac:dyDescent="0.2">
      <c r="A283" s="245"/>
      <c r="B283" s="245"/>
      <c r="C283" s="245"/>
      <c r="D283" s="245"/>
      <c r="E283" s="245"/>
      <c r="G283" s="247"/>
      <c r="H283" s="247"/>
      <c r="I283" s="277"/>
      <c r="J283" s="277"/>
      <c r="K283" s="247"/>
    </row>
    <row r="284" spans="1:16" ht="12" hidden="1" customHeight="1" x14ac:dyDescent="0.2">
      <c r="A284" s="245"/>
      <c r="B284" s="245"/>
      <c r="C284" s="273" t="s">
        <v>903</v>
      </c>
      <c r="D284" s="245" t="s">
        <v>904</v>
      </c>
      <c r="E284" s="245"/>
      <c r="G284" s="276" t="s">
        <v>903</v>
      </c>
      <c r="H284" s="276"/>
      <c r="I284" s="276" t="s">
        <v>905</v>
      </c>
      <c r="J284" s="276"/>
      <c r="K284" s="271" t="s">
        <v>906</v>
      </c>
    </row>
    <row r="285" spans="1:16" ht="12" hidden="1" customHeight="1" x14ac:dyDescent="0.2">
      <c r="A285" s="245"/>
      <c r="B285" s="245"/>
      <c r="C285" s="273"/>
      <c r="D285" s="245"/>
      <c r="E285" s="245"/>
      <c r="G285" s="277" t="s">
        <v>903</v>
      </c>
      <c r="H285" s="277"/>
      <c r="I285" s="277" t="s">
        <v>907</v>
      </c>
      <c r="J285" s="277"/>
      <c r="K285" s="247" t="s">
        <v>908</v>
      </c>
      <c r="L285" s="244">
        <v>0</v>
      </c>
    </row>
    <row r="286" spans="1:16" ht="12" hidden="1" customHeight="1" x14ac:dyDescent="0.2">
      <c r="A286" s="245"/>
      <c r="B286" s="245"/>
      <c r="C286" s="273"/>
      <c r="D286" s="245"/>
      <c r="E286" s="245"/>
      <c r="G286" s="277" t="s">
        <v>903</v>
      </c>
      <c r="H286" s="277"/>
      <c r="I286" s="277" t="s">
        <v>909</v>
      </c>
      <c r="J286" s="277"/>
      <c r="K286" s="247" t="s">
        <v>910</v>
      </c>
      <c r="L286" s="244">
        <v>0</v>
      </c>
    </row>
    <row r="287" spans="1:16" ht="12" hidden="1" customHeight="1" x14ac:dyDescent="0.2">
      <c r="A287" s="245"/>
      <c r="B287" s="245"/>
      <c r="C287" s="273"/>
      <c r="D287" s="245"/>
      <c r="E287" s="245"/>
      <c r="G287" s="277" t="s">
        <v>903</v>
      </c>
      <c r="H287" s="277"/>
      <c r="I287" s="277" t="s">
        <v>911</v>
      </c>
      <c r="J287" s="277"/>
      <c r="K287" s="247" t="s">
        <v>912</v>
      </c>
      <c r="L287" s="244">
        <v>0</v>
      </c>
    </row>
    <row r="288" spans="1:16" ht="12" hidden="1" customHeight="1" x14ac:dyDescent="0.2">
      <c r="A288" s="245"/>
      <c r="B288" s="245"/>
      <c r="C288" s="273"/>
      <c r="D288" s="245"/>
      <c r="E288" s="245"/>
      <c r="G288" s="277" t="s">
        <v>903</v>
      </c>
      <c r="H288" s="277"/>
      <c r="I288" s="277" t="s">
        <v>913</v>
      </c>
      <c r="J288" s="277"/>
      <c r="K288" s="247" t="s">
        <v>914</v>
      </c>
      <c r="L288" s="244">
        <v>0</v>
      </c>
    </row>
    <row r="289" spans="1:16" ht="12" hidden="1" customHeight="1" x14ac:dyDescent="0.2">
      <c r="A289" s="245"/>
      <c r="B289" s="245"/>
      <c r="C289" s="273"/>
      <c r="D289" s="245"/>
      <c r="E289" s="245"/>
      <c r="G289" s="277" t="s">
        <v>903</v>
      </c>
      <c r="H289" s="277"/>
      <c r="I289" s="277" t="s">
        <v>915</v>
      </c>
      <c r="J289" s="277"/>
      <c r="K289" s="247" t="s">
        <v>916</v>
      </c>
      <c r="L289" s="244">
        <v>0</v>
      </c>
    </row>
    <row r="290" spans="1:16" ht="12" hidden="1" customHeight="1" x14ac:dyDescent="0.2">
      <c r="A290" s="245"/>
      <c r="B290" s="245"/>
      <c r="C290" s="273"/>
      <c r="D290" s="245"/>
      <c r="E290" s="245"/>
      <c r="G290" s="277" t="s">
        <v>903</v>
      </c>
      <c r="H290" s="277"/>
      <c r="I290" s="277" t="s">
        <v>917</v>
      </c>
      <c r="J290" s="277"/>
      <c r="K290" s="247" t="s">
        <v>918</v>
      </c>
      <c r="L290" s="244">
        <v>0</v>
      </c>
    </row>
    <row r="291" spans="1:16" ht="12" hidden="1" customHeight="1" x14ac:dyDescent="0.2">
      <c r="A291" s="245"/>
      <c r="B291" s="245"/>
      <c r="C291" s="273"/>
      <c r="D291" s="245"/>
      <c r="E291" s="245"/>
      <c r="G291" s="277" t="s">
        <v>903</v>
      </c>
      <c r="H291" s="277"/>
      <c r="I291" s="277" t="s">
        <v>919</v>
      </c>
      <c r="J291" s="277"/>
      <c r="K291" s="247" t="s">
        <v>920</v>
      </c>
      <c r="L291" s="244">
        <v>0</v>
      </c>
    </row>
    <row r="292" spans="1:16" s="245" customFormat="1" ht="12" hidden="1" customHeight="1" x14ac:dyDescent="0.2">
      <c r="C292" s="273"/>
      <c r="F292" s="244"/>
      <c r="G292" s="247"/>
      <c r="H292" s="247"/>
      <c r="I292" s="277"/>
      <c r="J292" s="277"/>
      <c r="K292" s="247"/>
      <c r="L292" s="244"/>
      <c r="M292" s="244"/>
      <c r="N292" s="244"/>
      <c r="O292" s="244"/>
      <c r="P292" s="244"/>
    </row>
    <row r="293" spans="1:16" ht="12" hidden="1" customHeight="1" x14ac:dyDescent="0.2">
      <c r="A293" s="245"/>
      <c r="B293" s="245"/>
      <c r="C293" s="273" t="s">
        <v>921</v>
      </c>
      <c r="D293" s="245" t="s">
        <v>922</v>
      </c>
      <c r="E293" s="245"/>
      <c r="G293" s="274" t="s">
        <v>921</v>
      </c>
      <c r="H293" s="274"/>
      <c r="I293" s="276" t="s">
        <v>923</v>
      </c>
      <c r="J293" s="276"/>
      <c r="K293" s="271" t="s">
        <v>924</v>
      </c>
      <c r="L293" s="244">
        <v>0</v>
      </c>
    </row>
    <row r="294" spans="1:16" ht="12" hidden="1" customHeight="1" x14ac:dyDescent="0.2">
      <c r="A294" s="245"/>
      <c r="B294" s="245"/>
      <c r="C294" s="273"/>
      <c r="D294" s="245" t="s">
        <v>382</v>
      </c>
      <c r="E294" s="245"/>
      <c r="G294" s="273" t="s">
        <v>921</v>
      </c>
      <c r="H294" s="273"/>
      <c r="I294" s="277" t="s">
        <v>925</v>
      </c>
      <c r="J294" s="277"/>
      <c r="K294" s="247" t="s">
        <v>926</v>
      </c>
    </row>
    <row r="295" spans="1:16" ht="12" hidden="1" customHeight="1" x14ac:dyDescent="0.2">
      <c r="A295" s="245"/>
      <c r="B295" s="245"/>
      <c r="C295" s="273"/>
      <c r="D295" s="245"/>
      <c r="E295" s="245"/>
      <c r="G295" s="273" t="s">
        <v>921</v>
      </c>
      <c r="H295" s="273"/>
      <c r="I295" s="276" t="s">
        <v>927</v>
      </c>
      <c r="J295" s="276"/>
      <c r="K295" s="271" t="s">
        <v>928</v>
      </c>
    </row>
    <row r="296" spans="1:16" ht="12" hidden="1" customHeight="1" x14ac:dyDescent="0.2">
      <c r="A296" s="245"/>
      <c r="B296" s="245"/>
      <c r="C296" s="273"/>
      <c r="D296" s="245"/>
      <c r="E296" s="245"/>
      <c r="F296" s="246"/>
      <c r="G296" s="273" t="s">
        <v>921</v>
      </c>
      <c r="H296" s="273"/>
      <c r="I296" s="277" t="s">
        <v>929</v>
      </c>
      <c r="J296" s="277"/>
      <c r="K296" s="247" t="s">
        <v>930</v>
      </c>
      <c r="L296" s="244">
        <v>0</v>
      </c>
    </row>
    <row r="297" spans="1:16" ht="12" hidden="1" customHeight="1" x14ac:dyDescent="0.2">
      <c r="A297" s="245"/>
      <c r="B297" s="245"/>
      <c r="C297" s="273"/>
      <c r="D297" s="245"/>
      <c r="E297" s="245"/>
      <c r="F297" s="246"/>
      <c r="G297" s="273" t="s">
        <v>921</v>
      </c>
      <c r="H297" s="273"/>
      <c r="I297" s="277" t="s">
        <v>931</v>
      </c>
      <c r="J297" s="277"/>
      <c r="K297" s="247" t="s">
        <v>932</v>
      </c>
      <c r="L297" s="244">
        <v>0</v>
      </c>
    </row>
    <row r="298" spans="1:16" ht="12" hidden="1" customHeight="1" x14ac:dyDescent="0.2">
      <c r="A298" s="245"/>
      <c r="B298" s="245"/>
      <c r="C298" s="273"/>
      <c r="D298" s="245"/>
      <c r="E298" s="245"/>
      <c r="G298" s="273" t="s">
        <v>921</v>
      </c>
      <c r="H298" s="273"/>
      <c r="I298" s="277" t="s">
        <v>933</v>
      </c>
      <c r="J298" s="277"/>
      <c r="K298" s="247" t="s">
        <v>934</v>
      </c>
      <c r="L298" s="244">
        <v>0</v>
      </c>
    </row>
    <row r="299" spans="1:16" ht="12" hidden="1" customHeight="1" x14ac:dyDescent="0.2">
      <c r="A299" s="245"/>
      <c r="B299" s="245"/>
      <c r="C299" s="273"/>
      <c r="D299" s="245" t="s">
        <v>382</v>
      </c>
      <c r="E299" s="245"/>
      <c r="G299" s="273" t="s">
        <v>921</v>
      </c>
      <c r="H299" s="273"/>
      <c r="I299" s="277" t="s">
        <v>935</v>
      </c>
      <c r="J299" s="277"/>
      <c r="K299" s="247" t="s">
        <v>936</v>
      </c>
      <c r="L299" s="244">
        <v>0</v>
      </c>
    </row>
    <row r="300" spans="1:16" ht="12" hidden="1" customHeight="1" x14ac:dyDescent="0.2">
      <c r="A300" s="245"/>
      <c r="B300" s="245"/>
      <c r="C300" s="273"/>
      <c r="D300" s="245"/>
      <c r="E300" s="245"/>
      <c r="G300" s="273" t="s">
        <v>921</v>
      </c>
      <c r="H300" s="273"/>
      <c r="I300" s="276" t="s">
        <v>937</v>
      </c>
      <c r="J300" s="276"/>
      <c r="K300" s="271" t="s">
        <v>938</v>
      </c>
    </row>
    <row r="301" spans="1:16" ht="12" hidden="1" customHeight="1" x14ac:dyDescent="0.2">
      <c r="A301" s="278" t="s">
        <v>382</v>
      </c>
      <c r="B301" s="245"/>
      <c r="C301" s="273"/>
      <c r="D301" s="245"/>
      <c r="E301" s="245"/>
      <c r="G301" s="273" t="s">
        <v>921</v>
      </c>
      <c r="H301" s="273"/>
      <c r="I301" s="277" t="s">
        <v>939</v>
      </c>
      <c r="J301" s="277"/>
      <c r="K301" s="247" t="s">
        <v>940</v>
      </c>
      <c r="L301" s="244">
        <v>0</v>
      </c>
    </row>
    <row r="302" spans="1:16" ht="12" hidden="1" customHeight="1" x14ac:dyDescent="0.2">
      <c r="A302" s="245"/>
      <c r="B302" s="245"/>
      <c r="C302" s="273"/>
      <c r="D302" s="245"/>
      <c r="E302" s="245"/>
      <c r="G302" s="247"/>
      <c r="H302" s="247"/>
      <c r="I302" s="277"/>
      <c r="J302" s="277"/>
      <c r="K302" s="247"/>
    </row>
    <row r="303" spans="1:16" ht="12" hidden="1" customHeight="1" x14ac:dyDescent="0.2">
      <c r="G303" s="259"/>
      <c r="H303" s="259"/>
      <c r="I303" s="259"/>
      <c r="J303" s="259"/>
    </row>
    <row r="304" spans="1:16" ht="12" hidden="1" customHeight="1" thickBot="1" x14ac:dyDescent="0.25">
      <c r="A304" s="279"/>
      <c r="B304" s="279"/>
      <c r="C304" s="279"/>
      <c r="D304" s="279"/>
      <c r="E304" s="279"/>
      <c r="F304" s="280"/>
      <c r="G304" s="282"/>
      <c r="H304" s="282"/>
      <c r="I304" s="281"/>
      <c r="J304" s="281"/>
      <c r="K304" s="289"/>
    </row>
    <row r="305" spans="1:12" ht="12" hidden="1" customHeight="1" x14ac:dyDescent="0.2">
      <c r="A305" s="245"/>
      <c r="B305" s="245"/>
      <c r="C305" s="245"/>
      <c r="D305" s="245"/>
      <c r="E305" s="245"/>
      <c r="F305" s="246"/>
      <c r="G305" s="273"/>
      <c r="H305" s="273"/>
      <c r="I305" s="277"/>
      <c r="J305" s="277"/>
      <c r="K305" s="247"/>
    </row>
    <row r="306" spans="1:12" ht="12" hidden="1" customHeight="1" x14ac:dyDescent="0.2">
      <c r="A306" s="245"/>
      <c r="B306" s="245"/>
      <c r="C306" s="273" t="s">
        <v>941</v>
      </c>
      <c r="D306" s="245" t="s">
        <v>942</v>
      </c>
      <c r="E306" s="245"/>
      <c r="G306" s="274" t="s">
        <v>941</v>
      </c>
      <c r="H306" s="274"/>
      <c r="I306" s="276" t="s">
        <v>943</v>
      </c>
      <c r="J306" s="276"/>
      <c r="K306" s="271" t="s">
        <v>944</v>
      </c>
    </row>
    <row r="307" spans="1:12" ht="12" hidden="1" customHeight="1" x14ac:dyDescent="0.2">
      <c r="A307" s="245"/>
      <c r="B307" s="245"/>
      <c r="C307" s="245"/>
      <c r="D307" s="245"/>
      <c r="E307" s="245"/>
      <c r="F307" s="246"/>
      <c r="G307" s="273" t="s">
        <v>941</v>
      </c>
      <c r="H307" s="273"/>
      <c r="I307" s="277" t="s">
        <v>945</v>
      </c>
      <c r="J307" s="277"/>
      <c r="K307" s="247" t="s">
        <v>946</v>
      </c>
      <c r="L307" s="244">
        <v>0</v>
      </c>
    </row>
    <row r="308" spans="1:12" ht="12" hidden="1" customHeight="1" x14ac:dyDescent="0.2">
      <c r="A308" s="245"/>
      <c r="B308" s="245"/>
      <c r="C308" s="245"/>
      <c r="D308" s="245"/>
      <c r="E308" s="245"/>
      <c r="G308" s="273" t="s">
        <v>941</v>
      </c>
      <c r="H308" s="273"/>
      <c r="I308" s="277" t="s">
        <v>947</v>
      </c>
      <c r="J308" s="277"/>
      <c r="K308" s="247" t="s">
        <v>948</v>
      </c>
      <c r="L308" s="244">
        <v>0</v>
      </c>
    </row>
    <row r="309" spans="1:12" ht="12" hidden="1" customHeight="1" x14ac:dyDescent="0.2">
      <c r="A309" s="245"/>
      <c r="B309" s="245"/>
      <c r="C309" s="245"/>
      <c r="D309" s="245"/>
      <c r="E309" s="245"/>
      <c r="G309" s="283"/>
      <c r="H309" s="283"/>
      <c r="I309" s="276"/>
      <c r="J309" s="276"/>
      <c r="K309" s="245"/>
    </row>
    <row r="310" spans="1:12" ht="12" hidden="1" customHeight="1" x14ac:dyDescent="0.2">
      <c r="A310" s="245"/>
      <c r="B310" s="245"/>
      <c r="C310" s="245"/>
      <c r="D310" s="278"/>
      <c r="E310" s="278"/>
      <c r="G310" s="247"/>
      <c r="H310" s="247"/>
      <c r="I310" s="277"/>
      <c r="J310" s="277"/>
      <c r="K310" s="247"/>
    </row>
    <row r="311" spans="1:12" ht="12" hidden="1" customHeight="1" x14ac:dyDescent="0.2">
      <c r="A311" s="274">
        <v>3</v>
      </c>
      <c r="B311" s="278" t="s">
        <v>949</v>
      </c>
      <c r="C311" s="245"/>
      <c r="D311" s="278"/>
      <c r="E311" s="278"/>
      <c r="G311" s="283">
        <v>3</v>
      </c>
      <c r="H311" s="283"/>
      <c r="I311" s="276">
        <v>4</v>
      </c>
      <c r="J311" s="276"/>
      <c r="K311" s="284" t="s">
        <v>950</v>
      </c>
    </row>
    <row r="312" spans="1:12" ht="12" hidden="1" customHeight="1" x14ac:dyDescent="0.2">
      <c r="A312" s="245"/>
      <c r="B312" s="278" t="s">
        <v>382</v>
      </c>
      <c r="C312" s="278"/>
      <c r="D312" s="245"/>
      <c r="E312" s="245"/>
      <c r="G312" s="247"/>
      <c r="H312" s="247"/>
      <c r="I312" s="277"/>
      <c r="J312" s="277"/>
      <c r="K312" s="247"/>
    </row>
    <row r="313" spans="1:12" ht="12" hidden="1" customHeight="1" x14ac:dyDescent="0.2">
      <c r="A313" s="245"/>
      <c r="B313" s="274" t="s">
        <v>951</v>
      </c>
      <c r="C313" s="290" t="s">
        <v>952</v>
      </c>
      <c r="D313" s="245"/>
      <c r="G313" s="276" t="s">
        <v>951</v>
      </c>
      <c r="H313" s="276"/>
      <c r="I313" s="276" t="s">
        <v>953</v>
      </c>
      <c r="J313" s="276"/>
      <c r="K313" s="284" t="s">
        <v>954</v>
      </c>
    </row>
    <row r="314" spans="1:12" ht="12" hidden="1" customHeight="1" x14ac:dyDescent="0.2">
      <c r="A314" s="245"/>
      <c r="B314" s="241"/>
      <c r="C314" s="245"/>
      <c r="D314" s="245"/>
      <c r="E314" s="245"/>
      <c r="G314" s="277" t="s">
        <v>951</v>
      </c>
      <c r="H314" s="277"/>
      <c r="I314" s="277" t="s">
        <v>955</v>
      </c>
      <c r="J314" s="277"/>
      <c r="K314" s="247" t="s">
        <v>956</v>
      </c>
    </row>
    <row r="315" spans="1:12" ht="12" hidden="1" customHeight="1" x14ac:dyDescent="0.2">
      <c r="A315" s="245"/>
      <c r="E315" s="245"/>
      <c r="G315" s="277" t="s">
        <v>951</v>
      </c>
      <c r="H315" s="277"/>
      <c r="I315" s="277" t="s">
        <v>957</v>
      </c>
      <c r="J315" s="277"/>
      <c r="K315" s="247" t="s">
        <v>958</v>
      </c>
    </row>
    <row r="316" spans="1:12" ht="12" hidden="1" customHeight="1" x14ac:dyDescent="0.2">
      <c r="A316" s="245"/>
      <c r="B316" s="241"/>
      <c r="C316" s="245"/>
      <c r="D316" s="245"/>
      <c r="E316" s="245"/>
      <c r="G316" s="277" t="s">
        <v>951</v>
      </c>
      <c r="H316" s="277"/>
      <c r="I316" s="277" t="s">
        <v>959</v>
      </c>
      <c r="J316" s="277"/>
      <c r="K316" s="247" t="s">
        <v>960</v>
      </c>
    </row>
    <row r="317" spans="1:12" ht="12" hidden="1" customHeight="1" x14ac:dyDescent="0.2">
      <c r="A317" s="245"/>
      <c r="B317" s="241"/>
      <c r="C317" s="245"/>
      <c r="D317" s="245"/>
      <c r="E317" s="245"/>
      <c r="G317" s="277" t="s">
        <v>951</v>
      </c>
      <c r="H317" s="277"/>
      <c r="I317" s="277" t="s">
        <v>961</v>
      </c>
      <c r="J317" s="277"/>
      <c r="K317" s="247" t="s">
        <v>962</v>
      </c>
    </row>
    <row r="318" spans="1:12" ht="12" hidden="1" customHeight="1" x14ac:dyDescent="0.2">
      <c r="A318" s="245"/>
      <c r="B318" s="241"/>
      <c r="C318" s="245"/>
      <c r="D318" s="245"/>
      <c r="E318" s="245"/>
      <c r="G318" s="277" t="s">
        <v>951</v>
      </c>
      <c r="H318" s="277"/>
      <c r="I318" s="277" t="s">
        <v>963</v>
      </c>
      <c r="J318" s="277"/>
      <c r="K318" s="247" t="s">
        <v>964</v>
      </c>
    </row>
    <row r="319" spans="1:12" ht="12" hidden="1" customHeight="1" x14ac:dyDescent="0.2">
      <c r="A319" s="245"/>
      <c r="B319" s="241"/>
      <c r="C319" s="245"/>
      <c r="D319" s="245"/>
      <c r="E319" s="245"/>
      <c r="G319" s="277" t="s">
        <v>951</v>
      </c>
      <c r="H319" s="277"/>
      <c r="I319" s="277" t="s">
        <v>965</v>
      </c>
      <c r="J319" s="277"/>
      <c r="K319" s="247" t="s">
        <v>966</v>
      </c>
    </row>
    <row r="320" spans="1:12" ht="12" hidden="1" customHeight="1" x14ac:dyDescent="0.2">
      <c r="A320" s="245"/>
      <c r="B320" s="241"/>
      <c r="C320" s="245"/>
      <c r="D320" s="245"/>
      <c r="E320" s="245"/>
      <c r="G320" s="277" t="s">
        <v>951</v>
      </c>
      <c r="H320" s="277"/>
      <c r="I320" s="277" t="s">
        <v>967</v>
      </c>
      <c r="J320" s="277"/>
      <c r="K320" s="247" t="s">
        <v>968</v>
      </c>
    </row>
    <row r="321" spans="1:11" ht="12" hidden="1" customHeight="1" x14ac:dyDescent="0.2">
      <c r="A321" s="245"/>
      <c r="B321" s="241"/>
      <c r="C321" s="245"/>
      <c r="D321" s="245"/>
      <c r="E321" s="245"/>
      <c r="G321" s="277" t="s">
        <v>951</v>
      </c>
      <c r="H321" s="277"/>
      <c r="I321" s="277" t="s">
        <v>969</v>
      </c>
      <c r="J321" s="277"/>
      <c r="K321" s="247" t="s">
        <v>970</v>
      </c>
    </row>
    <row r="322" spans="1:11" ht="12" hidden="1" customHeight="1" x14ac:dyDescent="0.2">
      <c r="A322" s="245"/>
      <c r="B322" s="241"/>
      <c r="C322" s="245"/>
      <c r="D322" s="278"/>
      <c r="E322" s="278"/>
      <c r="G322" s="247"/>
      <c r="H322" s="247"/>
      <c r="I322" s="277"/>
      <c r="J322" s="277"/>
      <c r="K322" s="245"/>
    </row>
    <row r="323" spans="1:11" ht="12" hidden="1" customHeight="1" x14ac:dyDescent="0.2">
      <c r="A323" s="245"/>
      <c r="B323" s="239" t="s">
        <v>971</v>
      </c>
      <c r="C323" s="278" t="s">
        <v>972</v>
      </c>
      <c r="E323" s="245"/>
      <c r="G323" s="276" t="s">
        <v>971</v>
      </c>
      <c r="H323" s="276"/>
      <c r="I323" s="276" t="s">
        <v>973</v>
      </c>
      <c r="J323" s="276"/>
      <c r="K323" s="284" t="s">
        <v>972</v>
      </c>
    </row>
    <row r="324" spans="1:11" ht="12" hidden="1" customHeight="1" x14ac:dyDescent="0.2">
      <c r="A324" s="245"/>
      <c r="B324" s="245"/>
      <c r="C324" s="245"/>
      <c r="D324" s="245"/>
      <c r="E324" s="245"/>
      <c r="G324" s="277" t="s">
        <v>971</v>
      </c>
      <c r="H324" s="277"/>
      <c r="I324" s="277" t="s">
        <v>974</v>
      </c>
      <c r="J324" s="277"/>
      <c r="K324" s="247" t="s">
        <v>975</v>
      </c>
    </row>
    <row r="325" spans="1:11" ht="12" hidden="1" customHeight="1" x14ac:dyDescent="0.2">
      <c r="A325" s="245"/>
      <c r="B325" s="245"/>
      <c r="C325" s="245"/>
      <c r="D325" s="245"/>
      <c r="E325" s="245"/>
      <c r="G325" s="277" t="s">
        <v>971</v>
      </c>
      <c r="H325" s="277"/>
      <c r="I325" s="277" t="s">
        <v>976</v>
      </c>
      <c r="J325" s="277"/>
      <c r="K325" s="247" t="s">
        <v>977</v>
      </c>
    </row>
    <row r="326" spans="1:11" ht="12" hidden="1" customHeight="1" x14ac:dyDescent="0.2">
      <c r="A326" s="245"/>
      <c r="B326" s="245"/>
      <c r="C326" s="245"/>
      <c r="D326" s="245"/>
      <c r="E326" s="245"/>
      <c r="G326" s="277" t="s">
        <v>971</v>
      </c>
      <c r="H326" s="277"/>
      <c r="I326" s="277" t="s">
        <v>978</v>
      </c>
      <c r="J326" s="277"/>
      <c r="K326" s="247" t="s">
        <v>979</v>
      </c>
    </row>
    <row r="327" spans="1:11" ht="12" hidden="1" customHeight="1" x14ac:dyDescent="0.2">
      <c r="A327" s="245"/>
      <c r="B327" s="245"/>
      <c r="C327" s="245"/>
      <c r="D327" s="245"/>
      <c r="E327" s="245"/>
      <c r="G327" s="277" t="s">
        <v>971</v>
      </c>
      <c r="H327" s="277"/>
      <c r="I327" s="277" t="s">
        <v>980</v>
      </c>
      <c r="J327" s="277"/>
      <c r="K327" s="247" t="s">
        <v>981</v>
      </c>
    </row>
    <row r="328" spans="1:11" ht="12" hidden="1" customHeight="1" x14ac:dyDescent="0.2">
      <c r="A328" s="245"/>
      <c r="B328" s="245"/>
      <c r="C328" s="245"/>
      <c r="D328" s="245"/>
      <c r="E328" s="245"/>
      <c r="G328" s="277" t="s">
        <v>971</v>
      </c>
      <c r="H328" s="277"/>
      <c r="I328" s="277" t="s">
        <v>982</v>
      </c>
      <c r="J328" s="277"/>
      <c r="K328" s="247" t="s">
        <v>983</v>
      </c>
    </row>
    <row r="329" spans="1:11" ht="12" hidden="1" customHeight="1" x14ac:dyDescent="0.2">
      <c r="A329" s="245"/>
      <c r="B329" s="245"/>
      <c r="C329" s="245"/>
      <c r="D329" s="245"/>
      <c r="E329" s="245"/>
      <c r="G329" s="277" t="s">
        <v>971</v>
      </c>
      <c r="H329" s="277"/>
      <c r="I329" s="277" t="s">
        <v>984</v>
      </c>
      <c r="J329" s="277"/>
      <c r="K329" s="247" t="s">
        <v>985</v>
      </c>
    </row>
    <row r="330" spans="1:11" ht="12" hidden="1" customHeight="1" x14ac:dyDescent="0.2">
      <c r="A330" s="245"/>
      <c r="B330" s="245"/>
      <c r="C330" s="245"/>
      <c r="D330" s="245"/>
      <c r="E330" s="245"/>
      <c r="G330" s="277" t="s">
        <v>971</v>
      </c>
      <c r="H330" s="277"/>
      <c r="I330" s="277" t="s">
        <v>986</v>
      </c>
      <c r="J330" s="277"/>
      <c r="K330" s="247" t="s">
        <v>987</v>
      </c>
    </row>
    <row r="331" spans="1:11" ht="12" hidden="1" customHeight="1" x14ac:dyDescent="0.2">
      <c r="A331" s="245"/>
      <c r="B331" s="245"/>
      <c r="C331" s="245"/>
      <c r="D331" s="245"/>
      <c r="E331" s="245"/>
      <c r="G331" s="277" t="s">
        <v>971</v>
      </c>
      <c r="H331" s="277"/>
      <c r="I331" s="277" t="s">
        <v>988</v>
      </c>
      <c r="J331" s="277"/>
      <c r="K331" s="247" t="s">
        <v>989</v>
      </c>
    </row>
    <row r="332" spans="1:11" ht="12" hidden="1" customHeight="1" x14ac:dyDescent="0.2">
      <c r="A332" s="245"/>
      <c r="B332" s="245"/>
      <c r="C332" s="245"/>
      <c r="D332" s="245"/>
      <c r="E332" s="245"/>
      <c r="G332" s="247"/>
      <c r="H332" s="247"/>
      <c r="I332" s="277"/>
      <c r="J332" s="277"/>
      <c r="K332" s="245"/>
    </row>
    <row r="333" spans="1:11" ht="12" hidden="1" customHeight="1" x14ac:dyDescent="0.2">
      <c r="A333" s="245"/>
      <c r="B333" s="274" t="s">
        <v>990</v>
      </c>
      <c r="C333" s="278" t="s">
        <v>991</v>
      </c>
      <c r="D333" s="245"/>
      <c r="E333" s="245"/>
      <c r="G333" s="276" t="s">
        <v>990</v>
      </c>
      <c r="H333" s="276"/>
      <c r="I333" s="276">
        <v>8</v>
      </c>
      <c r="J333" s="276"/>
      <c r="K333" s="284" t="s">
        <v>992</v>
      </c>
    </row>
    <row r="334" spans="1:11" ht="12" hidden="1" customHeight="1" x14ac:dyDescent="0.2">
      <c r="A334" s="245"/>
      <c r="B334" s="245"/>
      <c r="C334" s="245"/>
      <c r="D334" s="245"/>
      <c r="E334" s="245"/>
      <c r="G334" s="247"/>
      <c r="H334" s="247"/>
      <c r="I334" s="277"/>
      <c r="J334" s="277"/>
      <c r="K334" s="245"/>
    </row>
    <row r="335" spans="1:11" ht="12" hidden="1" customHeight="1" x14ac:dyDescent="0.2">
      <c r="A335" s="245"/>
      <c r="B335" s="245"/>
      <c r="C335" s="273" t="s">
        <v>993</v>
      </c>
      <c r="D335" s="245" t="s">
        <v>994</v>
      </c>
      <c r="E335" s="245"/>
      <c r="G335" s="247"/>
      <c r="H335" s="247"/>
      <c r="I335" s="245"/>
      <c r="J335" s="245"/>
      <c r="K335" s="245"/>
    </row>
    <row r="336" spans="1:11" ht="12" hidden="1" customHeight="1" x14ac:dyDescent="0.2">
      <c r="A336" s="245"/>
      <c r="B336" s="245"/>
      <c r="C336" s="245"/>
      <c r="D336" s="245"/>
      <c r="E336" s="245"/>
      <c r="G336" s="276" t="s">
        <v>993</v>
      </c>
      <c r="H336" s="276"/>
      <c r="I336" s="276" t="s">
        <v>995</v>
      </c>
      <c r="J336" s="276"/>
      <c r="K336" s="284" t="s">
        <v>996</v>
      </c>
    </row>
    <row r="337" spans="1:16" ht="12" hidden="1" customHeight="1" x14ac:dyDescent="0.2">
      <c r="A337" s="245"/>
      <c r="B337" s="245"/>
      <c r="C337" s="245"/>
      <c r="D337" s="245"/>
      <c r="E337" s="245"/>
      <c r="G337" s="277" t="s">
        <v>993</v>
      </c>
      <c r="H337" s="277"/>
      <c r="I337" s="277" t="s">
        <v>997</v>
      </c>
      <c r="J337" s="277"/>
      <c r="K337" s="247" t="s">
        <v>998</v>
      </c>
    </row>
    <row r="338" spans="1:16" ht="12" hidden="1" customHeight="1" x14ac:dyDescent="0.2">
      <c r="A338" s="245"/>
      <c r="B338" s="245"/>
      <c r="C338" s="245"/>
      <c r="D338" s="245"/>
      <c r="E338" s="245"/>
      <c r="G338" s="277" t="s">
        <v>993</v>
      </c>
      <c r="H338" s="277"/>
      <c r="I338" s="277" t="s">
        <v>999</v>
      </c>
      <c r="J338" s="277"/>
      <c r="K338" s="247" t="s">
        <v>1000</v>
      </c>
    </row>
    <row r="339" spans="1:16" ht="12" hidden="1" customHeight="1" x14ac:dyDescent="0.2">
      <c r="A339" s="245"/>
      <c r="B339" s="245"/>
      <c r="C339" s="245"/>
      <c r="D339" s="245"/>
      <c r="E339" s="245"/>
      <c r="G339" s="276" t="s">
        <v>993</v>
      </c>
      <c r="H339" s="276"/>
      <c r="I339" s="276" t="s">
        <v>1001</v>
      </c>
      <c r="J339" s="276"/>
      <c r="K339" s="284" t="s">
        <v>1002</v>
      </c>
    </row>
    <row r="340" spans="1:16" ht="12" hidden="1" customHeight="1" x14ac:dyDescent="0.2">
      <c r="A340" s="245"/>
      <c r="B340" s="245"/>
      <c r="C340" s="245"/>
      <c r="D340" s="245"/>
      <c r="E340" s="245"/>
      <c r="G340" s="277" t="s">
        <v>993</v>
      </c>
      <c r="H340" s="277"/>
      <c r="I340" s="277" t="s">
        <v>1003</v>
      </c>
      <c r="J340" s="277"/>
      <c r="K340" s="247" t="s">
        <v>1004</v>
      </c>
    </row>
    <row r="341" spans="1:16" ht="12" hidden="1" customHeight="1" x14ac:dyDescent="0.2">
      <c r="A341" s="245"/>
      <c r="B341" s="245"/>
      <c r="C341" s="245"/>
      <c r="D341" s="245"/>
      <c r="E341" s="245"/>
      <c r="G341" s="277" t="s">
        <v>993</v>
      </c>
      <c r="H341" s="277"/>
      <c r="I341" s="277" t="s">
        <v>1005</v>
      </c>
      <c r="J341" s="277"/>
      <c r="K341" s="247" t="s">
        <v>1006</v>
      </c>
    </row>
    <row r="342" spans="1:16" ht="12" hidden="1" customHeight="1" x14ac:dyDescent="0.2">
      <c r="A342" s="245"/>
      <c r="B342" s="245"/>
      <c r="C342" s="245"/>
      <c r="D342" s="245"/>
      <c r="E342" s="245"/>
      <c r="G342" s="277" t="s">
        <v>993</v>
      </c>
      <c r="H342" s="277"/>
      <c r="I342" s="277" t="s">
        <v>1007</v>
      </c>
      <c r="J342" s="277"/>
      <c r="K342" s="247" t="s">
        <v>1008</v>
      </c>
    </row>
    <row r="343" spans="1:16" ht="12" hidden="1" customHeight="1" x14ac:dyDescent="0.2">
      <c r="A343" s="245"/>
      <c r="B343" s="245"/>
      <c r="C343" s="245"/>
      <c r="D343" s="245"/>
      <c r="E343" s="245"/>
      <c r="G343" s="277" t="s">
        <v>993</v>
      </c>
      <c r="H343" s="277"/>
      <c r="I343" s="277" t="s">
        <v>1009</v>
      </c>
      <c r="J343" s="277"/>
      <c r="K343" s="247" t="s">
        <v>1010</v>
      </c>
      <c r="L343" s="291"/>
      <c r="M343" s="291"/>
      <c r="N343" s="291"/>
      <c r="O343" s="291"/>
      <c r="P343" s="291"/>
    </row>
    <row r="344" spans="1:16" ht="12" hidden="1" customHeight="1" x14ac:dyDescent="0.2">
      <c r="A344" s="245"/>
      <c r="B344" s="245"/>
      <c r="C344" s="245"/>
      <c r="D344" s="245"/>
      <c r="E344" s="245"/>
      <c r="G344" s="277" t="s">
        <v>993</v>
      </c>
      <c r="H344" s="277"/>
      <c r="I344" s="277" t="s">
        <v>1011</v>
      </c>
      <c r="J344" s="277"/>
      <c r="K344" s="247" t="s">
        <v>1012</v>
      </c>
    </row>
    <row r="345" spans="1:16" ht="12" hidden="1" customHeight="1" x14ac:dyDescent="0.2">
      <c r="A345" s="245"/>
      <c r="B345" s="245"/>
      <c r="C345" s="245"/>
      <c r="D345" s="245"/>
      <c r="E345" s="245"/>
      <c r="G345" s="277" t="s">
        <v>993</v>
      </c>
      <c r="H345" s="277"/>
      <c r="I345" s="277" t="s">
        <v>1013</v>
      </c>
      <c r="J345" s="277"/>
      <c r="K345" s="247" t="s">
        <v>1014</v>
      </c>
    </row>
    <row r="346" spans="1:16" ht="12" hidden="1" customHeight="1" x14ac:dyDescent="0.2">
      <c r="A346" s="245"/>
      <c r="B346" s="245"/>
      <c r="C346" s="245"/>
      <c r="D346" s="245"/>
      <c r="E346" s="245"/>
      <c r="G346" s="277" t="s">
        <v>993</v>
      </c>
      <c r="H346" s="277"/>
      <c r="I346" s="277" t="s">
        <v>1015</v>
      </c>
      <c r="J346" s="277"/>
      <c r="K346" s="247" t="s">
        <v>1016</v>
      </c>
    </row>
    <row r="347" spans="1:16" ht="12" hidden="1" customHeight="1" x14ac:dyDescent="0.2">
      <c r="A347" s="245"/>
      <c r="B347" s="245"/>
      <c r="C347" s="245"/>
      <c r="D347" s="245"/>
      <c r="E347" s="245"/>
      <c r="F347" s="292"/>
      <c r="G347" s="276" t="s">
        <v>993</v>
      </c>
      <c r="H347" s="276"/>
      <c r="I347" s="276" t="s">
        <v>1017</v>
      </c>
      <c r="J347" s="276"/>
      <c r="K347" s="284" t="s">
        <v>1018</v>
      </c>
    </row>
    <row r="348" spans="1:16" ht="12" hidden="1" customHeight="1" x14ac:dyDescent="0.2">
      <c r="A348" s="245"/>
      <c r="B348" s="245"/>
      <c r="C348" s="245"/>
      <c r="D348" s="245"/>
      <c r="E348" s="245"/>
      <c r="G348" s="277" t="s">
        <v>993</v>
      </c>
      <c r="H348" s="277"/>
      <c r="I348" s="277" t="s">
        <v>1019</v>
      </c>
      <c r="J348" s="277"/>
      <c r="K348" s="247" t="s">
        <v>1020</v>
      </c>
    </row>
    <row r="349" spans="1:16" ht="12" hidden="1" customHeight="1" x14ac:dyDescent="0.2">
      <c r="A349" s="245"/>
      <c r="B349" s="245"/>
      <c r="C349" s="245"/>
      <c r="D349" s="245"/>
      <c r="E349" s="245"/>
      <c r="G349" s="277"/>
      <c r="H349" s="277"/>
      <c r="I349" s="277"/>
      <c r="J349" s="277"/>
      <c r="K349" s="247"/>
    </row>
    <row r="350" spans="1:16" ht="12" hidden="1" customHeight="1" x14ac:dyDescent="0.2">
      <c r="A350" s="245"/>
      <c r="B350" s="245"/>
      <c r="C350" s="273" t="s">
        <v>1021</v>
      </c>
      <c r="D350" s="245" t="s">
        <v>1022</v>
      </c>
      <c r="E350" s="245"/>
      <c r="G350" s="247"/>
      <c r="H350" s="247"/>
      <c r="I350" s="277"/>
      <c r="J350" s="277"/>
      <c r="K350" s="245"/>
    </row>
    <row r="351" spans="1:16" ht="12" hidden="1" customHeight="1" x14ac:dyDescent="0.2">
      <c r="A351" s="245"/>
      <c r="B351" s="245"/>
      <c r="C351" s="245"/>
      <c r="D351" s="245"/>
      <c r="E351" s="245"/>
      <c r="G351" s="276" t="s">
        <v>1021</v>
      </c>
      <c r="H351" s="276"/>
      <c r="I351" s="276" t="s">
        <v>995</v>
      </c>
      <c r="J351" s="276"/>
      <c r="K351" s="284" t="s">
        <v>996</v>
      </c>
    </row>
    <row r="352" spans="1:16" ht="12" hidden="1" customHeight="1" x14ac:dyDescent="0.2">
      <c r="A352" s="245"/>
      <c r="B352" s="245"/>
      <c r="C352" s="245"/>
      <c r="D352" s="245"/>
      <c r="E352" s="245"/>
      <c r="F352" s="246"/>
      <c r="G352" s="277" t="s">
        <v>1021</v>
      </c>
      <c r="H352" s="277"/>
      <c r="I352" s="277" t="s">
        <v>1023</v>
      </c>
      <c r="J352" s="277"/>
      <c r="K352" s="247" t="s">
        <v>1024</v>
      </c>
    </row>
    <row r="353" spans="1:16" ht="12" hidden="1" customHeight="1" x14ac:dyDescent="0.2">
      <c r="A353" s="245"/>
      <c r="B353" s="245"/>
      <c r="C353" s="245"/>
      <c r="D353" s="245"/>
      <c r="E353" s="245"/>
      <c r="F353" s="246"/>
      <c r="G353" s="277" t="s">
        <v>1021</v>
      </c>
      <c r="H353" s="277"/>
      <c r="I353" s="277" t="s">
        <v>1025</v>
      </c>
      <c r="J353" s="277"/>
      <c r="K353" s="247" t="s">
        <v>1026</v>
      </c>
    </row>
    <row r="354" spans="1:16" ht="12" hidden="1" customHeight="1" x14ac:dyDescent="0.2">
      <c r="A354" s="245"/>
      <c r="B354" s="245"/>
      <c r="C354" s="245"/>
      <c r="D354" s="245"/>
      <c r="E354" s="245"/>
      <c r="F354" s="246"/>
      <c r="G354" s="276" t="s">
        <v>1021</v>
      </c>
      <c r="H354" s="276"/>
      <c r="I354" s="276" t="s">
        <v>1001</v>
      </c>
      <c r="J354" s="276"/>
      <c r="K354" s="284" t="s">
        <v>1002</v>
      </c>
    </row>
    <row r="355" spans="1:16" ht="12" hidden="1" customHeight="1" x14ac:dyDescent="0.2">
      <c r="A355" s="245"/>
      <c r="B355" s="245"/>
      <c r="C355" s="245"/>
      <c r="D355" s="245"/>
      <c r="E355" s="245"/>
      <c r="F355" s="246"/>
      <c r="G355" s="277" t="s">
        <v>1021</v>
      </c>
      <c r="H355" s="277"/>
      <c r="I355" s="277" t="s">
        <v>1027</v>
      </c>
      <c r="J355" s="277"/>
      <c r="K355" s="247" t="s">
        <v>1028</v>
      </c>
    </row>
    <row r="356" spans="1:16" ht="12" hidden="1" customHeight="1" x14ac:dyDescent="0.2">
      <c r="A356" s="245"/>
      <c r="B356" s="245"/>
      <c r="C356" s="245"/>
      <c r="D356" s="245"/>
      <c r="E356" s="245"/>
      <c r="F356" s="246"/>
      <c r="G356" s="247"/>
      <c r="H356" s="247"/>
      <c r="I356" s="277"/>
      <c r="J356" s="277"/>
      <c r="K356" s="245"/>
    </row>
    <row r="357" spans="1:16" ht="12" hidden="1" customHeight="1" x14ac:dyDescent="0.2">
      <c r="A357" s="245"/>
      <c r="B357" s="274" t="s">
        <v>1029</v>
      </c>
      <c r="C357" s="278" t="s">
        <v>1030</v>
      </c>
      <c r="D357" s="278"/>
      <c r="E357" s="283"/>
      <c r="F357" s="293"/>
      <c r="G357" s="276" t="s">
        <v>1029</v>
      </c>
      <c r="H357" s="276"/>
      <c r="I357" s="276" t="s">
        <v>1031</v>
      </c>
      <c r="J357" s="276"/>
      <c r="K357" s="284" t="s">
        <v>1030</v>
      </c>
    </row>
    <row r="358" spans="1:16" ht="12" hidden="1" customHeight="1" x14ac:dyDescent="0.2">
      <c r="A358" s="245"/>
      <c r="B358" s="245"/>
      <c r="C358" s="245"/>
      <c r="D358" s="245"/>
      <c r="E358" s="245"/>
      <c r="F358" s="246"/>
      <c r="G358" s="277" t="s">
        <v>1029</v>
      </c>
      <c r="H358" s="277"/>
      <c r="I358" s="277" t="s">
        <v>1032</v>
      </c>
      <c r="J358" s="277"/>
      <c r="K358" s="247" t="s">
        <v>1033</v>
      </c>
    </row>
    <row r="359" spans="1:16" ht="12" hidden="1" customHeight="1" x14ac:dyDescent="0.2">
      <c r="A359" s="245"/>
      <c r="B359" s="245"/>
      <c r="C359" s="245"/>
      <c r="D359" s="245"/>
      <c r="E359" s="245" t="s">
        <v>382</v>
      </c>
      <c r="F359" s="246"/>
      <c r="G359" s="277" t="s">
        <v>1029</v>
      </c>
      <c r="H359" s="277"/>
      <c r="I359" s="277" t="s">
        <v>1034</v>
      </c>
      <c r="J359" s="277"/>
      <c r="K359" s="247" t="s">
        <v>1035</v>
      </c>
    </row>
    <row r="360" spans="1:16" ht="12" hidden="1" customHeight="1" x14ac:dyDescent="0.2">
      <c r="A360" s="245"/>
      <c r="B360" s="245"/>
      <c r="C360" s="245"/>
      <c r="D360" s="245"/>
      <c r="E360" s="245"/>
      <c r="F360" s="246"/>
      <c r="G360" s="247"/>
      <c r="H360" s="247"/>
      <c r="I360" s="277"/>
      <c r="J360" s="277"/>
      <c r="K360" s="247"/>
    </row>
    <row r="361" spans="1:16" ht="12" customHeight="1" x14ac:dyDescent="0.2">
      <c r="D361" s="283"/>
      <c r="E361" s="278"/>
      <c r="F361" s="294"/>
      <c r="G361" s="277" t="s">
        <v>382</v>
      </c>
      <c r="H361" s="277"/>
      <c r="I361" s="276">
        <v>9</v>
      </c>
      <c r="J361" s="276"/>
      <c r="K361" s="284" t="s">
        <v>58</v>
      </c>
    </row>
    <row r="362" spans="1:16" s="253" customFormat="1" ht="20.100000000000001" customHeight="1" x14ac:dyDescent="0.2">
      <c r="A362" s="309">
        <v>4</v>
      </c>
      <c r="B362" s="1575" t="s">
        <v>1036</v>
      </c>
      <c r="C362" s="1575"/>
      <c r="D362" s="313"/>
      <c r="E362" s="313"/>
      <c r="F362" s="314">
        <f>+L364+L363</f>
        <v>328800</v>
      </c>
      <c r="G362" s="313" t="s">
        <v>382</v>
      </c>
      <c r="H362" s="313"/>
      <c r="I362" s="313" t="s">
        <v>268</v>
      </c>
      <c r="J362" s="315"/>
      <c r="K362" s="313" t="s">
        <v>1037</v>
      </c>
      <c r="L362" s="325">
        <f>+L364</f>
        <v>328800</v>
      </c>
      <c r="M362" s="325">
        <f>+M364</f>
        <v>0</v>
      </c>
      <c r="N362" s="325">
        <f>+N364</f>
        <v>0</v>
      </c>
      <c r="O362" s="325">
        <f>+O364</f>
        <v>0</v>
      </c>
      <c r="P362" s="325">
        <f>+P364</f>
        <v>0</v>
      </c>
    </row>
    <row r="363" spans="1:16" ht="12" hidden="1" customHeight="1" x14ac:dyDescent="0.2">
      <c r="A363" s="245"/>
      <c r="B363" s="245"/>
      <c r="C363" s="245"/>
      <c r="D363" s="245"/>
      <c r="E363" s="245"/>
      <c r="F363" s="246"/>
      <c r="G363" s="277">
        <v>4</v>
      </c>
      <c r="H363" s="277"/>
      <c r="I363" s="277" t="s">
        <v>270</v>
      </c>
      <c r="J363" s="277"/>
      <c r="K363" s="247" t="s">
        <v>1038</v>
      </c>
    </row>
    <row r="364" spans="1:16" ht="12" customHeight="1" x14ac:dyDescent="0.2">
      <c r="A364" s="245"/>
      <c r="B364" s="245"/>
      <c r="C364" s="245"/>
      <c r="D364" s="245"/>
      <c r="E364" s="245"/>
      <c r="F364" s="246"/>
      <c r="G364" s="277">
        <v>4</v>
      </c>
      <c r="H364" s="277"/>
      <c r="I364" s="277" t="s">
        <v>271</v>
      </c>
      <c r="J364" s="277"/>
      <c r="K364" s="247" t="s">
        <v>1039</v>
      </c>
      <c r="L364" s="244">
        <v>328800</v>
      </c>
      <c r="M364" s="244">
        <v>0</v>
      </c>
      <c r="N364" s="244">
        <v>0</v>
      </c>
      <c r="O364" s="244">
        <v>0</v>
      </c>
      <c r="P364" s="244">
        <v>0</v>
      </c>
    </row>
    <row r="365" spans="1:16" ht="12" hidden="1" customHeight="1" x14ac:dyDescent="0.2"/>
    <row r="366" spans="1:16" ht="7.5" customHeight="1" thickBot="1" x14ac:dyDescent="0.25">
      <c r="A366" s="279"/>
      <c r="B366" s="279"/>
      <c r="C366" s="279"/>
      <c r="D366" s="279"/>
      <c r="E366" s="279" t="s">
        <v>382</v>
      </c>
      <c r="F366" s="280"/>
      <c r="G366" s="289"/>
      <c r="H366" s="289"/>
      <c r="I366" s="281"/>
      <c r="J366" s="281"/>
      <c r="K366" s="279"/>
      <c r="L366" s="280"/>
      <c r="M366" s="280"/>
      <c r="N366" s="280"/>
      <c r="O366" s="280"/>
      <c r="P366" s="280"/>
    </row>
    <row r="367" spans="1:16" x14ac:dyDescent="0.2">
      <c r="G367" s="259"/>
      <c r="H367" s="259"/>
      <c r="I367" s="259"/>
      <c r="J367" s="259"/>
    </row>
    <row r="368" spans="1:16" s="316" customFormat="1" ht="21.9" customHeight="1" x14ac:dyDescent="0.25">
      <c r="A368" s="1565" t="s">
        <v>21</v>
      </c>
      <c r="B368" s="1565"/>
      <c r="C368" s="1565"/>
      <c r="D368" s="1565"/>
      <c r="E368" s="318"/>
      <c r="F368" s="319" t="e">
        <f>+F10+F243+F362</f>
        <v>#REF!</v>
      </c>
      <c r="G368" s="318"/>
      <c r="H368" s="318"/>
      <c r="I368" s="318"/>
      <c r="J368" s="318"/>
      <c r="K368" s="318"/>
      <c r="L368" s="319" t="e">
        <f>+L362+L10+L243</f>
        <v>#REF!</v>
      </c>
      <c r="M368" s="319" t="e">
        <f>+M362+M10+M243</f>
        <v>#REF!</v>
      </c>
      <c r="N368" s="319" t="e">
        <f>+N362+N10+N243</f>
        <v>#REF!</v>
      </c>
      <c r="O368" s="319" t="e">
        <f>+O362+O10+O243</f>
        <v>#REF!</v>
      </c>
      <c r="P368" s="319" t="e">
        <f>+P362+P10+P243</f>
        <v>#REF!</v>
      </c>
    </row>
  </sheetData>
  <mergeCells count="18">
    <mergeCell ref="A1:P1"/>
    <mergeCell ref="B10:D10"/>
    <mergeCell ref="B243:C243"/>
    <mergeCell ref="P7:P8"/>
    <mergeCell ref="O7:O8"/>
    <mergeCell ref="A5:L5"/>
    <mergeCell ref="M7:M8"/>
    <mergeCell ref="N7:N8"/>
    <mergeCell ref="A2:P2"/>
    <mergeCell ref="A3:P3"/>
    <mergeCell ref="A4:P4"/>
    <mergeCell ref="A368:D368"/>
    <mergeCell ref="A7:F8"/>
    <mergeCell ref="K7:K8"/>
    <mergeCell ref="L7:L8"/>
    <mergeCell ref="D200:E200"/>
    <mergeCell ref="D216:E216"/>
    <mergeCell ref="B362:C362"/>
  </mergeCells>
  <printOptions horizontalCentered="1"/>
  <pageMargins left="0.59055118110236227" right="0.59055118110236227" top="0.78740157480314965" bottom="0.78740157480314965" header="0.59055118110236227" footer="0.59055118110236227"/>
  <pageSetup scale="55" firstPageNumber="56" orientation="landscape" useFirstPageNumber="1" r:id="rId1"/>
  <headerFooter>
    <oddFooter>&amp;C&amp;P</oddFooter>
  </headerFooter>
  <ignoredErrors>
    <ignoredError sqref="I14:I362" numberStoredAsText="1"/>
    <ignoredError sqref="O14:O17 O52:O54 O19 O21 O23 O29 O35:O36 O38:O39 O45 O59:O60 O66 O74 O82:O83 O88 O90:O92 O96 O106:O111 O114:O117 O123:O125 O127:O128 O130 O136 O139:O144 O153:O200 O267:O276 O278:O363 O365:O368 O203:O213 O215:O221 O223:O260" evalError="1"/>
    <ignoredError sqref="L23:L67 L73:L75 L82:L97 L101:L276" formula="1"/>
  </ignoredError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7"/>
  <dimension ref="A1:R368"/>
  <sheetViews>
    <sheetView showGridLines="0" zoomScale="80" zoomScaleNormal="80" workbookViewId="0">
      <selection activeCell="A12" sqref="A12:G12"/>
    </sheetView>
  </sheetViews>
  <sheetFormatPr baseColWidth="10" defaultColWidth="11.44140625" defaultRowHeight="11.4" x14ac:dyDescent="0.2"/>
  <cols>
    <col min="1" max="1" width="2.6640625" style="240" customWidth="1"/>
    <col min="2" max="2" width="9.5546875" style="240" customWidth="1"/>
    <col min="3" max="3" width="24" style="240" bestFit="1" customWidth="1"/>
    <col min="4" max="4" width="15.33203125" style="240" customWidth="1"/>
    <col min="5" max="5" width="18.6640625" style="240" bestFit="1" customWidth="1"/>
    <col min="6" max="6" width="11.88671875" style="244" bestFit="1" customWidth="1"/>
    <col min="7" max="7" width="8.6640625" style="240" customWidth="1"/>
    <col min="8" max="8" width="4.5546875" style="240" hidden="1" customWidth="1"/>
    <col min="9" max="9" width="8.6640625" style="240" customWidth="1"/>
    <col min="10" max="10" width="4.88671875" style="240" hidden="1" customWidth="1"/>
    <col min="11" max="11" width="66.5546875" style="240" customWidth="1"/>
    <col min="12" max="12" width="14.44140625" style="244" bestFit="1" customWidth="1"/>
    <col min="13" max="13" width="14" style="244" hidden="1" customWidth="1"/>
    <col min="14" max="14" width="13.33203125" style="244" hidden="1" customWidth="1"/>
    <col min="15" max="15" width="13.44140625" style="244" hidden="1" customWidth="1"/>
    <col min="16" max="16" width="15.5546875" style="244" hidden="1" customWidth="1"/>
    <col min="17" max="17" width="17.44140625" style="244" bestFit="1" customWidth="1"/>
    <col min="18" max="18" width="14.44140625" style="244" bestFit="1" customWidth="1"/>
    <col min="19" max="16384" width="11.44140625" style="240"/>
  </cols>
  <sheetData>
    <row r="1" spans="1:18" x14ac:dyDescent="0.2">
      <c r="A1" s="1576" t="s">
        <v>572</v>
      </c>
      <c r="B1" s="1576"/>
      <c r="C1" s="1576"/>
      <c r="D1" s="1576"/>
      <c r="E1" s="1576"/>
      <c r="F1" s="1576"/>
      <c r="G1" s="1576"/>
      <c r="H1" s="1576"/>
      <c r="I1" s="1576"/>
      <c r="J1" s="1576"/>
      <c r="K1" s="1576"/>
      <c r="L1" s="1576"/>
      <c r="M1" s="1576"/>
      <c r="N1" s="1576"/>
      <c r="O1" s="1576"/>
      <c r="P1" s="1576"/>
      <c r="Q1" s="1576"/>
      <c r="R1" s="1576"/>
    </row>
    <row r="2" spans="1:18" x14ac:dyDescent="0.2">
      <c r="A2" s="1576" t="s">
        <v>285</v>
      </c>
      <c r="B2" s="1576"/>
      <c r="C2" s="1576"/>
      <c r="D2" s="1576"/>
      <c r="E2" s="1576"/>
      <c r="F2" s="1576"/>
      <c r="G2" s="1576"/>
      <c r="H2" s="1576"/>
      <c r="I2" s="1576"/>
      <c r="J2" s="1576"/>
      <c r="K2" s="1576"/>
      <c r="L2" s="1576"/>
      <c r="M2" s="1576"/>
      <c r="N2" s="1576"/>
      <c r="O2" s="1576"/>
      <c r="P2" s="1576"/>
      <c r="Q2" s="1576"/>
      <c r="R2" s="1576"/>
    </row>
    <row r="3" spans="1:18" x14ac:dyDescent="0.2">
      <c r="A3" s="1576" t="s">
        <v>573</v>
      </c>
      <c r="B3" s="1576"/>
      <c r="C3" s="1576"/>
      <c r="D3" s="1576"/>
      <c r="E3" s="1576"/>
      <c r="F3" s="1576"/>
      <c r="G3" s="1576"/>
      <c r="H3" s="1576"/>
      <c r="I3" s="1576"/>
      <c r="J3" s="1576"/>
      <c r="K3" s="1576"/>
      <c r="L3" s="1576"/>
      <c r="M3" s="1576"/>
      <c r="N3" s="1576"/>
      <c r="O3" s="1576"/>
      <c r="P3" s="1576"/>
      <c r="Q3" s="1576"/>
      <c r="R3" s="1576"/>
    </row>
    <row r="4" spans="1:18" x14ac:dyDescent="0.2">
      <c r="A4" s="1577" t="s">
        <v>1139</v>
      </c>
      <c r="B4" s="1577"/>
      <c r="C4" s="1577"/>
      <c r="D4" s="1577"/>
      <c r="E4" s="1577"/>
      <c r="F4" s="1577"/>
      <c r="G4" s="1577"/>
      <c r="H4" s="1577"/>
      <c r="I4" s="1577"/>
      <c r="J4" s="1577"/>
      <c r="K4" s="1577"/>
      <c r="L4" s="1577"/>
      <c r="M4" s="1577"/>
      <c r="N4" s="1577"/>
      <c r="O4" s="1577"/>
      <c r="P4" s="1577"/>
      <c r="Q4" s="1577"/>
      <c r="R4" s="1577"/>
    </row>
    <row r="5" spans="1:18" x14ac:dyDescent="0.2">
      <c r="A5" s="1577" t="s">
        <v>382</v>
      </c>
      <c r="B5" s="1577"/>
      <c r="C5" s="1577"/>
      <c r="D5" s="1577"/>
      <c r="E5" s="1577"/>
      <c r="F5" s="1577"/>
      <c r="G5" s="1577"/>
      <c r="H5" s="1577"/>
      <c r="I5" s="1577"/>
      <c r="J5" s="1577"/>
      <c r="K5" s="1577"/>
      <c r="L5" s="1577"/>
      <c r="M5" s="240"/>
      <c r="N5" s="240"/>
      <c r="O5" s="240"/>
      <c r="P5" s="240"/>
      <c r="Q5" s="240"/>
      <c r="R5" s="240"/>
    </row>
    <row r="6" spans="1:18" ht="18.600000000000001" customHeight="1" x14ac:dyDescent="0.2">
      <c r="A6" s="241"/>
      <c r="B6" s="241" t="s">
        <v>382</v>
      </c>
      <c r="C6" s="242"/>
      <c r="D6" s="242"/>
      <c r="E6" s="242"/>
      <c r="F6" s="243" t="s">
        <v>382</v>
      </c>
      <c r="G6" s="242"/>
      <c r="H6" s="242"/>
    </row>
    <row r="7" spans="1:18" ht="36" customHeight="1" x14ac:dyDescent="0.2">
      <c r="A7" s="1566" t="s">
        <v>573</v>
      </c>
      <c r="B7" s="1567"/>
      <c r="C7" s="1567"/>
      <c r="D7" s="1567"/>
      <c r="E7" s="1567"/>
      <c r="F7" s="1568"/>
      <c r="G7" s="300" t="s">
        <v>577</v>
      </c>
      <c r="H7" s="301"/>
      <c r="I7" s="300" t="s">
        <v>577</v>
      </c>
      <c r="J7" s="302"/>
      <c r="K7" s="1572" t="s">
        <v>578</v>
      </c>
      <c r="L7" s="1572" t="s">
        <v>1121</v>
      </c>
      <c r="M7" s="1572" t="s">
        <v>512</v>
      </c>
      <c r="N7" s="1572" t="s">
        <v>522</v>
      </c>
      <c r="O7" s="1572" t="s">
        <v>503</v>
      </c>
      <c r="P7" s="1572" t="s">
        <v>517</v>
      </c>
      <c r="Q7" s="1572" t="s">
        <v>1084</v>
      </c>
      <c r="R7" s="1572" t="s">
        <v>1136</v>
      </c>
    </row>
    <row r="8" spans="1:18" ht="20.25" customHeight="1" thickBot="1" x14ac:dyDescent="0.25">
      <c r="A8" s="1569"/>
      <c r="B8" s="1570"/>
      <c r="C8" s="1570"/>
      <c r="D8" s="1570"/>
      <c r="E8" s="1570"/>
      <c r="F8" s="1571"/>
      <c r="G8" s="300" t="s">
        <v>579</v>
      </c>
      <c r="H8" s="303"/>
      <c r="I8" s="304" t="s">
        <v>580</v>
      </c>
      <c r="J8" s="305"/>
      <c r="K8" s="1573"/>
      <c r="L8" s="1573"/>
      <c r="M8" s="1573"/>
      <c r="N8" s="1573"/>
      <c r="O8" s="1573"/>
      <c r="P8" s="1573"/>
      <c r="Q8" s="1573"/>
      <c r="R8" s="1573"/>
    </row>
    <row r="9" spans="1:18" ht="12" customHeight="1" x14ac:dyDescent="0.2">
      <c r="A9" s="245"/>
      <c r="B9" s="245"/>
      <c r="C9" s="245"/>
      <c r="D9" s="245"/>
      <c r="E9" s="245"/>
      <c r="F9" s="246"/>
      <c r="G9" s="246"/>
      <c r="H9" s="247"/>
      <c r="I9" s="247"/>
      <c r="J9" s="247"/>
      <c r="K9" s="245"/>
    </row>
    <row r="10" spans="1:18" s="253" customFormat="1" ht="20.100000000000001" customHeight="1" x14ac:dyDescent="0.2">
      <c r="A10" s="313">
        <v>1</v>
      </c>
      <c r="B10" s="1575" t="s">
        <v>581</v>
      </c>
      <c r="C10" s="1575"/>
      <c r="D10" s="1575"/>
      <c r="E10" s="313"/>
      <c r="F10" s="314"/>
      <c r="G10" s="315"/>
      <c r="H10" s="315"/>
      <c r="I10" s="315"/>
      <c r="J10" s="315"/>
      <c r="K10" s="315"/>
      <c r="L10" s="325" t="e">
        <f t="shared" ref="L10:R10" si="0">+L12+L198</f>
        <v>#REF!</v>
      </c>
      <c r="M10" s="325" t="e">
        <f t="shared" si="0"/>
        <v>#REF!</v>
      </c>
      <c r="N10" s="325" t="e">
        <f t="shared" si="0"/>
        <v>#REF!</v>
      </c>
      <c r="O10" s="325" t="e">
        <f t="shared" si="0"/>
        <v>#REF!</v>
      </c>
      <c r="P10" s="325" t="e">
        <f t="shared" si="0"/>
        <v>#REF!</v>
      </c>
      <c r="Q10" s="325">
        <f t="shared" si="0"/>
        <v>8606804496.142086</v>
      </c>
      <c r="R10" s="325">
        <f t="shared" si="0"/>
        <v>8084635819.1399994</v>
      </c>
    </row>
    <row r="11" spans="1:18" ht="12" customHeight="1" x14ac:dyDescent="0.2">
      <c r="A11" s="245"/>
      <c r="B11" s="245"/>
      <c r="C11" s="245"/>
      <c r="D11" s="245"/>
      <c r="E11" s="245"/>
      <c r="F11" s="246"/>
      <c r="G11" s="247"/>
      <c r="H11" s="247"/>
      <c r="I11" s="247"/>
      <c r="J11" s="247"/>
      <c r="K11" s="245"/>
    </row>
    <row r="12" spans="1:18" s="259" customFormat="1" ht="12" customHeight="1" x14ac:dyDescent="0.2">
      <c r="A12" s="254"/>
      <c r="B12" s="255" t="s">
        <v>582</v>
      </c>
      <c r="C12" s="256" t="s">
        <v>583</v>
      </c>
      <c r="D12" s="256"/>
      <c r="E12" s="256"/>
      <c r="F12" s="257"/>
      <c r="G12" s="254"/>
      <c r="H12" s="254"/>
      <c r="I12" s="337"/>
      <c r="J12" s="254"/>
      <c r="K12" s="254"/>
      <c r="L12" s="324" t="e">
        <f t="shared" ref="L12:R12" si="1">+L14+L52+L115</f>
        <v>#REF!</v>
      </c>
      <c r="M12" s="324" t="e">
        <f t="shared" si="1"/>
        <v>#REF!</v>
      </c>
      <c r="N12" s="324" t="e">
        <f t="shared" si="1"/>
        <v>#REF!</v>
      </c>
      <c r="O12" s="324" t="e">
        <f t="shared" si="1"/>
        <v>#REF!</v>
      </c>
      <c r="P12" s="324" t="e">
        <f t="shared" si="1"/>
        <v>#REF!</v>
      </c>
      <c r="Q12" s="324">
        <f t="shared" si="1"/>
        <v>8033300758.4820852</v>
      </c>
      <c r="R12" s="324">
        <f t="shared" si="1"/>
        <v>7535429319.3299999</v>
      </c>
    </row>
    <row r="13" spans="1:18" ht="12" customHeight="1" x14ac:dyDescent="0.2">
      <c r="A13" s="245"/>
      <c r="B13" s="245"/>
      <c r="C13" s="245"/>
      <c r="D13" s="245"/>
      <c r="E13" s="245"/>
      <c r="F13" s="246"/>
      <c r="G13" s="247"/>
      <c r="H13" s="247"/>
      <c r="I13" s="247"/>
      <c r="J13" s="247"/>
      <c r="K13" s="245"/>
    </row>
    <row r="14" spans="1:18" ht="12" customHeight="1" x14ac:dyDescent="0.2">
      <c r="A14" s="260"/>
      <c r="B14" s="260"/>
      <c r="C14" s="261" t="s">
        <v>584</v>
      </c>
      <c r="D14" s="262" t="s">
        <v>53</v>
      </c>
      <c r="E14" s="262"/>
      <c r="F14" s="263"/>
      <c r="G14" s="261" t="s">
        <v>584</v>
      </c>
      <c r="H14" s="261"/>
      <c r="I14" s="261">
        <v>0</v>
      </c>
      <c r="J14" s="261"/>
      <c r="K14" s="264" t="s">
        <v>53</v>
      </c>
      <c r="L14" s="263" t="e">
        <f t="shared" ref="L14:R14" si="2">+L17+L23+L29+L39+L35+L45</f>
        <v>#REF!</v>
      </c>
      <c r="M14" s="263" t="e">
        <f t="shared" si="2"/>
        <v>#REF!</v>
      </c>
      <c r="N14" s="263" t="e">
        <f t="shared" si="2"/>
        <v>#REF!</v>
      </c>
      <c r="O14" s="263" t="e">
        <f t="shared" si="2"/>
        <v>#REF!</v>
      </c>
      <c r="P14" s="263" t="e">
        <f t="shared" si="2"/>
        <v>#REF!</v>
      </c>
      <c r="Q14" s="263">
        <f t="shared" si="2"/>
        <v>6257599759.6110849</v>
      </c>
      <c r="R14" s="263">
        <f t="shared" si="2"/>
        <v>5925700290.4300003</v>
      </c>
    </row>
    <row r="15" spans="1:18" ht="12" customHeight="1" x14ac:dyDescent="0.2">
      <c r="A15" s="245"/>
      <c r="B15" s="245"/>
      <c r="C15" s="245"/>
      <c r="D15" s="245"/>
      <c r="E15" s="245"/>
      <c r="G15" s="247"/>
      <c r="H15" s="247"/>
      <c r="I15" s="247"/>
      <c r="J15" s="247"/>
      <c r="K15" s="245"/>
    </row>
    <row r="16" spans="1:18" s="269" customFormat="1" ht="12" customHeight="1" x14ac:dyDescent="0.2">
      <c r="A16" s="265"/>
      <c r="B16" s="265"/>
      <c r="C16" s="265"/>
      <c r="D16" s="266" t="s">
        <v>585</v>
      </c>
      <c r="E16" s="265" t="s">
        <v>586</v>
      </c>
      <c r="F16" s="267"/>
      <c r="G16" s="265"/>
      <c r="H16" s="265"/>
      <c r="I16" s="265"/>
      <c r="J16" s="265"/>
      <c r="K16" s="265"/>
      <c r="L16" s="267" t="e">
        <f>+L17+L23+L29+L35</f>
        <v>#REF!</v>
      </c>
      <c r="M16" s="267" t="e">
        <f t="shared" ref="M16:R16" si="3">+M17+M23+M29+M35</f>
        <v>#REF!</v>
      </c>
      <c r="N16" s="267" t="e">
        <f t="shared" si="3"/>
        <v>#REF!</v>
      </c>
      <c r="O16" s="267" t="e">
        <f t="shared" si="3"/>
        <v>#REF!</v>
      </c>
      <c r="P16" s="267" t="e">
        <f t="shared" si="3"/>
        <v>#REF!</v>
      </c>
      <c r="Q16" s="267">
        <f t="shared" si="3"/>
        <v>5016106908.3123894</v>
      </c>
      <c r="R16" s="267">
        <f t="shared" si="3"/>
        <v>4782779426.3000002</v>
      </c>
    </row>
    <row r="17" spans="1:18" ht="12" customHeight="1" x14ac:dyDescent="0.2">
      <c r="A17" s="245"/>
      <c r="B17" s="245"/>
      <c r="C17" s="245"/>
      <c r="D17" s="245"/>
      <c r="E17" s="245"/>
      <c r="G17" s="270" t="s">
        <v>585</v>
      </c>
      <c r="H17" s="270"/>
      <c r="I17" s="270" t="s">
        <v>587</v>
      </c>
      <c r="J17" s="270"/>
      <c r="K17" s="271" t="s">
        <v>588</v>
      </c>
      <c r="L17" s="272" t="e">
        <f>+L18+L19+L20+L22</f>
        <v>#REF!</v>
      </c>
      <c r="M17" s="272" t="e">
        <f>+M18+M19+M20+M22</f>
        <v>#REF!</v>
      </c>
      <c r="N17" s="272" t="e">
        <f>+N18+N19+N20+N22</f>
        <v>#REF!</v>
      </c>
      <c r="O17" s="272" t="e">
        <f>+O18+O19+O20+O22</f>
        <v>#REF!</v>
      </c>
      <c r="P17" s="272" t="e">
        <f>+P18+P19+P20+P22</f>
        <v>#REF!</v>
      </c>
      <c r="Q17" s="272">
        <v>2945997419.7999997</v>
      </c>
      <c r="R17" s="272">
        <v>2721747788.5100002</v>
      </c>
    </row>
    <row r="18" spans="1:18" ht="12" customHeight="1" x14ac:dyDescent="0.2">
      <c r="A18" s="245"/>
      <c r="B18" s="245"/>
      <c r="C18" s="245"/>
      <c r="D18" s="245"/>
      <c r="E18" s="245"/>
      <c r="G18" s="273" t="s">
        <v>585</v>
      </c>
      <c r="H18" s="273"/>
      <c r="I18" s="273" t="s">
        <v>72</v>
      </c>
      <c r="J18" s="273"/>
      <c r="K18" s="245" t="s">
        <v>589</v>
      </c>
      <c r="L18" s="244" t="e">
        <f>SUM(M18:P18)</f>
        <v>#REF!</v>
      </c>
      <c r="M18" s="244" t="e">
        <v>#REF!</v>
      </c>
      <c r="N18" s="244" t="e">
        <v>#REF!</v>
      </c>
      <c r="O18" s="244" t="e">
        <v>#REF!</v>
      </c>
      <c r="P18" s="244" t="e">
        <v>#REF!</v>
      </c>
      <c r="Q18" s="244">
        <v>936222176.49999988</v>
      </c>
      <c r="R18" s="244">
        <v>955880068.39999998</v>
      </c>
    </row>
    <row r="19" spans="1:18" hidden="1" x14ac:dyDescent="0.2">
      <c r="A19" s="245"/>
      <c r="B19" s="245"/>
      <c r="C19" s="245"/>
      <c r="D19" s="245"/>
      <c r="E19" s="245"/>
      <c r="G19" s="273" t="s">
        <v>585</v>
      </c>
      <c r="H19" s="273"/>
      <c r="I19" s="273" t="s">
        <v>590</v>
      </c>
      <c r="J19" s="273"/>
      <c r="K19" s="245" t="s">
        <v>591</v>
      </c>
      <c r="L19" s="244">
        <v>0</v>
      </c>
      <c r="M19" s="244" t="e">
        <v>#REF!</v>
      </c>
      <c r="R19" s="244">
        <v>0</v>
      </c>
    </row>
    <row r="20" spans="1:18" ht="12" customHeight="1" x14ac:dyDescent="0.2">
      <c r="A20" s="245"/>
      <c r="B20" s="245"/>
      <c r="C20" s="245"/>
      <c r="D20" s="245"/>
      <c r="E20" s="245"/>
      <c r="G20" s="273" t="s">
        <v>585</v>
      </c>
      <c r="H20" s="273"/>
      <c r="I20" s="273" t="s">
        <v>73</v>
      </c>
      <c r="J20" s="273"/>
      <c r="K20" s="245" t="s">
        <v>592</v>
      </c>
      <c r="L20" s="244" t="e">
        <f>SUM(M20:P20)</f>
        <v>#REF!</v>
      </c>
      <c r="M20" s="244" t="e">
        <v>#REF!</v>
      </c>
      <c r="N20" s="244" t="e">
        <v>#REF!</v>
      </c>
      <c r="O20" s="244" t="e">
        <v>#REF!</v>
      </c>
      <c r="Q20" s="244">
        <v>2002725977.2999997</v>
      </c>
      <c r="R20" s="244">
        <v>1764539460.46</v>
      </c>
    </row>
    <row r="21" spans="1:18" ht="12" hidden="1" customHeight="1" x14ac:dyDescent="0.2">
      <c r="A21" s="245"/>
      <c r="B21" s="245"/>
      <c r="C21" s="245"/>
      <c r="D21" s="245"/>
      <c r="E21" s="245"/>
      <c r="G21" s="273" t="s">
        <v>585</v>
      </c>
      <c r="H21" s="273"/>
      <c r="I21" s="273" t="s">
        <v>593</v>
      </c>
      <c r="J21" s="273"/>
      <c r="K21" s="245" t="s">
        <v>594</v>
      </c>
      <c r="L21" s="244">
        <v>0</v>
      </c>
      <c r="M21" s="244" t="e">
        <v>#REF!</v>
      </c>
      <c r="R21" s="244">
        <v>0</v>
      </c>
    </row>
    <row r="22" spans="1:18" x14ac:dyDescent="0.2">
      <c r="A22" s="245"/>
      <c r="B22" s="245"/>
      <c r="C22" s="245"/>
      <c r="D22" s="245"/>
      <c r="E22" s="245"/>
      <c r="G22" s="273" t="s">
        <v>585</v>
      </c>
      <c r="H22" s="273"/>
      <c r="I22" s="273" t="s">
        <v>391</v>
      </c>
      <c r="J22" s="273"/>
      <c r="K22" s="245" t="s">
        <v>595</v>
      </c>
      <c r="L22" s="244" t="e">
        <f>SUM(M22:P22)</f>
        <v>#REF!</v>
      </c>
      <c r="M22" s="244" t="e">
        <v>#REF!</v>
      </c>
      <c r="N22" s="244" t="e">
        <v>#REF!</v>
      </c>
      <c r="O22" s="244" t="e">
        <v>#REF!</v>
      </c>
      <c r="Q22" s="244">
        <v>7049266</v>
      </c>
      <c r="R22" s="244">
        <v>1328259.6499999999</v>
      </c>
    </row>
    <row r="23" spans="1:18" ht="12" customHeight="1" x14ac:dyDescent="0.2">
      <c r="A23" s="245"/>
      <c r="B23" s="245"/>
      <c r="C23" s="245"/>
      <c r="D23" s="245"/>
      <c r="E23" s="245"/>
      <c r="G23" s="274" t="s">
        <v>585</v>
      </c>
      <c r="H23" s="274"/>
      <c r="I23" s="274" t="s">
        <v>74</v>
      </c>
      <c r="J23" s="274"/>
      <c r="K23" s="271" t="s">
        <v>75</v>
      </c>
      <c r="L23" s="272" t="e">
        <f>+L24+L25+L26+L27+L28</f>
        <v>#REF!</v>
      </c>
      <c r="M23" s="272" t="e">
        <f>+M24+M25+M26+M27+M28</f>
        <v>#REF!</v>
      </c>
      <c r="N23" s="272" t="e">
        <f>+N24+N25+N26+N27+N28</f>
        <v>#REF!</v>
      </c>
      <c r="O23" s="272" t="e">
        <f>+O24+O25+O26+O27+O28</f>
        <v>#REF!</v>
      </c>
      <c r="P23" s="272" t="e">
        <f>+P24+P25+P26+P27+P28</f>
        <v>#REF!</v>
      </c>
      <c r="Q23" s="272">
        <v>70613892.359999999</v>
      </c>
      <c r="R23" s="272">
        <v>79247461.579999998</v>
      </c>
    </row>
    <row r="24" spans="1:18" ht="12" customHeight="1" x14ac:dyDescent="0.2">
      <c r="A24" s="245"/>
      <c r="B24" s="245"/>
      <c r="C24" s="245"/>
      <c r="D24" s="245"/>
      <c r="E24" s="245"/>
      <c r="G24" s="273" t="s">
        <v>585</v>
      </c>
      <c r="H24" s="273"/>
      <c r="I24" s="273" t="s">
        <v>76</v>
      </c>
      <c r="J24" s="273"/>
      <c r="K24" s="245" t="s">
        <v>596</v>
      </c>
      <c r="L24" s="244" t="e">
        <f>SUM(M24:P24)</f>
        <v>#REF!</v>
      </c>
      <c r="M24" s="244" t="e">
        <v>#REF!</v>
      </c>
      <c r="N24" s="244" t="e">
        <v>#REF!</v>
      </c>
      <c r="O24" s="244" t="e">
        <v>#REF!</v>
      </c>
      <c r="P24" s="244" t="e">
        <v>#REF!</v>
      </c>
      <c r="Q24" s="244">
        <v>61913892.359999999</v>
      </c>
      <c r="R24" s="244">
        <v>71040444.079999998</v>
      </c>
    </row>
    <row r="25" spans="1:18" x14ac:dyDescent="0.2">
      <c r="A25" s="245"/>
      <c r="B25" s="245"/>
      <c r="C25" s="245"/>
      <c r="D25" s="245"/>
      <c r="E25" s="245"/>
      <c r="G25" s="273" t="s">
        <v>585</v>
      </c>
      <c r="H25" s="273"/>
      <c r="I25" s="273" t="s">
        <v>567</v>
      </c>
      <c r="J25" s="273"/>
      <c r="K25" s="245" t="s">
        <v>568</v>
      </c>
      <c r="L25" s="244" t="e">
        <f>SUM(M25:P25)</f>
        <v>#REF!</v>
      </c>
      <c r="M25" s="244" t="e">
        <v>#REF!</v>
      </c>
      <c r="N25" s="244" t="e">
        <v>#REF!</v>
      </c>
      <c r="O25" s="244" t="e">
        <v>#REF!</v>
      </c>
      <c r="P25" s="244" t="e">
        <v>#REF!</v>
      </c>
      <c r="R25" s="244">
        <v>0</v>
      </c>
    </row>
    <row r="26" spans="1:18" hidden="1" x14ac:dyDescent="0.2">
      <c r="A26" s="245"/>
      <c r="B26" s="245"/>
      <c r="C26" s="245"/>
      <c r="D26" s="245"/>
      <c r="E26" s="245"/>
      <c r="G26" s="273" t="s">
        <v>585</v>
      </c>
      <c r="H26" s="273"/>
      <c r="I26" s="273" t="s">
        <v>571</v>
      </c>
      <c r="J26" s="273"/>
      <c r="K26" s="245" t="s">
        <v>597</v>
      </c>
      <c r="L26" s="244">
        <v>0</v>
      </c>
      <c r="M26" s="244">
        <v>0</v>
      </c>
      <c r="O26" s="244" t="e">
        <v>#REF!</v>
      </c>
      <c r="R26" s="244">
        <v>0</v>
      </c>
    </row>
    <row r="27" spans="1:18" hidden="1" x14ac:dyDescent="0.2">
      <c r="A27" s="245"/>
      <c r="B27" s="245"/>
      <c r="C27" s="245"/>
      <c r="D27" s="245"/>
      <c r="E27" s="245"/>
      <c r="G27" s="273" t="s">
        <v>585</v>
      </c>
      <c r="H27" s="273"/>
      <c r="I27" s="273" t="s">
        <v>598</v>
      </c>
      <c r="J27" s="273"/>
      <c r="K27" s="245" t="s">
        <v>599</v>
      </c>
      <c r="L27" s="244">
        <v>0</v>
      </c>
      <c r="M27" s="244" t="e">
        <v>#REF!</v>
      </c>
      <c r="O27" s="244" t="e">
        <v>#REF!</v>
      </c>
      <c r="R27" s="244">
        <v>0</v>
      </c>
    </row>
    <row r="28" spans="1:18" ht="12" customHeight="1" x14ac:dyDescent="0.2">
      <c r="A28" s="245"/>
      <c r="B28" s="245"/>
      <c r="C28" s="245"/>
      <c r="D28" s="245"/>
      <c r="E28" s="245"/>
      <c r="G28" s="273" t="s">
        <v>585</v>
      </c>
      <c r="H28" s="273"/>
      <c r="I28" s="273" t="s">
        <v>77</v>
      </c>
      <c r="J28" s="273"/>
      <c r="K28" s="245" t="s">
        <v>17</v>
      </c>
      <c r="L28" s="244" t="e">
        <f>SUM(M28:P28)</f>
        <v>#REF!</v>
      </c>
      <c r="M28" s="244" t="e">
        <v>#REF!</v>
      </c>
      <c r="O28" s="244" t="e">
        <v>#REF!</v>
      </c>
      <c r="Q28" s="244">
        <v>8700000</v>
      </c>
      <c r="R28" s="244">
        <v>8207017.5</v>
      </c>
    </row>
    <row r="29" spans="1:18" ht="12" customHeight="1" x14ac:dyDescent="0.2">
      <c r="A29" s="245"/>
      <c r="B29" s="245"/>
      <c r="C29" s="245"/>
      <c r="D29" s="245"/>
      <c r="E29" s="245"/>
      <c r="G29" s="274" t="s">
        <v>585</v>
      </c>
      <c r="H29" s="274"/>
      <c r="I29" s="274" t="s">
        <v>78</v>
      </c>
      <c r="J29" s="274"/>
      <c r="K29" s="271" t="s">
        <v>79</v>
      </c>
      <c r="L29" s="272" t="e">
        <f>+L30+L31+L32+L33+L34</f>
        <v>#REF!</v>
      </c>
      <c r="M29" s="272" t="e">
        <f>+M30+M31+M32+M33+M34</f>
        <v>#REF!</v>
      </c>
      <c r="N29" s="272" t="e">
        <f>+N30+N31+N32+N33+N34</f>
        <v>#REF!</v>
      </c>
      <c r="O29" s="272" t="e">
        <f>+O30+O31+O32+O33+O34</f>
        <v>#REF!</v>
      </c>
      <c r="P29" s="272" t="e">
        <f>+P30+P31+P32+P33+P34</f>
        <v>#REF!</v>
      </c>
      <c r="Q29" s="272">
        <v>1992875596.1523898</v>
      </c>
      <c r="R29" s="272">
        <v>1981171176.21</v>
      </c>
    </row>
    <row r="30" spans="1:18" ht="12" customHeight="1" x14ac:dyDescent="0.2">
      <c r="A30" s="245"/>
      <c r="B30" s="245"/>
      <c r="C30" s="245"/>
      <c r="D30" s="245"/>
      <c r="E30" s="245"/>
      <c r="G30" s="273" t="s">
        <v>585</v>
      </c>
      <c r="H30" s="273"/>
      <c r="I30" s="273" t="s">
        <v>80</v>
      </c>
      <c r="J30" s="273"/>
      <c r="K30" s="245" t="s">
        <v>443</v>
      </c>
      <c r="L30" s="244" t="e">
        <f>SUM(M30:P30)</f>
        <v>#REF!</v>
      </c>
      <c r="M30" s="244" t="e">
        <v>#REF!</v>
      </c>
      <c r="N30" s="244" t="e">
        <v>#REF!</v>
      </c>
      <c r="O30" s="244" t="e">
        <v>#REF!</v>
      </c>
      <c r="P30" s="244" t="e">
        <v>#REF!</v>
      </c>
      <c r="Q30" s="244">
        <v>524887231.80000007</v>
      </c>
      <c r="R30" s="244">
        <v>540157747.99000001</v>
      </c>
    </row>
    <row r="31" spans="1:18" ht="12" customHeight="1" x14ac:dyDescent="0.2">
      <c r="A31" s="245"/>
      <c r="B31" s="245"/>
      <c r="C31" s="245"/>
      <c r="D31" s="245"/>
      <c r="E31" s="245"/>
      <c r="G31" s="273" t="s">
        <v>585</v>
      </c>
      <c r="H31" s="273"/>
      <c r="I31" s="273" t="s">
        <v>82</v>
      </c>
      <c r="J31" s="273"/>
      <c r="K31" s="245" t="s">
        <v>444</v>
      </c>
      <c r="L31" s="244" t="e">
        <f>SUM(M31:P31)</f>
        <v>#REF!</v>
      </c>
      <c r="M31" s="244" t="e">
        <v>#REF!</v>
      </c>
      <c r="N31" s="244" t="e">
        <v>#REF!</v>
      </c>
      <c r="O31" s="244" t="e">
        <v>#REF!</v>
      </c>
      <c r="P31" s="244" t="e">
        <v>#REF!</v>
      </c>
      <c r="Q31" s="244">
        <v>617895754.29999995</v>
      </c>
      <c r="R31" s="244">
        <v>593403578.69999993</v>
      </c>
    </row>
    <row r="32" spans="1:18" ht="12" customHeight="1" x14ac:dyDescent="0.2">
      <c r="A32" s="245"/>
      <c r="B32" s="245"/>
      <c r="C32" s="245"/>
      <c r="D32" s="245"/>
      <c r="E32" s="245"/>
      <c r="G32" s="273" t="s">
        <v>585</v>
      </c>
      <c r="H32" s="273"/>
      <c r="I32" s="273" t="s">
        <v>84</v>
      </c>
      <c r="J32" s="273"/>
      <c r="K32" s="245" t="s">
        <v>14</v>
      </c>
      <c r="L32" s="244" t="e">
        <f>SUM(M32:P32)</f>
        <v>#REF!</v>
      </c>
      <c r="M32" s="244" t="e">
        <v>#REF!</v>
      </c>
      <c r="N32" s="244" t="e">
        <v>#REF!</v>
      </c>
      <c r="O32" s="244" t="e">
        <v>#REF!</v>
      </c>
      <c r="P32" s="244" t="e">
        <v>#REF!</v>
      </c>
      <c r="Q32" s="244">
        <v>360294111.70488971</v>
      </c>
      <c r="R32" s="244">
        <v>362637029.37</v>
      </c>
    </row>
    <row r="33" spans="1:18" ht="12" customHeight="1" x14ac:dyDescent="0.2">
      <c r="A33" s="245"/>
      <c r="B33" s="245"/>
      <c r="C33" s="245"/>
      <c r="D33" s="245"/>
      <c r="E33" s="245"/>
      <c r="G33" s="273" t="s">
        <v>585</v>
      </c>
      <c r="H33" s="273"/>
      <c r="I33" s="273" t="s">
        <v>86</v>
      </c>
      <c r="J33" s="273"/>
      <c r="K33" s="245" t="s">
        <v>445</v>
      </c>
      <c r="L33" s="244" t="e">
        <f>SUM(M33:P33)</f>
        <v>#REF!</v>
      </c>
      <c r="M33" s="244" t="e">
        <v>#REF!</v>
      </c>
      <c r="N33" s="244" t="e">
        <v>#REF!</v>
      </c>
      <c r="O33" s="244" t="e">
        <v>#REF!</v>
      </c>
      <c r="P33" s="244" t="e">
        <v>#REF!</v>
      </c>
      <c r="Q33" s="244">
        <v>329742517.04750001</v>
      </c>
      <c r="R33" s="244">
        <v>326946648.90000004</v>
      </c>
    </row>
    <row r="34" spans="1:18" ht="12" customHeight="1" x14ac:dyDescent="0.2">
      <c r="A34" s="245"/>
      <c r="B34" s="245"/>
      <c r="C34" s="245"/>
      <c r="D34" s="245"/>
      <c r="E34" s="245"/>
      <c r="G34" s="273" t="s">
        <v>585</v>
      </c>
      <c r="H34" s="273"/>
      <c r="I34" s="273" t="s">
        <v>87</v>
      </c>
      <c r="J34" s="273"/>
      <c r="K34" s="245" t="s">
        <v>600</v>
      </c>
      <c r="L34" s="244" t="e">
        <f>SUM(M34:P34)</f>
        <v>#REF!</v>
      </c>
      <c r="M34" s="244" t="e">
        <v>#REF!</v>
      </c>
      <c r="N34" s="244" t="e">
        <v>#REF!</v>
      </c>
      <c r="O34" s="244" t="e">
        <v>#REF!</v>
      </c>
      <c r="P34" s="244" t="e">
        <v>#REF!</v>
      </c>
      <c r="Q34" s="244">
        <v>160055981.30000001</v>
      </c>
      <c r="R34" s="244">
        <v>158026171.25</v>
      </c>
    </row>
    <row r="35" spans="1:18" ht="12" customHeight="1" x14ac:dyDescent="0.2">
      <c r="A35" s="245"/>
      <c r="B35" s="245"/>
      <c r="C35" s="245"/>
      <c r="D35" s="245"/>
      <c r="E35" s="245"/>
      <c r="G35" s="274" t="s">
        <v>585</v>
      </c>
      <c r="H35" s="274"/>
      <c r="I35" s="270" t="s">
        <v>393</v>
      </c>
      <c r="J35" s="270"/>
      <c r="K35" s="271" t="s">
        <v>394</v>
      </c>
      <c r="L35" s="272" t="e">
        <f>+L36+L37</f>
        <v>#REF!</v>
      </c>
      <c r="M35" s="272" t="e">
        <f>+M36+M37</f>
        <v>#REF!</v>
      </c>
      <c r="N35" s="272" t="e">
        <f>+N36+N37</f>
        <v>#REF!</v>
      </c>
      <c r="O35" s="272" t="e">
        <f>+O36+O37</f>
        <v>#REF!</v>
      </c>
      <c r="P35" s="272" t="e">
        <f>+P36+P37</f>
        <v>#REF!</v>
      </c>
      <c r="Q35" s="272">
        <v>6620000</v>
      </c>
      <c r="R35" s="272">
        <v>613000</v>
      </c>
    </row>
    <row r="36" spans="1:18" ht="12" hidden="1" customHeight="1" x14ac:dyDescent="0.2">
      <c r="A36" s="245"/>
      <c r="B36" s="245"/>
      <c r="C36" s="245"/>
      <c r="D36" s="245"/>
      <c r="E36" s="245"/>
      <c r="G36" s="273" t="s">
        <v>585</v>
      </c>
      <c r="H36" s="273"/>
      <c r="I36" s="273" t="s">
        <v>601</v>
      </c>
      <c r="J36" s="273"/>
      <c r="K36" s="245" t="s">
        <v>602</v>
      </c>
      <c r="L36" s="244">
        <v>0</v>
      </c>
    </row>
    <row r="37" spans="1:18" ht="12" customHeight="1" x14ac:dyDescent="0.2">
      <c r="A37" s="245"/>
      <c r="B37" s="245"/>
      <c r="C37" s="245"/>
      <c r="D37" s="245"/>
      <c r="E37" s="245"/>
      <c r="G37" s="273" t="s">
        <v>585</v>
      </c>
      <c r="H37" s="273"/>
      <c r="I37" s="273" t="s">
        <v>395</v>
      </c>
      <c r="J37" s="273"/>
      <c r="K37" s="245" t="s">
        <v>396</v>
      </c>
      <c r="L37" s="244" t="e">
        <f>SUM(M37:P37)</f>
        <v>#REF!</v>
      </c>
      <c r="M37" s="244" t="e">
        <v>#REF!</v>
      </c>
      <c r="N37" s="244" t="e">
        <v>#REF!</v>
      </c>
      <c r="O37" s="244" t="e">
        <v>#REF!</v>
      </c>
      <c r="P37" s="244" t="e">
        <v>#REF!</v>
      </c>
      <c r="Q37" s="244">
        <v>6620000</v>
      </c>
      <c r="R37" s="244">
        <v>613000</v>
      </c>
    </row>
    <row r="38" spans="1:18" s="269" customFormat="1" ht="12" customHeight="1" x14ac:dyDescent="0.2">
      <c r="A38" s="265"/>
      <c r="B38" s="265"/>
      <c r="C38" s="265"/>
      <c r="D38" s="266" t="s">
        <v>603</v>
      </c>
      <c r="E38" s="338" t="s">
        <v>604</v>
      </c>
      <c r="F38" s="265"/>
      <c r="G38" s="267" t="s">
        <v>382</v>
      </c>
      <c r="H38" s="265"/>
      <c r="I38" s="265"/>
      <c r="J38" s="265"/>
      <c r="K38" s="265"/>
      <c r="L38" s="275" t="e">
        <f>+L39+L45</f>
        <v>#REF!</v>
      </c>
      <c r="M38" s="275" t="e">
        <f>+M39+M45</f>
        <v>#REF!</v>
      </c>
      <c r="N38" s="275" t="e">
        <f>+N39+N45</f>
        <v>#REF!</v>
      </c>
      <c r="O38" s="275" t="e">
        <f>+O39+O45</f>
        <v>#REF!</v>
      </c>
      <c r="P38" s="275" t="e">
        <f>+P39+P45</f>
        <v>#REF!</v>
      </c>
      <c r="Q38" s="275">
        <v>1241492851.2986956</v>
      </c>
      <c r="R38" s="275">
        <v>1142920864.1300001</v>
      </c>
    </row>
    <row r="39" spans="1:18" ht="12" customHeight="1" x14ac:dyDescent="0.2">
      <c r="A39" s="245"/>
      <c r="B39" s="245"/>
      <c r="C39" s="245"/>
      <c r="D39" s="245"/>
      <c r="E39" s="273"/>
      <c r="G39" s="276" t="s">
        <v>603</v>
      </c>
      <c r="H39" s="276"/>
      <c r="I39" s="276" t="s">
        <v>89</v>
      </c>
      <c r="J39" s="276"/>
      <c r="K39" s="271" t="s">
        <v>605</v>
      </c>
      <c r="L39" s="272" t="e">
        <f>SUM(L40:L44)</f>
        <v>#REF!</v>
      </c>
      <c r="M39" s="272" t="e">
        <f>SUM(M40:M44)</f>
        <v>#REF!</v>
      </c>
      <c r="N39" s="272" t="e">
        <f>SUM(N40:N44)</f>
        <v>#REF!</v>
      </c>
      <c r="O39" s="272" t="e">
        <f>SUM(O40:O44)</f>
        <v>#REF!</v>
      </c>
      <c r="P39" s="272" t="e">
        <f>SUM(P40:P44)</f>
        <v>#REF!</v>
      </c>
      <c r="Q39" s="272">
        <v>759440406.82485366</v>
      </c>
      <c r="R39" s="272">
        <v>723111355.99000001</v>
      </c>
    </row>
    <row r="40" spans="1:18" ht="12" customHeight="1" x14ac:dyDescent="0.2">
      <c r="A40" s="245"/>
      <c r="B40" s="245"/>
      <c r="C40" s="245"/>
      <c r="D40" s="245"/>
      <c r="E40" s="273"/>
      <c r="G40" s="277" t="s">
        <v>603</v>
      </c>
      <c r="H40" s="277"/>
      <c r="I40" s="277" t="s">
        <v>90</v>
      </c>
      <c r="J40" s="277"/>
      <c r="K40" s="245" t="s">
        <v>606</v>
      </c>
      <c r="L40" s="244" t="e">
        <f>SUM(M40:P40)</f>
        <v>#REF!</v>
      </c>
      <c r="M40" s="244" t="e">
        <v>#REF!</v>
      </c>
      <c r="N40" s="244" t="e">
        <v>#REF!</v>
      </c>
      <c r="O40" s="244" t="e">
        <v>#REF!</v>
      </c>
      <c r="P40" s="244" t="e">
        <v>#REF!</v>
      </c>
      <c r="Q40" s="244">
        <v>385238177.82805353</v>
      </c>
      <c r="R40" s="244">
        <v>399483405.78999996</v>
      </c>
    </row>
    <row r="41" spans="1:18" ht="12" customHeight="1" x14ac:dyDescent="0.2">
      <c r="A41" s="245"/>
      <c r="B41" s="245"/>
      <c r="C41" s="245"/>
      <c r="D41" s="245"/>
      <c r="E41" s="273"/>
      <c r="G41" s="277" t="s">
        <v>603</v>
      </c>
      <c r="H41" s="277"/>
      <c r="I41" s="277" t="s">
        <v>92</v>
      </c>
      <c r="J41" s="277"/>
      <c r="K41" s="245" t="s">
        <v>607</v>
      </c>
      <c r="L41" s="244" t="e">
        <f>SUM(M41:P41)</f>
        <v>#REF!</v>
      </c>
      <c r="M41" s="244" t="e">
        <v>#REF!</v>
      </c>
      <c r="N41" s="244" t="e">
        <v>#REF!</v>
      </c>
      <c r="O41" s="244" t="e">
        <v>#REF!</v>
      </c>
      <c r="P41" s="244" t="e">
        <v>#REF!</v>
      </c>
      <c r="Q41" s="244">
        <v>25072395.091786675</v>
      </c>
      <c r="R41" s="244">
        <v>21575195.98</v>
      </c>
    </row>
    <row r="42" spans="1:18" ht="12" customHeight="1" x14ac:dyDescent="0.2">
      <c r="A42" s="245"/>
      <c r="B42" s="245"/>
      <c r="C42" s="245"/>
      <c r="D42" s="245"/>
      <c r="E42" s="273"/>
      <c r="G42" s="277" t="s">
        <v>603</v>
      </c>
      <c r="H42" s="277"/>
      <c r="I42" s="277" t="s">
        <v>93</v>
      </c>
      <c r="J42" s="277"/>
      <c r="K42" s="245" t="s">
        <v>608</v>
      </c>
      <c r="L42" s="244" t="e">
        <f>SUM(M42:P42)</f>
        <v>#REF!</v>
      </c>
      <c r="M42" s="244" t="e">
        <v>#REF!</v>
      </c>
      <c r="N42" s="244" t="e">
        <v>#REF!</v>
      </c>
      <c r="O42" s="244" t="e">
        <v>#REF!</v>
      </c>
      <c r="P42" s="244" t="e">
        <v>#REF!</v>
      </c>
      <c r="Q42" s="244">
        <v>75124741.135360017</v>
      </c>
      <c r="R42" s="244">
        <v>64725590.290000007</v>
      </c>
    </row>
    <row r="43" spans="1:18" ht="12" customHeight="1" x14ac:dyDescent="0.2">
      <c r="A43" s="245"/>
      <c r="B43" s="245"/>
      <c r="C43" s="245"/>
      <c r="D43" s="245"/>
      <c r="E43" s="273"/>
      <c r="G43" s="277" t="s">
        <v>603</v>
      </c>
      <c r="H43" s="277"/>
      <c r="I43" s="277" t="s">
        <v>94</v>
      </c>
      <c r="J43" s="277"/>
      <c r="K43" s="245" t="s">
        <v>609</v>
      </c>
      <c r="L43" s="244" t="e">
        <f>SUM(M43:P43)</f>
        <v>#REF!</v>
      </c>
      <c r="M43" s="244" t="e">
        <v>#REF!</v>
      </c>
      <c r="N43" s="244" t="e">
        <v>#REF!</v>
      </c>
      <c r="O43" s="244" t="e">
        <v>#REF!</v>
      </c>
      <c r="P43" s="244" t="e">
        <v>#REF!</v>
      </c>
      <c r="Q43" s="244">
        <v>249180623.19786677</v>
      </c>
      <c r="R43" s="244">
        <v>215751966.27000001</v>
      </c>
    </row>
    <row r="44" spans="1:18" ht="12" customHeight="1" x14ac:dyDescent="0.2">
      <c r="A44" s="245"/>
      <c r="B44" s="245"/>
      <c r="C44" s="245"/>
      <c r="D44" s="245"/>
      <c r="E44" s="273"/>
      <c r="G44" s="277" t="s">
        <v>603</v>
      </c>
      <c r="H44" s="277"/>
      <c r="I44" s="277" t="s">
        <v>96</v>
      </c>
      <c r="J44" s="277"/>
      <c r="K44" s="245" t="s">
        <v>610</v>
      </c>
      <c r="L44" s="244" t="e">
        <f>SUM(M44:P44)</f>
        <v>#REF!</v>
      </c>
      <c r="M44" s="244" t="e">
        <v>#REF!</v>
      </c>
      <c r="N44" s="244" t="e">
        <v>#REF!</v>
      </c>
      <c r="O44" s="244" t="e">
        <v>#REF!</v>
      </c>
      <c r="P44" s="244" t="e">
        <v>#REF!</v>
      </c>
      <c r="Q44" s="244">
        <v>24824469.571786672</v>
      </c>
      <c r="R44" s="244">
        <v>21575197.659999996</v>
      </c>
    </row>
    <row r="45" spans="1:18" ht="12" customHeight="1" x14ac:dyDescent="0.2">
      <c r="A45" s="245"/>
      <c r="B45" s="245"/>
      <c r="C45" s="245"/>
      <c r="D45" s="245"/>
      <c r="E45" s="273"/>
      <c r="G45" s="276" t="s">
        <v>603</v>
      </c>
      <c r="H45" s="276"/>
      <c r="I45" s="276" t="s">
        <v>98</v>
      </c>
      <c r="J45" s="276"/>
      <c r="K45" s="271" t="s">
        <v>1074</v>
      </c>
      <c r="L45" s="272" t="e">
        <f>SUM(L46:L50)</f>
        <v>#REF!</v>
      </c>
      <c r="M45" s="272" t="e">
        <f>SUM(M46:M50)</f>
        <v>#REF!</v>
      </c>
      <c r="N45" s="272" t="e">
        <f>SUM(N46:N50)</f>
        <v>#REF!</v>
      </c>
      <c r="O45" s="272" t="e">
        <f>SUM(O46:O50)</f>
        <v>#REF!</v>
      </c>
      <c r="P45" s="272" t="e">
        <f>SUM(P46:P50)</f>
        <v>#REF!</v>
      </c>
      <c r="Q45" s="272">
        <v>482052444.47384191</v>
      </c>
      <c r="R45" s="272">
        <v>419809508.13999999</v>
      </c>
    </row>
    <row r="46" spans="1:18" ht="12" customHeight="1" x14ac:dyDescent="0.2">
      <c r="A46" s="245"/>
      <c r="B46" s="245"/>
      <c r="C46" s="245"/>
      <c r="D46" s="245"/>
      <c r="E46" s="273"/>
      <c r="G46" s="277" t="s">
        <v>603</v>
      </c>
      <c r="H46" s="277"/>
      <c r="I46" s="277" t="s">
        <v>510</v>
      </c>
      <c r="J46" s="277"/>
      <c r="K46" s="245" t="s">
        <v>611</v>
      </c>
      <c r="L46" s="244" t="e">
        <f>SUM(M46:P46)</f>
        <v>#REF!</v>
      </c>
      <c r="M46" s="244" t="e">
        <v>#REF!</v>
      </c>
      <c r="N46" s="244" t="e">
        <v>#REF!</v>
      </c>
      <c r="O46" s="244" t="e">
        <v>#REF!</v>
      </c>
      <c r="P46" s="244" t="e">
        <v>#REF!</v>
      </c>
      <c r="Q46" s="244">
        <v>261857409.59376013</v>
      </c>
      <c r="R46" s="244">
        <v>225632723.47</v>
      </c>
    </row>
    <row r="47" spans="1:18" ht="12" customHeight="1" x14ac:dyDescent="0.2">
      <c r="A47" s="245"/>
      <c r="B47" s="245"/>
      <c r="C47" s="245"/>
      <c r="D47" s="245"/>
      <c r="E47" s="273"/>
      <c r="G47" s="277" t="s">
        <v>603</v>
      </c>
      <c r="H47" s="277"/>
      <c r="I47" s="277" t="s">
        <v>100</v>
      </c>
      <c r="J47" s="277"/>
      <c r="K47" s="245" t="s">
        <v>612</v>
      </c>
      <c r="L47" s="244" t="e">
        <f>SUM(M47:P47)</f>
        <v>#REF!</v>
      </c>
      <c r="M47" s="244" t="e">
        <v>#REF!</v>
      </c>
      <c r="N47" s="244" t="e">
        <v>#REF!</v>
      </c>
      <c r="O47" s="244" t="e">
        <v>#REF!</v>
      </c>
      <c r="P47" s="244" t="e">
        <v>#REF!</v>
      </c>
      <c r="Q47" s="244">
        <v>145363788.5633592</v>
      </c>
      <c r="R47" s="244">
        <v>70094662.269999996</v>
      </c>
    </row>
    <row r="48" spans="1:18" ht="12" customHeight="1" x14ac:dyDescent="0.2">
      <c r="A48" s="245"/>
      <c r="B48" s="245"/>
      <c r="C48" s="245"/>
      <c r="D48" s="245"/>
      <c r="E48" s="273"/>
      <c r="G48" s="277" t="s">
        <v>603</v>
      </c>
      <c r="H48" s="277"/>
      <c r="I48" s="277" t="s">
        <v>101</v>
      </c>
      <c r="J48" s="277"/>
      <c r="K48" s="245" t="s">
        <v>613</v>
      </c>
      <c r="L48" s="244" t="e">
        <f>SUM(M48:P48)</f>
        <v>#REF!</v>
      </c>
      <c r="M48" s="244" t="e">
        <v>#REF!</v>
      </c>
      <c r="N48" s="244" t="e">
        <v>#REF!</v>
      </c>
      <c r="O48" s="244" t="e">
        <v>#REF!</v>
      </c>
      <c r="P48" s="244" t="e">
        <v>#REF!</v>
      </c>
      <c r="Q48" s="244">
        <v>74831246.316722542</v>
      </c>
      <c r="R48" s="244">
        <v>124082122.39999999</v>
      </c>
    </row>
    <row r="49" spans="1:18" ht="12" hidden="1" customHeight="1" x14ac:dyDescent="0.2">
      <c r="A49" s="245"/>
      <c r="B49" s="245"/>
      <c r="C49" s="245"/>
      <c r="D49" s="245"/>
      <c r="E49" s="245"/>
      <c r="G49" s="277" t="s">
        <v>603</v>
      </c>
      <c r="H49" s="277"/>
      <c r="I49" s="277" t="s">
        <v>614</v>
      </c>
      <c r="J49" s="277"/>
      <c r="K49" s="245" t="s">
        <v>615</v>
      </c>
      <c r="L49" s="244">
        <v>0</v>
      </c>
    </row>
    <row r="50" spans="1:18" ht="12" hidden="1" customHeight="1" x14ac:dyDescent="0.2">
      <c r="A50" s="245"/>
      <c r="B50" s="245"/>
      <c r="C50" s="245"/>
      <c r="D50" s="245"/>
      <c r="E50" s="245"/>
      <c r="G50" s="277" t="s">
        <v>603</v>
      </c>
      <c r="H50" s="277"/>
      <c r="I50" s="277" t="s">
        <v>616</v>
      </c>
      <c r="J50" s="277"/>
      <c r="K50" s="245" t="s">
        <v>617</v>
      </c>
      <c r="L50" s="244">
        <v>0</v>
      </c>
    </row>
    <row r="51" spans="1:18" ht="12" customHeight="1" x14ac:dyDescent="0.2">
      <c r="A51" s="245"/>
      <c r="B51" s="245"/>
      <c r="E51" s="278"/>
      <c r="G51" s="273" t="s">
        <v>382</v>
      </c>
      <c r="H51" s="273"/>
      <c r="I51" s="247"/>
      <c r="J51" s="247"/>
      <c r="K51" s="245"/>
    </row>
    <row r="52" spans="1:18" ht="12.75" customHeight="1" x14ac:dyDescent="0.2">
      <c r="A52" s="260"/>
      <c r="B52" s="260"/>
      <c r="C52" s="261" t="s">
        <v>618</v>
      </c>
      <c r="D52" s="262" t="s">
        <v>619</v>
      </c>
      <c r="E52" s="262"/>
      <c r="F52" s="263"/>
      <c r="G52" s="261" t="s">
        <v>618</v>
      </c>
      <c r="H52" s="261"/>
      <c r="I52" s="261">
        <v>1</v>
      </c>
      <c r="J52" s="261"/>
      <c r="K52" s="264" t="s">
        <v>61</v>
      </c>
      <c r="L52" s="263" t="e">
        <f>+L54+L60+L66+L74+L83+L88+L92+L96+L107</f>
        <v>#REF!</v>
      </c>
      <c r="M52" s="263" t="e">
        <f>+M54+M60+M66+M74+M83+M88+M92+M96+M107</f>
        <v>#REF!</v>
      </c>
      <c r="N52" s="263" t="e">
        <f>+N54+N60+N66+N74+N83+N88+N92+N96+N107</f>
        <v>#REF!</v>
      </c>
      <c r="O52" s="263" t="e">
        <f>+O54+O60+O66+O74+O83+O88+O92+O96+O107</f>
        <v>#REF!</v>
      </c>
      <c r="P52" s="263" t="e">
        <f>+P54+P60+P66+P74+P83+P88+P92+P96+P107</f>
        <v>#REF!</v>
      </c>
      <c r="Q52" s="263">
        <v>1625247596.5110002</v>
      </c>
      <c r="R52" s="263">
        <v>1524206960.46</v>
      </c>
    </row>
    <row r="53" spans="1:18" ht="12" customHeight="1" x14ac:dyDescent="0.2">
      <c r="A53" s="245"/>
      <c r="B53" s="245"/>
      <c r="C53" s="245"/>
      <c r="D53" s="245" t="s">
        <v>382</v>
      </c>
      <c r="E53" s="245"/>
      <c r="G53" s="273" t="s">
        <v>382</v>
      </c>
      <c r="H53" s="273"/>
      <c r="I53" s="274"/>
      <c r="J53" s="274"/>
      <c r="K53" s="278"/>
    </row>
    <row r="54" spans="1:18" ht="12" customHeight="1" x14ac:dyDescent="0.2">
      <c r="A54" s="245"/>
      <c r="B54" s="245"/>
      <c r="C54" s="245"/>
      <c r="D54" s="245"/>
      <c r="E54" s="245"/>
      <c r="G54" s="274" t="s">
        <v>618</v>
      </c>
      <c r="H54" s="274"/>
      <c r="I54" s="274" t="s">
        <v>104</v>
      </c>
      <c r="J54" s="274"/>
      <c r="K54" s="271" t="s">
        <v>620</v>
      </c>
      <c r="L54" s="272" t="e">
        <f>+L55+L56+L57+L58+L59</f>
        <v>#REF!</v>
      </c>
      <c r="M54" s="272" t="e">
        <f>+M55+M56+M57+M58+M59</f>
        <v>#REF!</v>
      </c>
      <c r="N54" s="272" t="e">
        <f>+N55+N56+N57+N58+N59</f>
        <v>#REF!</v>
      </c>
      <c r="O54" s="272" t="e">
        <f>+O55+O56+O57+O58+O59</f>
        <v>#REF!</v>
      </c>
      <c r="P54" s="272" t="e">
        <f>+P55+P56+P57+P58+P59</f>
        <v>#REF!</v>
      </c>
      <c r="Q54" s="272">
        <v>562996777.28400016</v>
      </c>
      <c r="R54" s="272">
        <v>463496013.73000002</v>
      </c>
    </row>
    <row r="55" spans="1:18" ht="12" customHeight="1" x14ac:dyDescent="0.2">
      <c r="A55" s="245"/>
      <c r="B55" s="245"/>
      <c r="C55" s="245"/>
      <c r="D55" s="245"/>
      <c r="E55" s="245"/>
      <c r="G55" s="273" t="s">
        <v>618</v>
      </c>
      <c r="H55" s="273"/>
      <c r="I55" s="273" t="s">
        <v>106</v>
      </c>
      <c r="J55" s="273"/>
      <c r="K55" s="245" t="s">
        <v>621</v>
      </c>
      <c r="L55" s="244" t="e">
        <f>SUM(M55:P55)</f>
        <v>#REF!</v>
      </c>
      <c r="M55" s="244" t="e">
        <v>#REF!</v>
      </c>
      <c r="N55" s="244" t="e">
        <v>#REF!</v>
      </c>
      <c r="O55" s="244" t="e">
        <v>#REF!</v>
      </c>
      <c r="P55" s="244" t="e">
        <v>#REF!</v>
      </c>
      <c r="Q55" s="244">
        <v>438150032.46400011</v>
      </c>
      <c r="R55" s="244">
        <v>423000417.32000005</v>
      </c>
    </row>
    <row r="56" spans="1:18" ht="12" customHeight="1" x14ac:dyDescent="0.2">
      <c r="A56" s="245"/>
      <c r="B56" s="245"/>
      <c r="C56" s="245"/>
      <c r="D56" s="245"/>
      <c r="E56" s="245"/>
      <c r="G56" s="273" t="s">
        <v>618</v>
      </c>
      <c r="H56" s="273"/>
      <c r="I56" s="273" t="s">
        <v>108</v>
      </c>
      <c r="J56" s="273"/>
      <c r="K56" s="245" t="s">
        <v>622</v>
      </c>
      <c r="L56" s="244" t="e">
        <f>SUM(M56:P56)</f>
        <v>#REF!</v>
      </c>
      <c r="M56" s="244" t="e">
        <v>#REF!</v>
      </c>
      <c r="O56" s="244" t="e">
        <v>#REF!</v>
      </c>
      <c r="Q56" s="244">
        <v>74639393</v>
      </c>
      <c r="R56" s="244">
        <v>40495596.409999996</v>
      </c>
    </row>
    <row r="57" spans="1:18" ht="12" hidden="1" customHeight="1" x14ac:dyDescent="0.2">
      <c r="A57" s="245"/>
      <c r="B57" s="245"/>
      <c r="C57" s="245"/>
      <c r="D57" s="245"/>
      <c r="E57" s="245"/>
      <c r="G57" s="273" t="s">
        <v>618</v>
      </c>
      <c r="H57" s="273"/>
      <c r="I57" s="273" t="s">
        <v>110</v>
      </c>
      <c r="J57" s="273"/>
      <c r="K57" s="245" t="s">
        <v>623</v>
      </c>
      <c r="L57" s="244" t="e">
        <f>SUM(M57:P57)</f>
        <v>#REF!</v>
      </c>
      <c r="O57" s="244" t="e">
        <v>#REF!</v>
      </c>
      <c r="R57" s="244">
        <v>0</v>
      </c>
    </row>
    <row r="58" spans="1:18" ht="12" hidden="1" customHeight="1" x14ac:dyDescent="0.2">
      <c r="A58" s="245"/>
      <c r="B58" s="245"/>
      <c r="C58" s="245"/>
      <c r="D58" s="245"/>
      <c r="E58" s="245"/>
      <c r="G58" s="273" t="s">
        <v>618</v>
      </c>
      <c r="H58" s="273"/>
      <c r="I58" s="273" t="s">
        <v>624</v>
      </c>
      <c r="J58" s="273"/>
      <c r="K58" s="245" t="s">
        <v>625</v>
      </c>
      <c r="L58" s="244" t="e">
        <f>SUM(M58:P58)</f>
        <v>#REF!</v>
      </c>
      <c r="O58" s="244" t="e">
        <v>#REF!</v>
      </c>
    </row>
    <row r="59" spans="1:18" ht="12" customHeight="1" x14ac:dyDescent="0.2">
      <c r="A59" s="245"/>
      <c r="B59" s="245"/>
      <c r="C59" s="245"/>
      <c r="D59" s="245"/>
      <c r="E59" s="245"/>
      <c r="G59" s="273" t="s">
        <v>618</v>
      </c>
      <c r="H59" s="273"/>
      <c r="I59" s="273" t="s">
        <v>112</v>
      </c>
      <c r="J59" s="273"/>
      <c r="K59" s="245" t="s">
        <v>626</v>
      </c>
      <c r="L59" s="244" t="e">
        <f>SUM(M59:P59)</f>
        <v>#REF!</v>
      </c>
      <c r="M59" s="244" t="e">
        <v>#REF!</v>
      </c>
      <c r="P59" s="244" t="e">
        <v>#REF!</v>
      </c>
      <c r="Q59" s="244">
        <v>50207351.82</v>
      </c>
      <c r="R59" s="244">
        <v>0</v>
      </c>
    </row>
    <row r="60" spans="1:18" ht="12" customHeight="1" x14ac:dyDescent="0.2">
      <c r="A60" s="245"/>
      <c r="B60" s="245"/>
      <c r="C60" s="245"/>
      <c r="D60" s="245"/>
      <c r="E60" s="245"/>
      <c r="G60" s="274" t="s">
        <v>618</v>
      </c>
      <c r="H60" s="274"/>
      <c r="I60" s="274" t="s">
        <v>114</v>
      </c>
      <c r="J60" s="274"/>
      <c r="K60" s="271" t="s">
        <v>627</v>
      </c>
      <c r="L60" s="272" t="e">
        <f>SUM(L61:L65)</f>
        <v>#REF!</v>
      </c>
      <c r="M60" s="272" t="e">
        <f>SUM(M61:M65)</f>
        <v>#REF!</v>
      </c>
      <c r="N60" s="272" t="e">
        <f>SUM(N61:N65)</f>
        <v>#REF!</v>
      </c>
      <c r="O60" s="272" t="e">
        <f>SUM(O61:O65)</f>
        <v>#REF!</v>
      </c>
      <c r="P60" s="272" t="e">
        <f>SUM(P61:P65)</f>
        <v>#REF!</v>
      </c>
      <c r="Q60" s="272">
        <v>179908730.33159998</v>
      </c>
      <c r="R60" s="272">
        <v>131456121.67999999</v>
      </c>
    </row>
    <row r="61" spans="1:18" ht="12" customHeight="1" x14ac:dyDescent="0.2">
      <c r="A61" s="245"/>
      <c r="B61" s="245"/>
      <c r="C61" s="245"/>
      <c r="D61" s="245"/>
      <c r="E61" s="245"/>
      <c r="G61" s="273" t="s">
        <v>618</v>
      </c>
      <c r="H61" s="273"/>
      <c r="I61" s="273" t="s">
        <v>116</v>
      </c>
      <c r="J61" s="273"/>
      <c r="K61" s="245" t="s">
        <v>628</v>
      </c>
      <c r="L61" s="244" t="e">
        <f>SUM(M61:P61)</f>
        <v>#REF!</v>
      </c>
      <c r="M61" s="244" t="e">
        <v>#REF!</v>
      </c>
      <c r="N61" s="244" t="e">
        <v>#REF!</v>
      </c>
      <c r="O61" s="244" t="e">
        <v>#REF!</v>
      </c>
      <c r="P61" s="244" t="e">
        <v>#REF!</v>
      </c>
      <c r="Q61" s="244">
        <v>8078965.5999999978</v>
      </c>
      <c r="R61" s="244">
        <v>10969515.92</v>
      </c>
    </row>
    <row r="62" spans="1:18" ht="12" customHeight="1" x14ac:dyDescent="0.2">
      <c r="A62" s="245"/>
      <c r="B62" s="245"/>
      <c r="C62" s="245"/>
      <c r="D62" s="245"/>
      <c r="E62" s="245"/>
      <c r="G62" s="273" t="s">
        <v>618</v>
      </c>
      <c r="H62" s="273"/>
      <c r="I62" s="273" t="s">
        <v>118</v>
      </c>
      <c r="J62" s="273"/>
      <c r="K62" s="245" t="s">
        <v>629</v>
      </c>
      <c r="L62" s="244" t="e">
        <f>SUM(M62:P62)</f>
        <v>#REF!</v>
      </c>
      <c r="M62" s="244" t="e">
        <v>#REF!</v>
      </c>
      <c r="N62" s="244" t="e">
        <v>#REF!</v>
      </c>
      <c r="O62" s="244" t="e">
        <v>#REF!</v>
      </c>
      <c r="P62" s="244" t="e">
        <v>#REF!</v>
      </c>
      <c r="Q62" s="244">
        <v>39086187.0616</v>
      </c>
      <c r="R62" s="244">
        <v>40641090</v>
      </c>
    </row>
    <row r="63" spans="1:18" ht="12" customHeight="1" x14ac:dyDescent="0.2">
      <c r="A63" s="245"/>
      <c r="B63" s="245"/>
      <c r="C63" s="245"/>
      <c r="D63" s="245"/>
      <c r="E63" s="245"/>
      <c r="G63" s="273" t="s">
        <v>618</v>
      </c>
      <c r="H63" s="273"/>
      <c r="I63" s="273" t="s">
        <v>120</v>
      </c>
      <c r="J63" s="273"/>
      <c r="K63" s="245" t="s">
        <v>630</v>
      </c>
      <c r="L63" s="244" t="e">
        <f>SUM(M63:P63)</f>
        <v>#REF!</v>
      </c>
      <c r="M63" s="244" t="e">
        <v>#REF!</v>
      </c>
      <c r="N63" s="244" t="e">
        <v>#REF!</v>
      </c>
      <c r="O63" s="244" t="e">
        <v>#REF!</v>
      </c>
      <c r="P63" s="244" t="e">
        <v>#REF!</v>
      </c>
      <c r="Q63" s="244">
        <v>2390000</v>
      </c>
      <c r="R63" s="244">
        <v>3176479.3</v>
      </c>
    </row>
    <row r="64" spans="1:18" ht="12" customHeight="1" x14ac:dyDescent="0.2">
      <c r="A64" s="245"/>
      <c r="B64" s="245"/>
      <c r="C64" s="245"/>
      <c r="D64" s="245"/>
      <c r="E64" s="245"/>
      <c r="G64" s="273" t="s">
        <v>618</v>
      </c>
      <c r="H64" s="273"/>
      <c r="I64" s="273" t="s">
        <v>326</v>
      </c>
      <c r="J64" s="273"/>
      <c r="K64" s="245" t="s">
        <v>631</v>
      </c>
      <c r="L64" s="244" t="e">
        <f>SUM(M64:P64)</f>
        <v>#REF!</v>
      </c>
      <c r="M64" s="244" t="e">
        <v>#REF!</v>
      </c>
      <c r="N64" s="244" t="e">
        <v>#REF!</v>
      </c>
      <c r="O64" s="244" t="e">
        <v>#REF!</v>
      </c>
      <c r="P64" s="244" t="e">
        <v>#REF!</v>
      </c>
      <c r="Q64" s="244">
        <v>129934572.66999999</v>
      </c>
      <c r="R64" s="244">
        <v>76530724.459999993</v>
      </c>
    </row>
    <row r="65" spans="1:18" ht="12" customHeight="1" x14ac:dyDescent="0.2">
      <c r="A65" s="245"/>
      <c r="B65" s="245"/>
      <c r="C65" s="245"/>
      <c r="D65" s="245"/>
      <c r="E65" s="245"/>
      <c r="G65" s="273" t="s">
        <v>618</v>
      </c>
      <c r="H65" s="273"/>
      <c r="I65" s="273" t="s">
        <v>123</v>
      </c>
      <c r="J65" s="273"/>
      <c r="K65" s="245" t="s">
        <v>632</v>
      </c>
      <c r="L65" s="244" t="e">
        <f>SUM(M65:P65)</f>
        <v>#REF!</v>
      </c>
      <c r="M65" s="244" t="e">
        <v>#REF!</v>
      </c>
      <c r="N65" s="244" t="e">
        <v>#REF!</v>
      </c>
      <c r="O65" s="244" t="e">
        <v>#REF!</v>
      </c>
      <c r="P65" s="244" t="e">
        <v>#REF!</v>
      </c>
      <c r="Q65" s="244">
        <v>419005</v>
      </c>
      <c r="R65" s="244">
        <v>138312</v>
      </c>
    </row>
    <row r="66" spans="1:18" ht="12" customHeight="1" x14ac:dyDescent="0.2">
      <c r="A66" s="245"/>
      <c r="B66" s="245"/>
      <c r="C66" s="245"/>
      <c r="D66" s="245"/>
      <c r="E66" s="245"/>
      <c r="G66" s="274" t="s">
        <v>618</v>
      </c>
      <c r="H66" s="274"/>
      <c r="I66" s="274" t="s">
        <v>125</v>
      </c>
      <c r="J66" s="274"/>
      <c r="K66" s="271" t="s">
        <v>126</v>
      </c>
      <c r="L66" s="272" t="e">
        <f>SUM(L67:L73)</f>
        <v>#REF!</v>
      </c>
      <c r="M66" s="272" t="e">
        <f>SUM(M67:M73)</f>
        <v>#REF!</v>
      </c>
      <c r="N66" s="272" t="e">
        <f>SUM(N67:N73)</f>
        <v>#REF!</v>
      </c>
      <c r="O66" s="272" t="e">
        <f>SUM(O67:O73)</f>
        <v>#REF!</v>
      </c>
      <c r="P66" s="272" t="e">
        <f>SUM(P67:P73)</f>
        <v>#REF!</v>
      </c>
      <c r="Q66" s="272">
        <v>31058392.810000002</v>
      </c>
      <c r="R66" s="272">
        <v>50049659.799999997</v>
      </c>
    </row>
    <row r="67" spans="1:18" ht="12" customHeight="1" x14ac:dyDescent="0.2">
      <c r="A67" s="245"/>
      <c r="B67" s="245"/>
      <c r="C67" s="245"/>
      <c r="D67" s="245"/>
      <c r="E67" s="245"/>
      <c r="G67" s="273" t="s">
        <v>618</v>
      </c>
      <c r="H67" s="273"/>
      <c r="I67" s="273" t="s">
        <v>127</v>
      </c>
      <c r="J67" s="273"/>
      <c r="K67" s="245" t="s">
        <v>633</v>
      </c>
      <c r="L67" s="244" t="e">
        <f t="shared" ref="L67:L73" si="4">SUM(M67:P67)</f>
        <v>#REF!</v>
      </c>
      <c r="M67" s="244" t="e">
        <v>#REF!</v>
      </c>
      <c r="N67" s="244" t="e">
        <v>#REF!</v>
      </c>
      <c r="O67" s="244" t="e">
        <v>#REF!</v>
      </c>
      <c r="P67" s="244" t="e">
        <v>#REF!</v>
      </c>
      <c r="Q67" s="244">
        <v>3800000</v>
      </c>
      <c r="R67" s="244">
        <v>514068.9</v>
      </c>
    </row>
    <row r="68" spans="1:18" x14ac:dyDescent="0.2">
      <c r="A68" s="245"/>
      <c r="B68" s="245"/>
      <c r="C68" s="245"/>
      <c r="D68" s="245"/>
      <c r="E68" s="245"/>
      <c r="G68" s="273" t="s">
        <v>618</v>
      </c>
      <c r="H68" s="273"/>
      <c r="I68" s="273" t="s">
        <v>129</v>
      </c>
      <c r="J68" s="273"/>
      <c r="K68" s="245" t="s">
        <v>634</v>
      </c>
      <c r="L68" s="244" t="e">
        <f t="shared" si="4"/>
        <v>#REF!</v>
      </c>
      <c r="M68" s="244" t="e">
        <v>#REF!</v>
      </c>
      <c r="N68" s="244" t="e">
        <v>#REF!</v>
      </c>
      <c r="O68" s="244" t="e">
        <v>#REF!</v>
      </c>
      <c r="P68" s="244" t="e">
        <v>#REF!</v>
      </c>
      <c r="Q68" s="244">
        <v>9540000</v>
      </c>
      <c r="R68" s="244">
        <v>17423399.199999999</v>
      </c>
    </row>
    <row r="69" spans="1:18" ht="12" customHeight="1" x14ac:dyDescent="0.2">
      <c r="A69" s="245"/>
      <c r="B69" s="245"/>
      <c r="C69" s="245"/>
      <c r="D69" s="245"/>
      <c r="E69" s="245"/>
      <c r="G69" s="273" t="s">
        <v>618</v>
      </c>
      <c r="H69" s="273"/>
      <c r="I69" s="273" t="s">
        <v>131</v>
      </c>
      <c r="J69" s="273"/>
      <c r="K69" s="245" t="s">
        <v>635</v>
      </c>
      <c r="L69" s="244" t="e">
        <f t="shared" si="4"/>
        <v>#REF!</v>
      </c>
      <c r="M69" s="244" t="e">
        <v>#REF!</v>
      </c>
      <c r="N69" s="244" t="e">
        <v>#REF!</v>
      </c>
      <c r="O69" s="244" t="e">
        <v>#REF!</v>
      </c>
      <c r="P69" s="244" t="e">
        <v>#REF!</v>
      </c>
      <c r="Q69" s="244">
        <v>5111584.8100000005</v>
      </c>
      <c r="R69" s="244">
        <v>5686260.4900000002</v>
      </c>
    </row>
    <row r="70" spans="1:18" ht="12" customHeight="1" x14ac:dyDescent="0.2">
      <c r="A70" s="245"/>
      <c r="B70" s="245"/>
      <c r="C70" s="245"/>
      <c r="D70" s="245"/>
      <c r="E70" s="245"/>
      <c r="G70" s="273" t="s">
        <v>618</v>
      </c>
      <c r="H70" s="273"/>
      <c r="I70" s="273" t="s">
        <v>133</v>
      </c>
      <c r="J70" s="273"/>
      <c r="K70" s="245" t="s">
        <v>636</v>
      </c>
      <c r="L70" s="244" t="e">
        <f t="shared" si="4"/>
        <v>#REF!</v>
      </c>
      <c r="M70" s="244" t="e">
        <v>#REF!</v>
      </c>
      <c r="N70" s="244" t="e">
        <v>#REF!</v>
      </c>
      <c r="O70" s="244" t="e">
        <v>#REF!</v>
      </c>
      <c r="P70" s="244" t="e">
        <v>#REF!</v>
      </c>
      <c r="Q70" s="244">
        <v>335000</v>
      </c>
      <c r="R70" s="244">
        <v>73206.100000000006</v>
      </c>
    </row>
    <row r="71" spans="1:18" hidden="1" x14ac:dyDescent="0.2">
      <c r="A71" s="245"/>
      <c r="B71" s="245"/>
      <c r="C71" s="245"/>
      <c r="D71" s="245"/>
      <c r="E71" s="245"/>
      <c r="G71" s="273" t="s">
        <v>618</v>
      </c>
      <c r="H71" s="273"/>
      <c r="I71" s="273" t="s">
        <v>135</v>
      </c>
      <c r="J71" s="273"/>
      <c r="K71" s="245" t="s">
        <v>637</v>
      </c>
      <c r="L71" s="244" t="e">
        <f t="shared" si="4"/>
        <v>#REF!</v>
      </c>
      <c r="M71" s="244">
        <v>0</v>
      </c>
      <c r="N71" s="244" t="e">
        <v>#REF!</v>
      </c>
      <c r="O71" s="244" t="e">
        <v>#REF!</v>
      </c>
      <c r="P71" s="244" t="e">
        <v>#REF!</v>
      </c>
      <c r="R71" s="244">
        <v>0</v>
      </c>
    </row>
    <row r="72" spans="1:18" ht="12" customHeight="1" x14ac:dyDescent="0.2">
      <c r="A72" s="245"/>
      <c r="B72" s="245"/>
      <c r="C72" s="245"/>
      <c r="D72" s="245"/>
      <c r="E72" s="245"/>
      <c r="G72" s="273" t="s">
        <v>618</v>
      </c>
      <c r="H72" s="273"/>
      <c r="I72" s="273" t="s">
        <v>137</v>
      </c>
      <c r="J72" s="273"/>
      <c r="K72" s="245" t="s">
        <v>638</v>
      </c>
      <c r="L72" s="244" t="e">
        <f t="shared" si="4"/>
        <v>#REF!</v>
      </c>
      <c r="M72" s="244" t="e">
        <v>#REF!</v>
      </c>
      <c r="N72" s="244" t="e">
        <v>#REF!</v>
      </c>
      <c r="O72" s="244" t="e">
        <v>#REF!</v>
      </c>
      <c r="P72" s="244">
        <v>0</v>
      </c>
      <c r="Q72" s="244">
        <v>8360000</v>
      </c>
      <c r="R72" s="244">
        <v>7435353.1999999993</v>
      </c>
    </row>
    <row r="73" spans="1:18" ht="12" customHeight="1" x14ac:dyDescent="0.2">
      <c r="A73" s="245"/>
      <c r="B73" s="245"/>
      <c r="C73" s="245"/>
      <c r="D73" s="245"/>
      <c r="E73" s="245"/>
      <c r="G73" s="273" t="s">
        <v>618</v>
      </c>
      <c r="H73" s="273"/>
      <c r="I73" s="273" t="s">
        <v>397</v>
      </c>
      <c r="J73" s="273"/>
      <c r="K73" s="245" t="s">
        <v>639</v>
      </c>
      <c r="L73" s="244" t="e">
        <f t="shared" si="4"/>
        <v>#REF!</v>
      </c>
      <c r="M73" s="244" t="e">
        <v>#REF!</v>
      </c>
      <c r="N73" s="244" t="e">
        <v>#REF!</v>
      </c>
      <c r="O73" s="244" t="e">
        <v>#REF!</v>
      </c>
      <c r="P73" s="244" t="e">
        <v>#REF!</v>
      </c>
      <c r="Q73" s="244">
        <v>3911808</v>
      </c>
      <c r="R73" s="244">
        <v>18917371.91</v>
      </c>
    </row>
    <row r="74" spans="1:18" ht="12" customHeight="1" x14ac:dyDescent="0.2">
      <c r="A74" s="245"/>
      <c r="B74" s="245"/>
      <c r="C74" s="245"/>
      <c r="D74" s="245"/>
      <c r="E74" s="245"/>
      <c r="G74" s="274" t="s">
        <v>618</v>
      </c>
      <c r="H74" s="274"/>
      <c r="I74" s="274" t="s">
        <v>139</v>
      </c>
      <c r="J74" s="274"/>
      <c r="K74" s="271" t="s">
        <v>640</v>
      </c>
      <c r="L74" s="272" t="e">
        <f>SUM(L75:L81)</f>
        <v>#REF!</v>
      </c>
      <c r="M74" s="272" t="e">
        <f>SUM(M75:M81)</f>
        <v>#REF!</v>
      </c>
      <c r="N74" s="272" t="e">
        <f>SUM(N75:N81)</f>
        <v>#REF!</v>
      </c>
      <c r="O74" s="272" t="e">
        <f>SUM(O75:O81)</f>
        <v>#REF!</v>
      </c>
      <c r="P74" s="272" t="e">
        <f>SUM(P75:P81)</f>
        <v>#REF!</v>
      </c>
      <c r="Q74" s="272">
        <v>405350821.18540001</v>
      </c>
      <c r="R74" s="272">
        <v>440382195.30999994</v>
      </c>
    </row>
    <row r="75" spans="1:18" ht="12" customHeight="1" x14ac:dyDescent="0.2">
      <c r="A75" s="245"/>
      <c r="B75" s="245"/>
      <c r="C75" s="245"/>
      <c r="D75" s="245"/>
      <c r="E75" s="245"/>
      <c r="G75" s="273" t="s">
        <v>618</v>
      </c>
      <c r="H75" s="273"/>
      <c r="I75" s="273" t="s">
        <v>569</v>
      </c>
      <c r="J75" s="273"/>
      <c r="K75" s="245" t="s">
        <v>641</v>
      </c>
      <c r="L75" s="244" t="e">
        <f t="shared" ref="L75:L81" si="5">SUM(M75:P75)</f>
        <v>#REF!</v>
      </c>
      <c r="M75" s="244" t="e">
        <v>#REF!</v>
      </c>
      <c r="N75" s="244" t="e">
        <v>#REF!</v>
      </c>
      <c r="O75" s="244" t="e">
        <v>#REF!</v>
      </c>
      <c r="P75" s="244" t="e">
        <v>#REF!</v>
      </c>
      <c r="Q75" s="244">
        <v>20800</v>
      </c>
      <c r="R75" s="244">
        <v>52000</v>
      </c>
    </row>
    <row r="76" spans="1:18" ht="12" customHeight="1" x14ac:dyDescent="0.2">
      <c r="A76" s="245"/>
      <c r="B76" s="245"/>
      <c r="C76" s="245"/>
      <c r="D76" s="245"/>
      <c r="E76" s="245"/>
      <c r="G76" s="273" t="s">
        <v>618</v>
      </c>
      <c r="H76" s="273"/>
      <c r="I76" s="273" t="s">
        <v>399</v>
      </c>
      <c r="J76" s="273"/>
      <c r="K76" s="245" t="s">
        <v>642</v>
      </c>
      <c r="L76" s="244" t="e">
        <f t="shared" si="5"/>
        <v>#REF!</v>
      </c>
      <c r="M76" s="244" t="e">
        <v>#REF!</v>
      </c>
      <c r="N76" s="244" t="e">
        <v>#REF!</v>
      </c>
      <c r="O76" s="244" t="e">
        <v>#REF!</v>
      </c>
      <c r="P76" s="244" t="e">
        <v>#REF!</v>
      </c>
      <c r="Q76" s="244">
        <v>9188178</v>
      </c>
      <c r="R76" s="244">
        <v>13433722.5</v>
      </c>
    </row>
    <row r="77" spans="1:18" hidden="1" x14ac:dyDescent="0.2">
      <c r="A77" s="245"/>
      <c r="B77" s="245"/>
      <c r="C77" s="245"/>
      <c r="D77" s="245"/>
      <c r="E77" s="245"/>
      <c r="G77" s="273" t="s">
        <v>618</v>
      </c>
      <c r="H77" s="273"/>
      <c r="I77" s="273" t="s">
        <v>343</v>
      </c>
      <c r="J77" s="273"/>
      <c r="K77" s="245" t="s">
        <v>643</v>
      </c>
      <c r="L77" s="244" t="e">
        <f t="shared" si="5"/>
        <v>#REF!</v>
      </c>
      <c r="M77" s="244" t="e">
        <v>#REF!</v>
      </c>
      <c r="N77" s="244" t="e">
        <v>#REF!</v>
      </c>
      <c r="O77" s="244" t="e">
        <v>#REF!</v>
      </c>
      <c r="P77" s="244" t="e">
        <v>#REF!</v>
      </c>
      <c r="R77" s="244">
        <v>0</v>
      </c>
    </row>
    <row r="78" spans="1:18" ht="12" customHeight="1" x14ac:dyDescent="0.2">
      <c r="A78" s="245"/>
      <c r="B78" s="245"/>
      <c r="C78" s="245"/>
      <c r="D78" s="245"/>
      <c r="E78" s="245"/>
      <c r="G78" s="273" t="s">
        <v>618</v>
      </c>
      <c r="H78" s="273"/>
      <c r="I78" s="273" t="s">
        <v>141</v>
      </c>
      <c r="J78" s="273"/>
      <c r="K78" s="245" t="s">
        <v>644</v>
      </c>
      <c r="L78" s="244" t="e">
        <f t="shared" si="5"/>
        <v>#REF!</v>
      </c>
      <c r="M78" s="244" t="e">
        <v>#REF!</v>
      </c>
      <c r="N78" s="244" t="e">
        <v>#REF!</v>
      </c>
      <c r="O78" s="244" t="e">
        <v>#REF!</v>
      </c>
      <c r="P78" s="244" t="e">
        <v>#REF!</v>
      </c>
      <c r="Q78" s="244">
        <v>58476358.819999993</v>
      </c>
      <c r="R78" s="244">
        <v>34983974.030000001</v>
      </c>
    </row>
    <row r="79" spans="1:18" x14ac:dyDescent="0.2">
      <c r="A79" s="245"/>
      <c r="B79" s="245"/>
      <c r="C79" s="245"/>
      <c r="D79" s="245"/>
      <c r="E79" s="245"/>
      <c r="G79" s="273" t="s">
        <v>618</v>
      </c>
      <c r="H79" s="273"/>
      <c r="I79" s="273" t="s">
        <v>143</v>
      </c>
      <c r="J79" s="273"/>
      <c r="K79" s="245" t="s">
        <v>645</v>
      </c>
      <c r="L79" s="244" t="e">
        <f t="shared" si="5"/>
        <v>#REF!</v>
      </c>
      <c r="M79" s="244" t="e">
        <v>#REF!</v>
      </c>
      <c r="N79" s="244" t="e">
        <v>#REF!</v>
      </c>
      <c r="O79" s="244" t="e">
        <v>#REF!</v>
      </c>
      <c r="P79" s="244" t="e">
        <v>#REF!</v>
      </c>
      <c r="Q79" s="244">
        <v>53261400</v>
      </c>
      <c r="R79" s="244">
        <v>96855080</v>
      </c>
    </row>
    <row r="80" spans="1:18" ht="12" customHeight="1" x14ac:dyDescent="0.2">
      <c r="A80" s="245"/>
      <c r="B80" s="245"/>
      <c r="C80" s="245"/>
      <c r="D80" s="245"/>
      <c r="E80" s="245"/>
      <c r="G80" s="273" t="s">
        <v>618</v>
      </c>
      <c r="H80" s="273"/>
      <c r="I80" s="273" t="s">
        <v>145</v>
      </c>
      <c r="J80" s="273"/>
      <c r="K80" s="245" t="s">
        <v>646</v>
      </c>
      <c r="L80" s="244" t="e">
        <f t="shared" si="5"/>
        <v>#REF!</v>
      </c>
      <c r="M80" s="244" t="e">
        <v>#REF!</v>
      </c>
      <c r="N80" s="244" t="e">
        <v>#REF!</v>
      </c>
      <c r="O80" s="244" t="e">
        <v>#REF!</v>
      </c>
      <c r="P80" s="244" t="e">
        <v>#REF!</v>
      </c>
      <c r="Q80" s="244">
        <v>123016942.36539999</v>
      </c>
      <c r="R80" s="244">
        <v>115937008.50999999</v>
      </c>
    </row>
    <row r="81" spans="1:18" x14ac:dyDescent="0.2">
      <c r="A81" s="245"/>
      <c r="B81" s="245"/>
      <c r="C81" s="245"/>
      <c r="D81" s="245"/>
      <c r="E81" s="245"/>
      <c r="F81" s="246"/>
      <c r="G81" s="273" t="s">
        <v>618</v>
      </c>
      <c r="H81" s="273"/>
      <c r="I81" s="273" t="s">
        <v>147</v>
      </c>
      <c r="J81" s="273"/>
      <c r="K81" s="245" t="s">
        <v>647</v>
      </c>
      <c r="L81" s="244" t="e">
        <f t="shared" si="5"/>
        <v>#REF!</v>
      </c>
      <c r="M81" s="244" t="e">
        <v>#REF!</v>
      </c>
      <c r="N81" s="244" t="e">
        <v>#REF!</v>
      </c>
      <c r="O81" s="244" t="e">
        <v>#REF!</v>
      </c>
      <c r="P81" s="244" t="e">
        <v>#REF!</v>
      </c>
      <c r="Q81" s="244">
        <v>161387142</v>
      </c>
      <c r="R81" s="244">
        <v>179120410.26999998</v>
      </c>
    </row>
    <row r="82" spans="1:18" ht="11.4" hidden="1" customHeight="1" x14ac:dyDescent="0.2">
      <c r="A82" s="245"/>
      <c r="B82" s="245"/>
      <c r="C82" s="245"/>
      <c r="D82" s="245"/>
      <c r="E82" s="245"/>
      <c r="F82" s="246"/>
      <c r="G82" s="273"/>
      <c r="H82" s="273"/>
      <c r="I82" s="273"/>
      <c r="J82" s="273"/>
      <c r="K82" s="245"/>
      <c r="L82" s="244">
        <v>0</v>
      </c>
    </row>
    <row r="83" spans="1:18" ht="12" customHeight="1" x14ac:dyDescent="0.2">
      <c r="A83" s="245"/>
      <c r="B83" s="245"/>
      <c r="C83" s="245"/>
      <c r="D83" s="245"/>
      <c r="E83" s="245"/>
      <c r="F83" s="246"/>
      <c r="G83" s="274" t="s">
        <v>618</v>
      </c>
      <c r="H83" s="274"/>
      <c r="I83" s="274" t="s">
        <v>149</v>
      </c>
      <c r="J83" s="274"/>
      <c r="K83" s="271" t="s">
        <v>150</v>
      </c>
      <c r="L83" s="272" t="e">
        <f>SUM(L84:L87)</f>
        <v>#REF!</v>
      </c>
      <c r="M83" s="272" t="e">
        <f>SUM(M84:M87)</f>
        <v>#REF!</v>
      </c>
      <c r="N83" s="272" t="e">
        <f>SUM(N84:N87)</f>
        <v>#REF!</v>
      </c>
      <c r="O83" s="272" t="e">
        <f>SUM(O84:O87)</f>
        <v>#REF!</v>
      </c>
      <c r="P83" s="272" t="e">
        <f>SUM(P84:P87)</f>
        <v>#REF!</v>
      </c>
      <c r="Q83" s="272">
        <v>254715000</v>
      </c>
      <c r="R83" s="272">
        <v>281331218.75</v>
      </c>
    </row>
    <row r="84" spans="1:18" ht="12" customHeight="1" x14ac:dyDescent="0.2">
      <c r="A84" s="245"/>
      <c r="B84" s="245"/>
      <c r="C84" s="245"/>
      <c r="D84" s="245"/>
      <c r="E84" s="245"/>
      <c r="F84" s="246"/>
      <c r="G84" s="273" t="s">
        <v>618</v>
      </c>
      <c r="H84" s="273"/>
      <c r="I84" s="273" t="s">
        <v>151</v>
      </c>
      <c r="J84" s="273"/>
      <c r="K84" s="245" t="s">
        <v>648</v>
      </c>
      <c r="L84" s="244" t="e">
        <f>SUM(M84:P84)</f>
        <v>#REF!</v>
      </c>
      <c r="M84" s="244" t="e">
        <v>#REF!</v>
      </c>
      <c r="N84" s="244" t="e">
        <v>#REF!</v>
      </c>
      <c r="O84" s="244" t="e">
        <v>#REF!</v>
      </c>
      <c r="P84" s="244" t="e">
        <v>#REF!</v>
      </c>
      <c r="Q84" s="244">
        <v>9000000</v>
      </c>
      <c r="R84" s="244">
        <v>3032427</v>
      </c>
    </row>
    <row r="85" spans="1:18" ht="12" customHeight="1" x14ac:dyDescent="0.2">
      <c r="A85" s="245"/>
      <c r="B85" s="245"/>
      <c r="C85" s="245"/>
      <c r="D85" s="245"/>
      <c r="E85" s="245"/>
      <c r="F85" s="245"/>
      <c r="G85" s="321" t="s">
        <v>618</v>
      </c>
      <c r="H85" s="273"/>
      <c r="I85" s="273" t="s">
        <v>153</v>
      </c>
      <c r="J85" s="273"/>
      <c r="K85" s="298" t="s">
        <v>649</v>
      </c>
      <c r="L85" s="244" t="e">
        <f>SUM(M85:P85)</f>
        <v>#REF!</v>
      </c>
      <c r="M85" s="244" t="e">
        <v>#REF!</v>
      </c>
      <c r="O85" s="244" t="e">
        <v>#REF!</v>
      </c>
      <c r="P85" s="244" t="e">
        <v>#REF!</v>
      </c>
      <c r="Q85" s="244">
        <v>245715000</v>
      </c>
      <c r="R85" s="244">
        <v>278298791.75</v>
      </c>
    </row>
    <row r="86" spans="1:18" ht="12" customHeight="1" x14ac:dyDescent="0.2">
      <c r="A86" s="245"/>
      <c r="B86" s="245"/>
      <c r="C86" s="245"/>
      <c r="D86" s="245"/>
      <c r="E86" s="245"/>
      <c r="G86" s="273" t="s">
        <v>618</v>
      </c>
      <c r="H86" s="273"/>
      <c r="I86" s="273" t="s">
        <v>155</v>
      </c>
      <c r="J86" s="273"/>
      <c r="K86" s="245" t="s">
        <v>650</v>
      </c>
      <c r="L86" s="244" t="e">
        <f>SUM(M86:P86)</f>
        <v>#REF!</v>
      </c>
      <c r="M86" s="244" t="e">
        <v>#REF!</v>
      </c>
      <c r="N86" s="244" t="e">
        <v>#REF!</v>
      </c>
      <c r="O86" s="244" t="e">
        <v>#REF!</v>
      </c>
      <c r="P86" s="244" t="e">
        <v>#REF!</v>
      </c>
      <c r="Q86" s="244">
        <v>0</v>
      </c>
      <c r="R86" s="244">
        <v>0</v>
      </c>
    </row>
    <row r="87" spans="1:18" ht="12" customHeight="1" x14ac:dyDescent="0.2">
      <c r="A87" s="245"/>
      <c r="B87" s="245"/>
      <c r="C87" s="245"/>
      <c r="D87" s="245"/>
      <c r="E87" s="245"/>
      <c r="G87" s="273" t="s">
        <v>618</v>
      </c>
      <c r="H87" s="273"/>
      <c r="I87" s="273" t="s">
        <v>157</v>
      </c>
      <c r="J87" s="273"/>
      <c r="K87" s="245" t="s">
        <v>651</v>
      </c>
      <c r="L87" s="244" t="e">
        <f>SUM(M87:P87)</f>
        <v>#REF!</v>
      </c>
      <c r="M87" s="244" t="e">
        <v>#REF!</v>
      </c>
      <c r="N87" s="244" t="e">
        <v>#REF!</v>
      </c>
      <c r="O87" s="244" t="e">
        <v>#REF!</v>
      </c>
      <c r="P87" s="244" t="e">
        <v>#REF!</v>
      </c>
      <c r="Q87" s="244">
        <v>0</v>
      </c>
      <c r="R87" s="244">
        <v>0</v>
      </c>
    </row>
    <row r="88" spans="1:18" ht="12" customHeight="1" x14ac:dyDescent="0.2">
      <c r="A88" s="245"/>
      <c r="B88" s="245"/>
      <c r="C88" s="245"/>
      <c r="D88" s="245"/>
      <c r="E88" s="245"/>
      <c r="G88" s="274" t="s">
        <v>618</v>
      </c>
      <c r="H88" s="274"/>
      <c r="I88" s="274" t="s">
        <v>159</v>
      </c>
      <c r="J88" s="274"/>
      <c r="K88" s="271" t="s">
        <v>275</v>
      </c>
      <c r="L88" s="272" t="e">
        <f>SUM(L89:L91)</f>
        <v>#REF!</v>
      </c>
      <c r="M88" s="272" t="e">
        <f>SUM(M89:M91)</f>
        <v>#REF!</v>
      </c>
      <c r="N88" s="272" t="e">
        <f>SUM(N89:N91)</f>
        <v>#REF!</v>
      </c>
      <c r="O88" s="272" t="e">
        <f>SUM(O89:O91)</f>
        <v>#REF!</v>
      </c>
      <c r="P88" s="272" t="e">
        <f>SUM(P89:P91)</f>
        <v>#REF!</v>
      </c>
      <c r="Q88" s="272">
        <v>71846641.289999992</v>
      </c>
      <c r="R88" s="272">
        <v>67283143.340000004</v>
      </c>
    </row>
    <row r="89" spans="1:18" ht="12" customHeight="1" x14ac:dyDescent="0.2">
      <c r="A89" s="245"/>
      <c r="B89" s="245"/>
      <c r="C89" s="245"/>
      <c r="D89" s="245"/>
      <c r="E89" s="245"/>
      <c r="G89" s="273" t="s">
        <v>618</v>
      </c>
      <c r="H89" s="273"/>
      <c r="I89" s="273" t="s">
        <v>160</v>
      </c>
      <c r="J89" s="273"/>
      <c r="K89" s="245" t="s">
        <v>161</v>
      </c>
      <c r="L89" s="244" t="e">
        <f>SUM(M89:P89)</f>
        <v>#REF!</v>
      </c>
      <c r="M89" s="244" t="e">
        <v>#REF!</v>
      </c>
      <c r="N89" s="244" t="e">
        <v>#REF!</v>
      </c>
      <c r="O89" s="244" t="e">
        <v>#REF!</v>
      </c>
      <c r="P89" s="244" t="e">
        <v>#REF!</v>
      </c>
      <c r="Q89" s="244">
        <v>71846641.289999992</v>
      </c>
      <c r="R89" s="244">
        <v>67283143.340000004</v>
      </c>
    </row>
    <row r="90" spans="1:18" ht="12" hidden="1" customHeight="1" x14ac:dyDescent="0.2">
      <c r="A90" s="245"/>
      <c r="B90" s="245"/>
      <c r="C90" s="245"/>
      <c r="D90" s="245"/>
      <c r="E90" s="245"/>
      <c r="G90" s="273" t="s">
        <v>618</v>
      </c>
      <c r="H90" s="273"/>
      <c r="I90" s="273" t="s">
        <v>652</v>
      </c>
      <c r="J90" s="273"/>
      <c r="K90" s="245" t="s">
        <v>653</v>
      </c>
      <c r="L90" s="244">
        <v>0</v>
      </c>
    </row>
    <row r="91" spans="1:18" ht="12" hidden="1" customHeight="1" x14ac:dyDescent="0.2">
      <c r="A91" s="245"/>
      <c r="B91" s="245"/>
      <c r="C91" s="245"/>
      <c r="D91" s="245"/>
      <c r="E91" s="245"/>
      <c r="G91" s="273" t="s">
        <v>618</v>
      </c>
      <c r="H91" s="273"/>
      <c r="I91" s="273" t="s">
        <v>654</v>
      </c>
      <c r="J91" s="273"/>
      <c r="K91" s="245" t="s">
        <v>655</v>
      </c>
      <c r="L91" s="244">
        <v>0</v>
      </c>
    </row>
    <row r="92" spans="1:18" ht="12" customHeight="1" x14ac:dyDescent="0.2">
      <c r="A92" s="245"/>
      <c r="B92" s="245"/>
      <c r="C92" s="245"/>
      <c r="D92" s="245"/>
      <c r="E92" s="245"/>
      <c r="G92" s="274" t="s">
        <v>618</v>
      </c>
      <c r="H92" s="274"/>
      <c r="I92" s="274" t="s">
        <v>162</v>
      </c>
      <c r="J92" s="274"/>
      <c r="K92" s="271" t="s">
        <v>656</v>
      </c>
      <c r="L92" s="272" t="e">
        <f>SUM(L93:L95)</f>
        <v>#REF!</v>
      </c>
      <c r="M92" s="272" t="e">
        <f>SUM(M93:M95)</f>
        <v>#REF!</v>
      </c>
      <c r="N92" s="272" t="e">
        <f>SUM(N93:N95)</f>
        <v>#REF!</v>
      </c>
      <c r="O92" s="272" t="e">
        <f>SUM(O93:O95)</f>
        <v>#REF!</v>
      </c>
      <c r="P92" s="272" t="e">
        <f>SUM(P93:P95)</f>
        <v>#REF!</v>
      </c>
      <c r="Q92" s="272">
        <v>61081137.960000001</v>
      </c>
      <c r="R92" s="272">
        <v>52838600.430000007</v>
      </c>
    </row>
    <row r="93" spans="1:18" ht="12" customHeight="1" x14ac:dyDescent="0.2">
      <c r="A93" s="245"/>
      <c r="B93" s="245"/>
      <c r="C93" s="245"/>
      <c r="D93" s="245"/>
      <c r="E93" s="245"/>
      <c r="G93" s="273" t="s">
        <v>618</v>
      </c>
      <c r="H93" s="273"/>
      <c r="I93" s="273" t="s">
        <v>164</v>
      </c>
      <c r="J93" s="273"/>
      <c r="K93" s="245" t="s">
        <v>657</v>
      </c>
      <c r="L93" s="244" t="e">
        <f>SUM(M93:P93)</f>
        <v>#REF!</v>
      </c>
      <c r="M93" s="244" t="e">
        <v>#REF!</v>
      </c>
      <c r="N93" s="244" t="e">
        <v>#REF!</v>
      </c>
      <c r="O93" s="244" t="e">
        <v>#REF!</v>
      </c>
      <c r="P93" s="244" t="e">
        <v>#REF!</v>
      </c>
      <c r="Q93" s="244">
        <v>61081137.960000001</v>
      </c>
      <c r="R93" s="244">
        <v>52838600.430000007</v>
      </c>
    </row>
    <row r="94" spans="1:18" ht="12" hidden="1" customHeight="1" x14ac:dyDescent="0.2">
      <c r="A94" s="245"/>
      <c r="B94" s="245"/>
      <c r="C94" s="245"/>
      <c r="D94" s="245"/>
      <c r="E94" s="245"/>
      <c r="G94" s="273" t="s">
        <v>618</v>
      </c>
      <c r="H94" s="273"/>
      <c r="I94" s="273" t="s">
        <v>166</v>
      </c>
      <c r="J94" s="273"/>
      <c r="K94" s="245" t="s">
        <v>658</v>
      </c>
      <c r="L94" s="244" t="e">
        <f>SUM(M94:P94)</f>
        <v>#REF!</v>
      </c>
      <c r="M94" s="244" t="e">
        <v>#REF!</v>
      </c>
      <c r="N94" s="244" t="e">
        <v>#REF!</v>
      </c>
      <c r="O94" s="244" t="e">
        <v>#REF!</v>
      </c>
      <c r="P94" s="244" t="e">
        <v>#REF!</v>
      </c>
      <c r="R94" s="244">
        <v>0</v>
      </c>
    </row>
    <row r="95" spans="1:18" ht="12" customHeight="1" x14ac:dyDescent="0.2">
      <c r="A95" s="245"/>
      <c r="B95" s="245"/>
      <c r="C95" s="245"/>
      <c r="D95" s="245"/>
      <c r="E95" s="245"/>
      <c r="G95" s="273" t="s">
        <v>618</v>
      </c>
      <c r="H95" s="273"/>
      <c r="I95" s="273" t="s">
        <v>168</v>
      </c>
      <c r="J95" s="273"/>
      <c r="K95" s="245" t="s">
        <v>659</v>
      </c>
      <c r="L95" s="244" t="e">
        <f>SUM(M95:P95)</f>
        <v>#REF!</v>
      </c>
      <c r="M95" s="244" t="e">
        <v>#REF!</v>
      </c>
      <c r="N95" s="244" t="e">
        <v>#REF!</v>
      </c>
      <c r="O95" s="244" t="e">
        <v>#REF!</v>
      </c>
      <c r="P95" s="244" t="e">
        <v>#REF!</v>
      </c>
      <c r="R95" s="244">
        <v>0</v>
      </c>
    </row>
    <row r="96" spans="1:18" ht="12" customHeight="1" x14ac:dyDescent="0.2">
      <c r="A96" s="245"/>
      <c r="B96" s="245"/>
      <c r="C96" s="245"/>
      <c r="D96" s="245"/>
      <c r="E96" s="245"/>
      <c r="G96" s="274" t="s">
        <v>618</v>
      </c>
      <c r="H96" s="274"/>
      <c r="I96" s="274" t="s">
        <v>170</v>
      </c>
      <c r="J96" s="274"/>
      <c r="K96" s="271" t="s">
        <v>660</v>
      </c>
      <c r="L96" s="272" t="e">
        <f>SUM(L97:L105)</f>
        <v>#REF!</v>
      </c>
      <c r="M96" s="272" t="e">
        <f>SUM(M97:M105)</f>
        <v>#REF!</v>
      </c>
      <c r="N96" s="272" t="e">
        <f>SUM(N97:N105)</f>
        <v>#REF!</v>
      </c>
      <c r="O96" s="272" t="e">
        <f>SUM(O97:O105)</f>
        <v>#REF!</v>
      </c>
      <c r="P96" s="272" t="e">
        <f>SUM(P97:P105)</f>
        <v>#REF!</v>
      </c>
      <c r="Q96" s="272">
        <v>54169095.649999999</v>
      </c>
      <c r="R96" s="272">
        <v>35304909.519999996</v>
      </c>
    </row>
    <row r="97" spans="1:18" ht="12" customHeight="1" x14ac:dyDescent="0.2">
      <c r="A97" s="245"/>
      <c r="B97" s="245"/>
      <c r="C97" s="245"/>
      <c r="D97" s="245"/>
      <c r="E97" s="245"/>
      <c r="G97" s="273" t="s">
        <v>618</v>
      </c>
      <c r="H97" s="273"/>
      <c r="I97" s="273" t="s">
        <v>172</v>
      </c>
      <c r="J97" s="273"/>
      <c r="K97" s="245" t="s">
        <v>661</v>
      </c>
      <c r="L97" s="244" t="e">
        <f t="shared" ref="L97:L105" si="6">SUM(M97:P97)</f>
        <v>#REF!</v>
      </c>
      <c r="M97" s="244" t="e">
        <v>#REF!</v>
      </c>
      <c r="N97" s="244" t="e">
        <v>#REF!</v>
      </c>
      <c r="O97" s="244" t="e">
        <v>#REF!</v>
      </c>
      <c r="P97" s="244" t="e">
        <v>#REF!</v>
      </c>
      <c r="Q97" s="244">
        <v>0</v>
      </c>
      <c r="R97" s="244">
        <v>199850</v>
      </c>
    </row>
    <row r="98" spans="1:18" ht="12" hidden="1" customHeight="1" x14ac:dyDescent="0.2">
      <c r="A98" s="245"/>
      <c r="B98" s="245"/>
      <c r="C98" s="245"/>
      <c r="D98" s="245"/>
      <c r="E98" s="245"/>
      <c r="G98" s="273" t="s">
        <v>618</v>
      </c>
      <c r="H98" s="273"/>
      <c r="I98" s="273" t="s">
        <v>662</v>
      </c>
      <c r="J98" s="273"/>
      <c r="K98" s="245" t="s">
        <v>663</v>
      </c>
      <c r="L98" s="244" t="e">
        <f t="shared" si="6"/>
        <v>#REF!</v>
      </c>
      <c r="N98" s="244" t="e">
        <v>#REF!</v>
      </c>
      <c r="R98" s="244">
        <v>0</v>
      </c>
    </row>
    <row r="99" spans="1:18" ht="12" hidden="1" customHeight="1" x14ac:dyDescent="0.2">
      <c r="A99" s="245"/>
      <c r="B99" s="245"/>
      <c r="C99" s="245"/>
      <c r="D99" s="245"/>
      <c r="E99" s="245"/>
      <c r="G99" s="273" t="s">
        <v>618</v>
      </c>
      <c r="H99" s="273"/>
      <c r="I99" s="273" t="s">
        <v>174</v>
      </c>
      <c r="J99" s="273"/>
      <c r="K99" s="245" t="s">
        <v>664</v>
      </c>
      <c r="L99" s="244" t="e">
        <f t="shared" si="6"/>
        <v>#REF!</v>
      </c>
      <c r="M99" s="244" t="e">
        <v>#REF!</v>
      </c>
      <c r="N99" s="244" t="e">
        <v>#REF!</v>
      </c>
      <c r="O99" s="244" t="e">
        <v>#REF!</v>
      </c>
      <c r="P99" s="244" t="e">
        <v>#REF!</v>
      </c>
      <c r="R99" s="244">
        <v>0</v>
      </c>
    </row>
    <row r="100" spans="1:18" ht="12" hidden="1" customHeight="1" x14ac:dyDescent="0.2">
      <c r="A100" s="245"/>
      <c r="B100" s="245"/>
      <c r="C100" s="245"/>
      <c r="D100" s="245"/>
      <c r="E100" s="245"/>
      <c r="G100" s="273" t="s">
        <v>618</v>
      </c>
      <c r="H100" s="273"/>
      <c r="I100" s="273" t="s">
        <v>402</v>
      </c>
      <c r="J100" s="273"/>
      <c r="K100" s="245" t="s">
        <v>665</v>
      </c>
      <c r="L100" s="244" t="e">
        <f t="shared" si="6"/>
        <v>#REF!</v>
      </c>
      <c r="M100" s="244" t="e">
        <v>#REF!</v>
      </c>
      <c r="N100" s="244" t="e">
        <v>#REF!</v>
      </c>
      <c r="O100" s="244" t="e">
        <v>#REF!</v>
      </c>
      <c r="P100" s="244" t="e">
        <v>#REF!</v>
      </c>
      <c r="R100" s="244">
        <v>0</v>
      </c>
    </row>
    <row r="101" spans="1:18" ht="12" customHeight="1" x14ac:dyDescent="0.2">
      <c r="A101" s="245"/>
      <c r="B101" s="245"/>
      <c r="C101" s="245"/>
      <c r="D101" s="245"/>
      <c r="E101" s="245"/>
      <c r="G101" s="273" t="s">
        <v>618</v>
      </c>
      <c r="H101" s="273"/>
      <c r="I101" s="273" t="s">
        <v>176</v>
      </c>
      <c r="J101" s="273"/>
      <c r="K101" s="245" t="s">
        <v>666</v>
      </c>
      <c r="L101" s="244" t="e">
        <f t="shared" si="6"/>
        <v>#REF!</v>
      </c>
      <c r="M101" s="244" t="e">
        <v>#REF!</v>
      </c>
      <c r="N101" s="244" t="e">
        <v>#REF!</v>
      </c>
      <c r="O101" s="244" t="e">
        <v>#REF!</v>
      </c>
      <c r="P101" s="244" t="e">
        <v>#REF!</v>
      </c>
      <c r="Q101" s="244">
        <v>43083735.649999999</v>
      </c>
      <c r="R101" s="244">
        <v>27608327.84</v>
      </c>
    </row>
    <row r="102" spans="1:18" ht="12" customHeight="1" x14ac:dyDescent="0.2">
      <c r="A102" s="245"/>
      <c r="B102" s="245"/>
      <c r="C102" s="245"/>
      <c r="D102" s="245"/>
      <c r="E102" s="245"/>
      <c r="G102" s="273" t="s">
        <v>618</v>
      </c>
      <c r="H102" s="273"/>
      <c r="I102" s="273" t="s">
        <v>178</v>
      </c>
      <c r="J102" s="273"/>
      <c r="K102" s="245" t="s">
        <v>667</v>
      </c>
      <c r="L102" s="244" t="e">
        <f t="shared" si="6"/>
        <v>#REF!</v>
      </c>
      <c r="M102" s="244" t="e">
        <v>#REF!</v>
      </c>
      <c r="N102" s="244" t="e">
        <v>#REF!</v>
      </c>
      <c r="O102" s="244" t="e">
        <v>#REF!</v>
      </c>
      <c r="P102" s="244" t="e">
        <v>#REF!</v>
      </c>
      <c r="Q102" s="244">
        <v>4200000</v>
      </c>
      <c r="R102" s="244">
        <v>2341186</v>
      </c>
    </row>
    <row r="103" spans="1:18" ht="12" customHeight="1" x14ac:dyDescent="0.2">
      <c r="A103" s="245"/>
      <c r="B103" s="245"/>
      <c r="C103" s="245"/>
      <c r="D103" s="245"/>
      <c r="E103" s="245"/>
      <c r="G103" s="273" t="s">
        <v>618</v>
      </c>
      <c r="H103" s="273"/>
      <c r="I103" s="273" t="s">
        <v>180</v>
      </c>
      <c r="J103" s="273"/>
      <c r="K103" s="245" t="s">
        <v>668</v>
      </c>
      <c r="L103" s="244" t="e">
        <f t="shared" si="6"/>
        <v>#REF!</v>
      </c>
      <c r="M103" s="244" t="e">
        <v>#REF!</v>
      </c>
      <c r="N103" s="244" t="e">
        <v>#REF!</v>
      </c>
      <c r="O103" s="244" t="e">
        <v>#REF!</v>
      </c>
      <c r="P103" s="244" t="e">
        <v>#REF!</v>
      </c>
      <c r="Q103" s="244">
        <v>1700000</v>
      </c>
      <c r="R103" s="244">
        <v>1259681.97</v>
      </c>
    </row>
    <row r="104" spans="1:18" ht="12" customHeight="1" x14ac:dyDescent="0.2">
      <c r="A104" s="245"/>
      <c r="B104" s="245"/>
      <c r="C104" s="245"/>
      <c r="D104" s="245"/>
      <c r="E104" s="245"/>
      <c r="G104" s="273" t="s">
        <v>618</v>
      </c>
      <c r="H104" s="273"/>
      <c r="I104" s="273" t="s">
        <v>182</v>
      </c>
      <c r="J104" s="273"/>
      <c r="K104" s="245" t="s">
        <v>669</v>
      </c>
      <c r="L104" s="244" t="e">
        <f t="shared" si="6"/>
        <v>#REF!</v>
      </c>
      <c r="M104" s="244" t="e">
        <v>#REF!</v>
      </c>
      <c r="N104" s="244" t="e">
        <v>#REF!</v>
      </c>
      <c r="O104" s="244" t="e">
        <v>#REF!</v>
      </c>
      <c r="P104" s="244" t="e">
        <v>#REF!</v>
      </c>
      <c r="Q104" s="244">
        <v>5060360</v>
      </c>
      <c r="R104" s="244">
        <v>3847273.71</v>
      </c>
    </row>
    <row r="105" spans="1:18" ht="12" customHeight="1" x14ac:dyDescent="0.2">
      <c r="A105" s="245"/>
      <c r="B105" s="245"/>
      <c r="C105" s="245"/>
      <c r="D105" s="245"/>
      <c r="E105" s="245"/>
      <c r="G105" s="273" t="s">
        <v>618</v>
      </c>
      <c r="H105" s="273"/>
      <c r="I105" s="273" t="s">
        <v>183</v>
      </c>
      <c r="J105" s="273"/>
      <c r="K105" s="245" t="s">
        <v>670</v>
      </c>
      <c r="L105" s="244" t="e">
        <f t="shared" si="6"/>
        <v>#REF!</v>
      </c>
      <c r="M105" s="244" t="e">
        <v>#REF!</v>
      </c>
      <c r="N105" s="244" t="e">
        <v>#REF!</v>
      </c>
      <c r="O105" s="244" t="e">
        <v>#REF!</v>
      </c>
      <c r="P105" s="244" t="e">
        <v>#REF!</v>
      </c>
      <c r="Q105" s="244">
        <v>125000</v>
      </c>
      <c r="R105" s="244">
        <v>48590</v>
      </c>
    </row>
    <row r="106" spans="1:18" ht="16.5" hidden="1" customHeight="1" x14ac:dyDescent="0.2">
      <c r="G106" s="259"/>
      <c r="H106" s="259"/>
      <c r="I106" s="259"/>
      <c r="J106" s="259"/>
      <c r="L106" s="244">
        <v>0</v>
      </c>
      <c r="M106" s="244" t="e">
        <v>#REF!</v>
      </c>
    </row>
    <row r="107" spans="1:18" ht="12" customHeight="1" x14ac:dyDescent="0.2">
      <c r="A107" s="245"/>
      <c r="B107" s="245"/>
      <c r="C107" s="245"/>
      <c r="D107" s="245"/>
      <c r="E107" s="245"/>
      <c r="G107" s="274" t="s">
        <v>618</v>
      </c>
      <c r="H107" s="274"/>
      <c r="I107" s="274" t="s">
        <v>185</v>
      </c>
      <c r="J107" s="274"/>
      <c r="K107" s="271" t="s">
        <v>186</v>
      </c>
      <c r="L107" s="272" t="e">
        <f>SUM(L108:L113)</f>
        <v>#REF!</v>
      </c>
      <c r="M107" s="272" t="e">
        <f>SUM(M108:M113)</f>
        <v>#REF!</v>
      </c>
      <c r="N107" s="272" t="e">
        <f>SUM(N108:N113)</f>
        <v>#REF!</v>
      </c>
      <c r="O107" s="272" t="e">
        <f>SUM(O108:O113)</f>
        <v>#REF!</v>
      </c>
      <c r="P107" s="272">
        <f>SUM(P108:P113)</f>
        <v>0</v>
      </c>
      <c r="Q107" s="272">
        <v>4121000</v>
      </c>
      <c r="R107" s="272">
        <v>2065097.9</v>
      </c>
    </row>
    <row r="108" spans="1:18" ht="12" hidden="1" customHeight="1" x14ac:dyDescent="0.2">
      <c r="A108" s="245"/>
      <c r="B108" s="245"/>
      <c r="C108" s="245"/>
      <c r="D108" s="245"/>
      <c r="E108" s="245"/>
      <c r="G108" s="273" t="s">
        <v>618</v>
      </c>
      <c r="H108" s="273"/>
      <c r="I108" s="273" t="s">
        <v>671</v>
      </c>
      <c r="J108" s="273"/>
      <c r="K108" s="245" t="s">
        <v>672</v>
      </c>
      <c r="L108" s="244">
        <f t="shared" ref="L108:L113" si="7">SUM(M108:P108)</f>
        <v>0</v>
      </c>
    </row>
    <row r="109" spans="1:18" ht="12" customHeight="1" x14ac:dyDescent="0.2">
      <c r="A109" s="245"/>
      <c r="B109" s="245"/>
      <c r="C109" s="245"/>
      <c r="D109" s="245"/>
      <c r="E109" s="245"/>
      <c r="G109" s="273" t="s">
        <v>618</v>
      </c>
      <c r="H109" s="273"/>
      <c r="I109" s="273" t="s">
        <v>408</v>
      </c>
      <c r="J109" s="273"/>
      <c r="K109" s="245" t="s">
        <v>409</v>
      </c>
      <c r="L109" s="244" t="e">
        <f t="shared" si="7"/>
        <v>#REF!</v>
      </c>
      <c r="M109" s="244" t="e">
        <v>#REF!</v>
      </c>
      <c r="N109" s="244" t="e">
        <v>#REF!</v>
      </c>
      <c r="Q109" s="244">
        <v>200000</v>
      </c>
      <c r="R109" s="244">
        <v>0</v>
      </c>
    </row>
    <row r="110" spans="1:18" ht="12" hidden="1" customHeight="1" x14ac:dyDescent="0.2">
      <c r="A110" s="245"/>
      <c r="B110" s="245"/>
      <c r="C110" s="245"/>
      <c r="D110" s="245"/>
      <c r="E110" s="245"/>
      <c r="G110" s="273" t="s">
        <v>618</v>
      </c>
      <c r="H110" s="273"/>
      <c r="I110" s="273" t="s">
        <v>673</v>
      </c>
      <c r="J110" s="273"/>
      <c r="K110" s="245" t="s">
        <v>674</v>
      </c>
      <c r="L110" s="244">
        <f t="shared" si="7"/>
        <v>0</v>
      </c>
    </row>
    <row r="111" spans="1:18" ht="12" hidden="1" customHeight="1" x14ac:dyDescent="0.2">
      <c r="A111" s="245"/>
      <c r="B111" s="245"/>
      <c r="C111" s="245"/>
      <c r="D111" s="245"/>
      <c r="E111" s="245"/>
      <c r="G111" s="273" t="s">
        <v>618</v>
      </c>
      <c r="H111" s="273"/>
      <c r="I111" s="273" t="s">
        <v>675</v>
      </c>
      <c r="J111" s="273"/>
      <c r="K111" s="245" t="s">
        <v>676</v>
      </c>
      <c r="L111" s="244">
        <f t="shared" si="7"/>
        <v>0</v>
      </c>
    </row>
    <row r="112" spans="1:18" ht="12" customHeight="1" x14ac:dyDescent="0.2">
      <c r="A112" s="245"/>
      <c r="B112" s="245"/>
      <c r="C112" s="245"/>
      <c r="D112" s="245"/>
      <c r="E112" s="245"/>
      <c r="G112" s="273" t="s">
        <v>618</v>
      </c>
      <c r="H112" s="273"/>
      <c r="I112" s="273" t="s">
        <v>187</v>
      </c>
      <c r="J112" s="273"/>
      <c r="K112" s="245" t="s">
        <v>188</v>
      </c>
      <c r="L112" s="244" t="e">
        <f t="shared" si="7"/>
        <v>#REF!</v>
      </c>
      <c r="M112" s="244" t="e">
        <v>#REF!</v>
      </c>
      <c r="N112" s="244" t="e">
        <v>#REF!</v>
      </c>
      <c r="O112" s="244" t="e">
        <v>#REF!</v>
      </c>
      <c r="Q112" s="244">
        <v>3000000</v>
      </c>
      <c r="R112" s="244">
        <v>1984983.5</v>
      </c>
    </row>
    <row r="113" spans="1:18" ht="12" customHeight="1" x14ac:dyDescent="0.2">
      <c r="A113" s="245"/>
      <c r="B113" s="245"/>
      <c r="C113" s="245"/>
      <c r="D113" s="245"/>
      <c r="E113" s="245"/>
      <c r="G113" s="273" t="s">
        <v>618</v>
      </c>
      <c r="H113" s="273"/>
      <c r="I113" s="273" t="s">
        <v>189</v>
      </c>
      <c r="J113" s="273"/>
      <c r="K113" s="245" t="s">
        <v>677</v>
      </c>
      <c r="L113" s="244" t="e">
        <f t="shared" si="7"/>
        <v>#REF!</v>
      </c>
      <c r="M113" s="244" t="e">
        <v>#REF!</v>
      </c>
      <c r="N113" s="244" t="e">
        <v>#REF!</v>
      </c>
      <c r="O113" s="244" t="e">
        <v>#REF!</v>
      </c>
      <c r="Q113" s="244">
        <v>921000</v>
      </c>
      <c r="R113" s="244">
        <v>80114.399999999994</v>
      </c>
    </row>
    <row r="114" spans="1:18" ht="12" customHeight="1" x14ac:dyDescent="0.2">
      <c r="A114" s="245"/>
      <c r="B114" s="245"/>
      <c r="C114" s="245"/>
      <c r="D114" s="245"/>
      <c r="E114" s="245"/>
      <c r="G114" s="273" t="s">
        <v>382</v>
      </c>
      <c r="H114" s="273"/>
      <c r="I114" s="247"/>
      <c r="J114" s="247"/>
      <c r="K114" s="245"/>
    </row>
    <row r="115" spans="1:18" ht="12.75" customHeight="1" x14ac:dyDescent="0.2">
      <c r="A115" s="260"/>
      <c r="B115" s="260"/>
      <c r="C115" s="261"/>
      <c r="D115" s="262"/>
      <c r="E115" s="262"/>
      <c r="F115" s="263"/>
      <c r="G115" s="261" t="s">
        <v>618</v>
      </c>
      <c r="H115" s="261"/>
      <c r="I115" s="261">
        <v>2</v>
      </c>
      <c r="J115" s="261"/>
      <c r="K115" s="264" t="s">
        <v>22</v>
      </c>
      <c r="L115" s="263" t="e">
        <f>+L117+L123+L128+L136+L144+L139</f>
        <v>#REF!</v>
      </c>
      <c r="M115" s="263" t="e">
        <f>+M117+M123+M128+M136+M144+M139</f>
        <v>#REF!</v>
      </c>
      <c r="N115" s="263" t="e">
        <f>+N117+N123+N128+N136+N144+N139</f>
        <v>#REF!</v>
      </c>
      <c r="O115" s="263" t="e">
        <f>+O117+O123+O128+O136+O144+O139</f>
        <v>#REF!</v>
      </c>
      <c r="P115" s="263" t="e">
        <f>+P117+P123+P128+P136+P144+P139</f>
        <v>#REF!</v>
      </c>
      <c r="Q115" s="263">
        <v>150453402.35999998</v>
      </c>
      <c r="R115" s="263">
        <v>85522068.439999998</v>
      </c>
    </row>
    <row r="116" spans="1:18" ht="12" customHeight="1" x14ac:dyDescent="0.2">
      <c r="A116" s="245"/>
      <c r="B116" s="245"/>
      <c r="C116" s="245"/>
      <c r="D116" s="245"/>
      <c r="E116" s="245"/>
      <c r="G116" s="273" t="s">
        <v>382</v>
      </c>
      <c r="H116" s="273"/>
      <c r="I116" s="274"/>
      <c r="J116" s="274"/>
      <c r="K116" s="271"/>
    </row>
    <row r="117" spans="1:18" ht="12" customHeight="1" x14ac:dyDescent="0.2">
      <c r="A117" s="245"/>
      <c r="B117" s="245"/>
      <c r="C117" s="245"/>
      <c r="D117" s="245"/>
      <c r="E117" s="245"/>
      <c r="G117" s="274" t="s">
        <v>618</v>
      </c>
      <c r="H117" s="274"/>
      <c r="I117" s="274" t="s">
        <v>191</v>
      </c>
      <c r="J117" s="274"/>
      <c r="K117" s="271" t="s">
        <v>678</v>
      </c>
      <c r="L117" s="272" t="e">
        <f>SUM(L118:L122)</f>
        <v>#REF!</v>
      </c>
      <c r="M117" s="272" t="e">
        <f>SUM(M118:M122)</f>
        <v>#REF!</v>
      </c>
      <c r="N117" s="272" t="e">
        <f>SUM(N118:N122)</f>
        <v>#REF!</v>
      </c>
      <c r="O117" s="272" t="e">
        <f>SUM(O118:O122)</f>
        <v>#REF!</v>
      </c>
      <c r="P117" s="272" t="e">
        <f>SUM(P118:P122)</f>
        <v>#REF!</v>
      </c>
      <c r="Q117" s="272">
        <v>99198507.199999988</v>
      </c>
      <c r="R117" s="272">
        <v>55223707.830000006</v>
      </c>
    </row>
    <row r="118" spans="1:18" ht="12" customHeight="1" x14ac:dyDescent="0.2">
      <c r="A118" s="245"/>
      <c r="B118" s="245"/>
      <c r="C118" s="245"/>
      <c r="D118" s="245"/>
      <c r="E118" s="245"/>
      <c r="G118" s="273" t="s">
        <v>618</v>
      </c>
      <c r="H118" s="273"/>
      <c r="I118" s="273" t="s">
        <v>193</v>
      </c>
      <c r="J118" s="273"/>
      <c r="K118" s="245" t="s">
        <v>679</v>
      </c>
      <c r="L118" s="244" t="e">
        <f>SUM(M118:P118)</f>
        <v>#REF!</v>
      </c>
      <c r="M118" s="244" t="e">
        <v>#REF!</v>
      </c>
      <c r="N118" s="244" t="e">
        <v>#REF!</v>
      </c>
      <c r="O118" s="244" t="e">
        <v>#REF!</v>
      </c>
      <c r="P118" s="244" t="e">
        <v>#REF!</v>
      </c>
      <c r="Q118" s="244">
        <v>87901256.299999997</v>
      </c>
      <c r="R118" s="244">
        <v>52143878</v>
      </c>
    </row>
    <row r="119" spans="1:18" ht="12" customHeight="1" x14ac:dyDescent="0.2">
      <c r="A119" s="245"/>
      <c r="B119" s="245"/>
      <c r="C119" s="245"/>
      <c r="D119" s="245"/>
      <c r="E119" s="245"/>
      <c r="G119" s="273" t="s">
        <v>618</v>
      </c>
      <c r="H119" s="273"/>
      <c r="I119" s="273" t="s">
        <v>195</v>
      </c>
      <c r="J119" s="273"/>
      <c r="K119" s="245" t="s">
        <v>680</v>
      </c>
      <c r="L119" s="244" t="e">
        <f>SUM(M119:P119)</f>
        <v>#REF!</v>
      </c>
      <c r="M119" s="244" t="e">
        <v>#REF!</v>
      </c>
      <c r="N119" s="244" t="e">
        <v>#REF!</v>
      </c>
      <c r="O119" s="244" t="e">
        <v>#REF!</v>
      </c>
      <c r="P119" s="244" t="e">
        <v>#REF!</v>
      </c>
      <c r="Q119" s="244">
        <v>6918977.8499999996</v>
      </c>
      <c r="R119" s="244">
        <v>2175263.4500000002</v>
      </c>
    </row>
    <row r="120" spans="1:18" ht="12" hidden="1" customHeight="1" x14ac:dyDescent="0.2">
      <c r="A120" s="245"/>
      <c r="B120" s="245"/>
      <c r="C120" s="245"/>
      <c r="D120" s="245"/>
      <c r="E120" s="245"/>
      <c r="G120" s="273" t="s">
        <v>618</v>
      </c>
      <c r="H120" s="273"/>
      <c r="I120" s="273" t="s">
        <v>681</v>
      </c>
      <c r="J120" s="273"/>
      <c r="K120" s="245" t="s">
        <v>682</v>
      </c>
      <c r="L120" s="244" t="e">
        <f>SUM(M120:P120)</f>
        <v>#REF!</v>
      </c>
      <c r="N120" s="244" t="e">
        <v>#REF!</v>
      </c>
      <c r="O120" s="244">
        <v>0</v>
      </c>
      <c r="P120" s="244" t="e">
        <v>#REF!</v>
      </c>
      <c r="R120" s="244">
        <v>0</v>
      </c>
    </row>
    <row r="121" spans="1:18" ht="12" customHeight="1" x14ac:dyDescent="0.2">
      <c r="A121" s="245"/>
      <c r="B121" s="245"/>
      <c r="C121" s="245"/>
      <c r="D121" s="245"/>
      <c r="E121" s="245"/>
      <c r="G121" s="273" t="s">
        <v>618</v>
      </c>
      <c r="H121" s="273"/>
      <c r="I121" s="273" t="s">
        <v>197</v>
      </c>
      <c r="J121" s="273"/>
      <c r="K121" s="245" t="s">
        <v>683</v>
      </c>
      <c r="L121" s="244" t="e">
        <f>SUM(M121:P121)</f>
        <v>#REF!</v>
      </c>
      <c r="M121" s="244" t="e">
        <v>#REF!</v>
      </c>
      <c r="N121" s="244" t="e">
        <v>#REF!</v>
      </c>
      <c r="O121" s="244" t="e">
        <v>#REF!</v>
      </c>
      <c r="P121" s="244" t="e">
        <v>#REF!</v>
      </c>
      <c r="Q121" s="244">
        <v>4378273.05</v>
      </c>
      <c r="R121" s="244">
        <v>904566.38</v>
      </c>
    </row>
    <row r="122" spans="1:18" ht="12" hidden="1" customHeight="1" x14ac:dyDescent="0.2">
      <c r="A122" s="245"/>
      <c r="B122" s="245"/>
      <c r="C122" s="245"/>
      <c r="D122" s="245"/>
      <c r="E122" s="245"/>
      <c r="G122" s="273" t="s">
        <v>618</v>
      </c>
      <c r="H122" s="273"/>
      <c r="I122" s="273" t="s">
        <v>199</v>
      </c>
      <c r="J122" s="273"/>
      <c r="K122" s="245" t="s">
        <v>684</v>
      </c>
      <c r="L122" s="244" t="e">
        <f>SUM(M122:P122)</f>
        <v>#REF!</v>
      </c>
      <c r="N122" s="244" t="e">
        <v>#REF!</v>
      </c>
      <c r="O122" s="244" t="e">
        <v>#REF!</v>
      </c>
      <c r="P122" s="244" t="e">
        <v>#REF!</v>
      </c>
    </row>
    <row r="123" spans="1:18" x14ac:dyDescent="0.2">
      <c r="A123" s="245"/>
      <c r="B123" s="245"/>
      <c r="C123" s="245"/>
      <c r="D123" s="245"/>
      <c r="E123" s="245"/>
      <c r="G123" s="274" t="s">
        <v>618</v>
      </c>
      <c r="H123" s="274"/>
      <c r="I123" s="274" t="s">
        <v>349</v>
      </c>
      <c r="J123" s="274"/>
      <c r="K123" s="271" t="s">
        <v>350</v>
      </c>
      <c r="L123" s="272" t="e">
        <f>SUM(L124:L127)</f>
        <v>#REF!</v>
      </c>
      <c r="M123" s="272" t="e">
        <f>SUM(M124:M127)</f>
        <v>#REF!</v>
      </c>
      <c r="N123" s="272" t="e">
        <f>SUM(N124:N127)</f>
        <v>#REF!</v>
      </c>
      <c r="O123" s="272" t="e">
        <f>SUM(O124:O127)</f>
        <v>#REF!</v>
      </c>
      <c r="P123" s="272" t="e">
        <f>SUM(P124:P127)</f>
        <v>#REF!</v>
      </c>
      <c r="Q123" s="272">
        <v>0</v>
      </c>
      <c r="R123" s="272">
        <v>475310.65</v>
      </c>
    </row>
    <row r="124" spans="1:18" ht="12" hidden="1" customHeight="1" x14ac:dyDescent="0.2">
      <c r="A124" s="245"/>
      <c r="B124" s="245"/>
      <c r="C124" s="245"/>
      <c r="D124" s="245"/>
      <c r="E124" s="245"/>
      <c r="G124" s="273" t="s">
        <v>618</v>
      </c>
      <c r="H124" s="273"/>
      <c r="I124" s="273" t="s">
        <v>685</v>
      </c>
      <c r="J124" s="273"/>
      <c r="K124" s="245" t="s">
        <v>686</v>
      </c>
      <c r="L124" s="244">
        <f>SUM(M124:P124)</f>
        <v>0</v>
      </c>
      <c r="P124" s="244">
        <v>0</v>
      </c>
    </row>
    <row r="125" spans="1:18" ht="12" hidden="1" customHeight="1" x14ac:dyDescent="0.2">
      <c r="A125" s="245"/>
      <c r="B125" s="245"/>
      <c r="C125" s="245"/>
      <c r="D125" s="245"/>
      <c r="E125" s="245"/>
      <c r="G125" s="273" t="s">
        <v>618</v>
      </c>
      <c r="H125" s="273"/>
      <c r="I125" s="273" t="s">
        <v>687</v>
      </c>
      <c r="J125" s="273"/>
      <c r="K125" s="245" t="s">
        <v>688</v>
      </c>
      <c r="L125" s="244">
        <f>SUM(M125:P125)</f>
        <v>0</v>
      </c>
      <c r="P125" s="244">
        <v>0</v>
      </c>
    </row>
    <row r="126" spans="1:18" ht="12" customHeight="1" x14ac:dyDescent="0.2">
      <c r="A126" s="245"/>
      <c r="B126" s="245"/>
      <c r="C126" s="245"/>
      <c r="D126" s="245"/>
      <c r="E126" s="245"/>
      <c r="G126" s="273" t="s">
        <v>618</v>
      </c>
      <c r="H126" s="273"/>
      <c r="I126" s="273" t="s">
        <v>351</v>
      </c>
      <c r="J126" s="273"/>
      <c r="K126" s="245" t="s">
        <v>362</v>
      </c>
      <c r="L126" s="244" t="e">
        <f>SUM(M126:P126)</f>
        <v>#REF!</v>
      </c>
      <c r="M126" s="244" t="e">
        <v>#REF!</v>
      </c>
      <c r="N126" s="244" t="e">
        <v>#REF!</v>
      </c>
      <c r="O126" s="244" t="e">
        <v>#REF!</v>
      </c>
      <c r="P126" s="244" t="e">
        <v>#REF!</v>
      </c>
      <c r="R126" s="244">
        <v>475310.65</v>
      </c>
    </row>
    <row r="127" spans="1:18" ht="12" hidden="1" customHeight="1" x14ac:dyDescent="0.2">
      <c r="A127" s="245"/>
      <c r="B127" s="245"/>
      <c r="C127" s="245"/>
      <c r="D127" s="245"/>
      <c r="E127" s="245"/>
      <c r="G127" s="273" t="s">
        <v>618</v>
      </c>
      <c r="H127" s="273"/>
      <c r="I127" s="273" t="s">
        <v>689</v>
      </c>
      <c r="J127" s="273"/>
      <c r="K127" s="245" t="s">
        <v>690</v>
      </c>
      <c r="L127" s="244">
        <f>SUM(M127:P127)</f>
        <v>0</v>
      </c>
      <c r="P127" s="244">
        <v>0</v>
      </c>
    </row>
    <row r="128" spans="1:18" ht="12" customHeight="1" x14ac:dyDescent="0.2">
      <c r="A128" s="245"/>
      <c r="B128" s="245"/>
      <c r="C128" s="245"/>
      <c r="D128" s="245"/>
      <c r="E128" s="245"/>
      <c r="G128" s="274" t="s">
        <v>618</v>
      </c>
      <c r="H128" s="274"/>
      <c r="I128" s="274" t="s">
        <v>201</v>
      </c>
      <c r="J128" s="274"/>
      <c r="K128" s="271" t="s">
        <v>691</v>
      </c>
      <c r="L128" s="272" t="e">
        <f>SUM(L129:L135)</f>
        <v>#REF!</v>
      </c>
      <c r="M128" s="272" t="e">
        <f>SUM(M129:M135)</f>
        <v>#REF!</v>
      </c>
      <c r="N128" s="272" t="e">
        <f>SUM(N129:N135)</f>
        <v>#REF!</v>
      </c>
      <c r="O128" s="272" t="e">
        <f>SUM(O129:O135)</f>
        <v>#REF!</v>
      </c>
      <c r="P128" s="272" t="e">
        <f>SUM(P129:P135)</f>
        <v>#REF!</v>
      </c>
      <c r="Q128" s="272">
        <v>8265949</v>
      </c>
      <c r="R128" s="272">
        <v>2426978.7800000003</v>
      </c>
    </row>
    <row r="129" spans="1:18" ht="12" customHeight="1" x14ac:dyDescent="0.2">
      <c r="A129" s="245"/>
      <c r="B129" s="245"/>
      <c r="C129" s="245"/>
      <c r="D129" s="245"/>
      <c r="E129" s="245"/>
      <c r="G129" s="273" t="s">
        <v>618</v>
      </c>
      <c r="H129" s="273"/>
      <c r="I129" s="273" t="s">
        <v>202</v>
      </c>
      <c r="J129" s="273"/>
      <c r="K129" s="245" t="s">
        <v>692</v>
      </c>
      <c r="L129" s="244" t="e">
        <f t="shared" ref="L129:L135" si="8">SUM(M129:P129)</f>
        <v>#REF!</v>
      </c>
      <c r="M129" s="244" t="e">
        <v>#REF!</v>
      </c>
      <c r="N129" s="244" t="e">
        <v>#REF!</v>
      </c>
      <c r="O129" s="244" t="e">
        <v>#REF!</v>
      </c>
      <c r="P129" s="244" t="e">
        <v>#REF!</v>
      </c>
      <c r="R129" s="244">
        <v>75065.929999999993</v>
      </c>
    </row>
    <row r="130" spans="1:18" ht="12" hidden="1" customHeight="1" x14ac:dyDescent="0.2">
      <c r="A130" s="245"/>
      <c r="B130" s="245"/>
      <c r="C130" s="245"/>
      <c r="D130" s="245"/>
      <c r="E130" s="245"/>
      <c r="G130" s="273" t="s">
        <v>618</v>
      </c>
      <c r="H130" s="273"/>
      <c r="I130" s="273" t="s">
        <v>693</v>
      </c>
      <c r="J130" s="273"/>
      <c r="K130" s="245" t="s">
        <v>694</v>
      </c>
      <c r="L130" s="244" t="e">
        <f t="shared" si="8"/>
        <v>#REF!</v>
      </c>
      <c r="N130" s="244" t="e">
        <v>#REF!</v>
      </c>
      <c r="R130" s="244">
        <v>0</v>
      </c>
    </row>
    <row r="131" spans="1:18" ht="12" hidden="1" customHeight="1" x14ac:dyDescent="0.2">
      <c r="A131" s="245"/>
      <c r="B131" s="245"/>
      <c r="C131" s="245"/>
      <c r="D131" s="245"/>
      <c r="E131" s="245"/>
      <c r="G131" s="273" t="s">
        <v>618</v>
      </c>
      <c r="H131" s="273"/>
      <c r="I131" s="273" t="s">
        <v>204</v>
      </c>
      <c r="J131" s="273"/>
      <c r="K131" s="245" t="s">
        <v>205</v>
      </c>
      <c r="L131" s="244" t="e">
        <f t="shared" si="8"/>
        <v>#REF!</v>
      </c>
      <c r="M131" s="244" t="e">
        <v>#REF!</v>
      </c>
      <c r="N131" s="244" t="e">
        <v>#REF!</v>
      </c>
      <c r="O131" s="244" t="e">
        <v>#REF!</v>
      </c>
      <c r="P131" s="244" t="e">
        <v>#REF!</v>
      </c>
      <c r="R131" s="244">
        <v>0</v>
      </c>
    </row>
    <row r="132" spans="1:18" ht="12" customHeight="1" x14ac:dyDescent="0.2">
      <c r="A132" s="245"/>
      <c r="B132" s="245"/>
      <c r="C132" s="245"/>
      <c r="D132" s="245"/>
      <c r="E132" s="245"/>
      <c r="G132" s="273" t="s">
        <v>618</v>
      </c>
      <c r="H132" s="273"/>
      <c r="I132" s="273" t="s">
        <v>206</v>
      </c>
      <c r="J132" s="273"/>
      <c r="K132" s="245" t="s">
        <v>695</v>
      </c>
      <c r="L132" s="244" t="e">
        <f t="shared" si="8"/>
        <v>#REF!</v>
      </c>
      <c r="M132" s="244" t="e">
        <v>#REF!</v>
      </c>
      <c r="N132" s="244" t="e">
        <v>#REF!</v>
      </c>
      <c r="O132" s="244" t="e">
        <v>#REF!</v>
      </c>
      <c r="P132" s="244" t="e">
        <v>#REF!</v>
      </c>
      <c r="Q132" s="244">
        <v>8265949</v>
      </c>
      <c r="R132" s="244">
        <v>2284402.13</v>
      </c>
    </row>
    <row r="133" spans="1:18" ht="12" hidden="1" customHeight="1" x14ac:dyDescent="0.2">
      <c r="A133" s="245"/>
      <c r="B133" s="245"/>
      <c r="C133" s="245"/>
      <c r="D133" s="245"/>
      <c r="E133" s="245"/>
      <c r="G133" s="273" t="s">
        <v>618</v>
      </c>
      <c r="H133" s="273"/>
      <c r="I133" s="273" t="s">
        <v>208</v>
      </c>
      <c r="J133" s="273"/>
      <c r="K133" s="245" t="s">
        <v>696</v>
      </c>
      <c r="L133" s="244" t="e">
        <f t="shared" si="8"/>
        <v>#REF!</v>
      </c>
      <c r="M133" s="244" t="e">
        <v>#REF!</v>
      </c>
      <c r="N133" s="244" t="e">
        <v>#REF!</v>
      </c>
      <c r="O133" s="244" t="e">
        <v>#REF!</v>
      </c>
      <c r="P133" s="244" t="e">
        <v>#REF!</v>
      </c>
      <c r="R133" s="244">
        <v>0</v>
      </c>
    </row>
    <row r="134" spans="1:18" ht="12" customHeight="1" x14ac:dyDescent="0.2">
      <c r="A134" s="245"/>
      <c r="B134" s="245"/>
      <c r="C134" s="245"/>
      <c r="D134" s="245"/>
      <c r="E134" s="245"/>
      <c r="G134" s="273" t="s">
        <v>618</v>
      </c>
      <c r="H134" s="273"/>
      <c r="I134" s="273" t="s">
        <v>210</v>
      </c>
      <c r="J134" s="273"/>
      <c r="K134" s="245" t="s">
        <v>697</v>
      </c>
      <c r="L134" s="244" t="e">
        <f t="shared" si="8"/>
        <v>#REF!</v>
      </c>
      <c r="M134" s="244" t="e">
        <v>#REF!</v>
      </c>
      <c r="N134" s="244" t="e">
        <v>#REF!</v>
      </c>
      <c r="O134" s="244" t="e">
        <v>#REF!</v>
      </c>
      <c r="P134" s="244" t="e">
        <v>#REF!</v>
      </c>
      <c r="R134" s="244">
        <v>67510.720000000001</v>
      </c>
    </row>
    <row r="135" spans="1:18" ht="12" hidden="1" customHeight="1" x14ac:dyDescent="0.2">
      <c r="A135" s="245"/>
      <c r="B135" s="245"/>
      <c r="C135" s="245"/>
      <c r="D135" s="245"/>
      <c r="E135" s="245"/>
      <c r="G135" s="273" t="s">
        <v>618</v>
      </c>
      <c r="H135" s="273"/>
      <c r="I135" s="273" t="s">
        <v>212</v>
      </c>
      <c r="J135" s="273"/>
      <c r="K135" s="245" t="s">
        <v>698</v>
      </c>
      <c r="L135" s="244" t="e">
        <f t="shared" si="8"/>
        <v>#REF!</v>
      </c>
      <c r="M135" s="244" t="e">
        <v>#REF!</v>
      </c>
      <c r="N135" s="244" t="e">
        <v>#REF!</v>
      </c>
      <c r="O135" s="244" t="e">
        <v>#REF!</v>
      </c>
      <c r="P135" s="244" t="e">
        <v>#REF!</v>
      </c>
      <c r="R135" s="244">
        <v>0</v>
      </c>
    </row>
    <row r="136" spans="1:18" ht="12" customHeight="1" x14ac:dyDescent="0.2">
      <c r="A136" s="245"/>
      <c r="B136" s="245"/>
      <c r="C136" s="245"/>
      <c r="D136" s="245"/>
      <c r="E136" s="245"/>
      <c r="G136" s="274" t="s">
        <v>618</v>
      </c>
      <c r="H136" s="274"/>
      <c r="I136" s="274" t="s">
        <v>214</v>
      </c>
      <c r="J136" s="274"/>
      <c r="K136" s="271" t="s">
        <v>215</v>
      </c>
      <c r="L136" s="272" t="e">
        <f>SUM(L137:L138)</f>
        <v>#REF!</v>
      </c>
      <c r="M136" s="272" t="e">
        <f>SUM(M137:M138)</f>
        <v>#REF!</v>
      </c>
      <c r="N136" s="272" t="e">
        <f>SUM(N137:N138)</f>
        <v>#REF!</v>
      </c>
      <c r="O136" s="272" t="e">
        <f>SUM(O137:O138)</f>
        <v>#REF!</v>
      </c>
      <c r="P136" s="272" t="e">
        <f>SUM(P137:P138)</f>
        <v>#REF!</v>
      </c>
      <c r="Q136" s="272">
        <v>13825292.470000001</v>
      </c>
      <c r="R136" s="272">
        <v>7063400.2999999998</v>
      </c>
    </row>
    <row r="137" spans="1:18" ht="12" hidden="1" customHeight="1" x14ac:dyDescent="0.2">
      <c r="A137" s="245"/>
      <c r="B137" s="245"/>
      <c r="C137" s="245"/>
      <c r="D137" s="245"/>
      <c r="E137" s="245"/>
      <c r="G137" s="273" t="s">
        <v>618</v>
      </c>
      <c r="H137" s="273"/>
      <c r="I137" s="273" t="s">
        <v>216</v>
      </c>
      <c r="J137" s="273"/>
      <c r="K137" s="245" t="s">
        <v>699</v>
      </c>
      <c r="L137" s="244" t="e">
        <f t="shared" ref="L137:L143" si="9">SUM(M137:P137)</f>
        <v>#REF!</v>
      </c>
      <c r="M137" s="244" t="e">
        <v>#REF!</v>
      </c>
      <c r="N137" s="244" t="e">
        <v>#REF!</v>
      </c>
      <c r="O137" s="244" t="e">
        <v>#REF!</v>
      </c>
      <c r="P137" s="244" t="e">
        <v>#REF!</v>
      </c>
      <c r="R137" s="244">
        <v>0</v>
      </c>
    </row>
    <row r="138" spans="1:18" ht="12" customHeight="1" x14ac:dyDescent="0.2">
      <c r="A138" s="245"/>
      <c r="B138" s="245"/>
      <c r="C138" s="245"/>
      <c r="D138" s="245"/>
      <c r="E138" s="245"/>
      <c r="G138" s="273" t="s">
        <v>618</v>
      </c>
      <c r="H138" s="273"/>
      <c r="I138" s="273" t="s">
        <v>218</v>
      </c>
      <c r="J138" s="273"/>
      <c r="K138" s="245" t="s">
        <v>700</v>
      </c>
      <c r="L138" s="244" t="e">
        <f t="shared" si="9"/>
        <v>#REF!</v>
      </c>
      <c r="M138" s="244" t="e">
        <v>#REF!</v>
      </c>
      <c r="N138" s="244" t="e">
        <v>#REF!</v>
      </c>
      <c r="O138" s="244" t="e">
        <v>#REF!</v>
      </c>
      <c r="P138" s="244" t="e">
        <v>#REF!</v>
      </c>
      <c r="Q138" s="244">
        <v>13825292.470000001</v>
      </c>
      <c r="R138" s="244">
        <v>7063400.2999999998</v>
      </c>
    </row>
    <row r="139" spans="1:18" ht="12" hidden="1" customHeight="1" x14ac:dyDescent="0.2">
      <c r="A139" s="245"/>
      <c r="B139" s="245"/>
      <c r="C139" s="245"/>
      <c r="D139" s="245"/>
      <c r="E139" s="245"/>
      <c r="G139" s="274" t="s">
        <v>618</v>
      </c>
      <c r="H139" s="274"/>
      <c r="I139" s="274" t="s">
        <v>701</v>
      </c>
      <c r="J139" s="274"/>
      <c r="K139" s="271" t="s">
        <v>702</v>
      </c>
      <c r="L139" s="244">
        <f t="shared" si="9"/>
        <v>0</v>
      </c>
    </row>
    <row r="140" spans="1:18" ht="12" hidden="1" customHeight="1" x14ac:dyDescent="0.2">
      <c r="A140" s="245"/>
      <c r="B140" s="245"/>
      <c r="C140" s="245"/>
      <c r="D140" s="245"/>
      <c r="E140" s="245"/>
      <c r="G140" s="273" t="s">
        <v>618</v>
      </c>
      <c r="H140" s="273"/>
      <c r="I140" s="273" t="s">
        <v>703</v>
      </c>
      <c r="J140" s="273"/>
      <c r="K140" s="245" t="s">
        <v>704</v>
      </c>
      <c r="L140" s="244">
        <f t="shared" si="9"/>
        <v>0</v>
      </c>
    </row>
    <row r="141" spans="1:18" ht="12" hidden="1" customHeight="1" x14ac:dyDescent="0.2">
      <c r="A141" s="245"/>
      <c r="B141" s="245"/>
      <c r="C141" s="245"/>
      <c r="D141" s="245"/>
      <c r="E141" s="245"/>
      <c r="G141" s="273" t="s">
        <v>618</v>
      </c>
      <c r="H141" s="273"/>
      <c r="I141" s="273" t="s">
        <v>705</v>
      </c>
      <c r="J141" s="273"/>
      <c r="K141" s="245" t="s">
        <v>706</v>
      </c>
      <c r="L141" s="244">
        <f t="shared" si="9"/>
        <v>0</v>
      </c>
    </row>
    <row r="142" spans="1:18" ht="12" hidden="1" customHeight="1" x14ac:dyDescent="0.2">
      <c r="A142" s="245"/>
      <c r="B142" s="245"/>
      <c r="C142" s="245"/>
      <c r="D142" s="245"/>
      <c r="E142" s="245"/>
      <c r="G142" s="273" t="s">
        <v>618</v>
      </c>
      <c r="H142" s="273"/>
      <c r="I142" s="273" t="s">
        <v>707</v>
      </c>
      <c r="J142" s="273"/>
      <c r="K142" s="245" t="s">
        <v>708</v>
      </c>
      <c r="L142" s="244">
        <f t="shared" si="9"/>
        <v>0</v>
      </c>
    </row>
    <row r="143" spans="1:18" ht="12" hidden="1" customHeight="1" x14ac:dyDescent="0.2">
      <c r="A143" s="245"/>
      <c r="B143" s="245"/>
      <c r="C143" s="245"/>
      <c r="D143" s="245"/>
      <c r="E143" s="245"/>
      <c r="G143" s="273" t="s">
        <v>618</v>
      </c>
      <c r="H143" s="273"/>
      <c r="I143" s="273" t="s">
        <v>709</v>
      </c>
      <c r="J143" s="273"/>
      <c r="K143" s="245" t="s">
        <v>710</v>
      </c>
      <c r="L143" s="244">
        <f t="shared" si="9"/>
        <v>0</v>
      </c>
    </row>
    <row r="144" spans="1:18" ht="12" customHeight="1" x14ac:dyDescent="0.2">
      <c r="A144" s="245"/>
      <c r="B144" s="245"/>
      <c r="C144" s="245"/>
      <c r="D144" s="245"/>
      <c r="E144" s="245"/>
      <c r="G144" s="274" t="s">
        <v>618</v>
      </c>
      <c r="H144" s="274"/>
      <c r="I144" s="274" t="s">
        <v>220</v>
      </c>
      <c r="J144" s="274"/>
      <c r="K144" s="271" t="s">
        <v>711</v>
      </c>
      <c r="L144" s="272" t="e">
        <f>SUM(L145:L152)</f>
        <v>#REF!</v>
      </c>
      <c r="M144" s="272" t="e">
        <f>SUM(M145:M152)</f>
        <v>#REF!</v>
      </c>
      <c r="N144" s="272" t="e">
        <f>SUM(N145:N152)</f>
        <v>#REF!</v>
      </c>
      <c r="O144" s="272" t="e">
        <f>SUM(O145:O152)</f>
        <v>#REF!</v>
      </c>
      <c r="P144" s="272" t="e">
        <f>SUM(P145:P152)</f>
        <v>#REF!</v>
      </c>
      <c r="Q144" s="272">
        <v>29163653.689999998</v>
      </c>
      <c r="R144" s="272">
        <v>20332670.879999995</v>
      </c>
    </row>
    <row r="145" spans="1:18" ht="12" customHeight="1" x14ac:dyDescent="0.2">
      <c r="A145" s="245"/>
      <c r="B145" s="245"/>
      <c r="C145" s="245"/>
      <c r="D145" s="245"/>
      <c r="E145" s="245"/>
      <c r="G145" s="273" t="s">
        <v>618</v>
      </c>
      <c r="H145" s="273"/>
      <c r="I145" s="273" t="s">
        <v>221</v>
      </c>
      <c r="J145" s="273"/>
      <c r="K145" s="245" t="s">
        <v>712</v>
      </c>
      <c r="L145" s="244" t="e">
        <f t="shared" ref="L145:L152" si="10">SUM(M145:P145)</f>
        <v>#REF!</v>
      </c>
      <c r="M145" s="244" t="e">
        <v>#REF!</v>
      </c>
      <c r="N145" s="244" t="e">
        <v>#REF!</v>
      </c>
      <c r="O145" s="244" t="e">
        <v>#REF!</v>
      </c>
      <c r="P145" s="244" t="e">
        <v>#REF!</v>
      </c>
      <c r="Q145" s="244">
        <v>2373131.4</v>
      </c>
      <c r="R145" s="244">
        <v>2289862.7999999998</v>
      </c>
    </row>
    <row r="146" spans="1:18" ht="12" customHeight="1" x14ac:dyDescent="0.2">
      <c r="A146" s="245"/>
      <c r="B146" s="245"/>
      <c r="C146" s="245"/>
      <c r="D146" s="245"/>
      <c r="E146" s="245"/>
      <c r="G146" s="273" t="s">
        <v>618</v>
      </c>
      <c r="H146" s="273"/>
      <c r="I146" s="273" t="s">
        <v>223</v>
      </c>
      <c r="J146" s="273"/>
      <c r="K146" s="245" t="s">
        <v>713</v>
      </c>
      <c r="L146" s="244" t="e">
        <f t="shared" si="10"/>
        <v>#REF!</v>
      </c>
      <c r="M146" s="244" t="e">
        <v>#REF!</v>
      </c>
      <c r="N146" s="244" t="e">
        <v>#REF!</v>
      </c>
      <c r="O146" s="244" t="e">
        <v>#REF!</v>
      </c>
      <c r="P146" s="244" t="e">
        <v>#REF!</v>
      </c>
      <c r="Q146" s="244">
        <v>5699632</v>
      </c>
      <c r="R146" s="244">
        <v>4939846.68</v>
      </c>
    </row>
    <row r="147" spans="1:18" ht="12" customHeight="1" x14ac:dyDescent="0.2">
      <c r="A147" s="245"/>
      <c r="B147" s="245"/>
      <c r="C147" s="245"/>
      <c r="D147" s="245"/>
      <c r="E147" s="245"/>
      <c r="G147" s="273" t="s">
        <v>618</v>
      </c>
      <c r="H147" s="273"/>
      <c r="I147" s="273" t="s">
        <v>224</v>
      </c>
      <c r="J147" s="273"/>
      <c r="K147" s="245" t="s">
        <v>714</v>
      </c>
      <c r="L147" s="244" t="e">
        <f t="shared" si="10"/>
        <v>#REF!</v>
      </c>
      <c r="M147" s="244" t="e">
        <v>#REF!</v>
      </c>
      <c r="N147" s="244" t="e">
        <v>#REF!</v>
      </c>
      <c r="O147" s="244" t="e">
        <v>#REF!</v>
      </c>
      <c r="P147" s="244" t="e">
        <v>#REF!</v>
      </c>
      <c r="Q147" s="244">
        <v>2233200</v>
      </c>
      <c r="R147" s="244">
        <v>3008488.98</v>
      </c>
    </row>
    <row r="148" spans="1:18" ht="12" customHeight="1" x14ac:dyDescent="0.2">
      <c r="A148" s="245"/>
      <c r="B148" s="245"/>
      <c r="C148" s="245"/>
      <c r="D148" s="245"/>
      <c r="E148" s="245"/>
      <c r="G148" s="273" t="s">
        <v>618</v>
      </c>
      <c r="H148" s="273"/>
      <c r="I148" s="273" t="s">
        <v>226</v>
      </c>
      <c r="J148" s="273"/>
      <c r="K148" s="245" t="s">
        <v>715</v>
      </c>
      <c r="L148" s="244">
        <f t="shared" si="10"/>
        <v>1026727700</v>
      </c>
      <c r="M148" s="244">
        <v>929740200</v>
      </c>
      <c r="N148" s="244">
        <v>74047700</v>
      </c>
      <c r="O148" s="244">
        <v>0</v>
      </c>
      <c r="P148" s="244">
        <v>22939800</v>
      </c>
      <c r="Q148" s="244">
        <v>7038029.25</v>
      </c>
      <c r="R148" s="244">
        <v>7489715.1500000004</v>
      </c>
    </row>
    <row r="149" spans="1:18" ht="12" customHeight="1" x14ac:dyDescent="0.2">
      <c r="A149" s="245"/>
      <c r="B149" s="245"/>
      <c r="C149" s="245"/>
      <c r="D149" s="245"/>
      <c r="E149" s="245"/>
      <c r="G149" s="273" t="s">
        <v>618</v>
      </c>
      <c r="H149" s="273"/>
      <c r="I149" s="273" t="s">
        <v>228</v>
      </c>
      <c r="J149" s="273"/>
      <c r="K149" s="245" t="s">
        <v>716</v>
      </c>
      <c r="L149" s="244">
        <f t="shared" si="10"/>
        <v>12932200</v>
      </c>
      <c r="M149" s="244">
        <v>0</v>
      </c>
      <c r="N149" s="244">
        <v>0</v>
      </c>
      <c r="O149" s="244">
        <v>12932200</v>
      </c>
      <c r="P149" s="244">
        <v>0</v>
      </c>
      <c r="Q149" s="244">
        <v>11819661.039999997</v>
      </c>
      <c r="R149" s="244">
        <v>2504085.4</v>
      </c>
    </row>
    <row r="150" spans="1:18" ht="12" customHeight="1" x14ac:dyDescent="0.2">
      <c r="A150" s="245"/>
      <c r="B150" s="245"/>
      <c r="C150" s="245"/>
      <c r="D150" s="245"/>
      <c r="E150" s="245"/>
      <c r="G150" s="273" t="s">
        <v>618</v>
      </c>
      <c r="H150" s="273"/>
      <c r="I150" s="273" t="s">
        <v>230</v>
      </c>
      <c r="J150" s="273"/>
      <c r="K150" s="245" t="s">
        <v>717</v>
      </c>
      <c r="L150" s="244">
        <f t="shared" si="10"/>
        <v>5000000</v>
      </c>
      <c r="M150" s="244">
        <v>5000000</v>
      </c>
      <c r="N150" s="244">
        <v>0</v>
      </c>
      <c r="O150" s="244">
        <v>0</v>
      </c>
      <c r="P150" s="244">
        <v>0</v>
      </c>
      <c r="Q150" s="244">
        <v>0</v>
      </c>
      <c r="R150" s="244">
        <v>27000</v>
      </c>
    </row>
    <row r="151" spans="1:18" ht="12" customHeight="1" x14ac:dyDescent="0.2">
      <c r="A151" s="245"/>
      <c r="B151" s="245"/>
      <c r="C151" s="245"/>
      <c r="D151" s="245"/>
      <c r="E151" s="245"/>
      <c r="G151" s="277" t="s">
        <v>618</v>
      </c>
      <c r="H151" s="277"/>
      <c r="I151" s="273" t="s">
        <v>366</v>
      </c>
      <c r="J151" s="273"/>
      <c r="K151" s="245" t="s">
        <v>410</v>
      </c>
      <c r="L151" s="244">
        <f t="shared" si="10"/>
        <v>1044659900</v>
      </c>
      <c r="M151" s="244">
        <v>934740200</v>
      </c>
      <c r="N151" s="244">
        <v>74047700</v>
      </c>
      <c r="O151" s="244">
        <v>12932200</v>
      </c>
      <c r="P151" s="244">
        <v>22939800</v>
      </c>
      <c r="Q151" s="244">
        <v>0</v>
      </c>
      <c r="R151" s="244">
        <v>3132.72</v>
      </c>
    </row>
    <row r="152" spans="1:18" ht="12" customHeight="1" x14ac:dyDescent="0.2">
      <c r="A152" s="245"/>
      <c r="B152" s="245"/>
      <c r="C152" s="245"/>
      <c r="D152" s="245"/>
      <c r="E152" s="245"/>
      <c r="G152" s="277" t="s">
        <v>618</v>
      </c>
      <c r="H152" s="277"/>
      <c r="I152" s="273" t="s">
        <v>232</v>
      </c>
      <c r="J152" s="273"/>
      <c r="K152" s="245" t="s">
        <v>718</v>
      </c>
      <c r="L152" s="244">
        <f t="shared" si="10"/>
        <v>10851600</v>
      </c>
      <c r="M152" s="244">
        <v>5751600</v>
      </c>
      <c r="N152" s="244">
        <v>0</v>
      </c>
      <c r="O152" s="244">
        <v>5100000</v>
      </c>
      <c r="P152" s="244">
        <v>0</v>
      </c>
      <c r="Q152" s="244">
        <v>0</v>
      </c>
      <c r="R152" s="244">
        <v>70539.149999999994</v>
      </c>
    </row>
    <row r="153" spans="1:18" ht="12" hidden="1" customHeight="1" x14ac:dyDescent="0.2">
      <c r="A153" s="245"/>
      <c r="B153" s="245"/>
      <c r="C153" s="245"/>
      <c r="D153" s="245"/>
      <c r="E153" s="245"/>
      <c r="G153" s="277"/>
      <c r="H153" s="277"/>
      <c r="I153" s="273"/>
      <c r="J153" s="273"/>
      <c r="K153" s="245"/>
    </row>
    <row r="154" spans="1:18" ht="12" hidden="1" customHeight="1" x14ac:dyDescent="0.2">
      <c r="A154" s="245"/>
      <c r="B154" s="245"/>
      <c r="C154" s="245"/>
      <c r="D154" s="245"/>
      <c r="E154" s="245"/>
      <c r="G154" s="277"/>
      <c r="H154" s="277"/>
      <c r="I154" s="273"/>
      <c r="J154" s="273"/>
      <c r="K154" s="245"/>
    </row>
    <row r="155" spans="1:18" ht="12" hidden="1" customHeight="1" x14ac:dyDescent="0.2"/>
    <row r="156" spans="1:18" ht="12" hidden="1" customHeight="1" thickBot="1" x14ac:dyDescent="0.25">
      <c r="A156" s="279"/>
      <c r="B156" s="279"/>
      <c r="C156" s="279"/>
      <c r="D156" s="279"/>
      <c r="E156" s="279"/>
      <c r="F156" s="280"/>
      <c r="G156" s="281"/>
      <c r="H156" s="281"/>
      <c r="I156" s="282"/>
      <c r="J156" s="282"/>
      <c r="K156" s="279"/>
    </row>
    <row r="157" spans="1:18" ht="12" hidden="1" customHeight="1" x14ac:dyDescent="0.2">
      <c r="A157" s="245"/>
      <c r="B157" s="245"/>
      <c r="C157" s="245"/>
      <c r="D157" s="245"/>
      <c r="E157" s="245"/>
      <c r="G157" s="277"/>
      <c r="H157" s="277"/>
      <c r="I157" s="274">
        <v>3</v>
      </c>
      <c r="J157" s="274"/>
      <c r="K157" s="271" t="s">
        <v>719</v>
      </c>
    </row>
    <row r="158" spans="1:18" ht="12" hidden="1" customHeight="1" x14ac:dyDescent="0.2">
      <c r="A158" s="245"/>
      <c r="B158" s="245"/>
      <c r="C158" s="245"/>
      <c r="D158" s="245"/>
      <c r="E158" s="245"/>
      <c r="G158" s="277" t="s">
        <v>618</v>
      </c>
      <c r="H158" s="277"/>
      <c r="I158" s="274" t="s">
        <v>720</v>
      </c>
      <c r="J158" s="274"/>
      <c r="K158" s="271" t="s">
        <v>721</v>
      </c>
    </row>
    <row r="159" spans="1:18" ht="12" hidden="1" customHeight="1" x14ac:dyDescent="0.2">
      <c r="A159" s="245"/>
      <c r="B159" s="245"/>
      <c r="C159" s="245"/>
      <c r="D159" s="245"/>
      <c r="E159" s="245"/>
      <c r="G159" s="277" t="s">
        <v>618</v>
      </c>
      <c r="H159" s="277"/>
      <c r="I159" s="273" t="s">
        <v>722</v>
      </c>
      <c r="J159" s="273"/>
      <c r="K159" s="247" t="s">
        <v>723</v>
      </c>
      <c r="L159" s="244">
        <v>0</v>
      </c>
    </row>
    <row r="160" spans="1:18" ht="12" hidden="1" customHeight="1" x14ac:dyDescent="0.2">
      <c r="A160" s="245"/>
      <c r="B160" s="245"/>
      <c r="C160" s="245"/>
      <c r="D160" s="245"/>
      <c r="E160" s="245"/>
      <c r="G160" s="277" t="s">
        <v>618</v>
      </c>
      <c r="H160" s="277"/>
      <c r="I160" s="273" t="s">
        <v>724</v>
      </c>
      <c r="J160" s="273"/>
      <c r="K160" s="245" t="s">
        <v>725</v>
      </c>
      <c r="L160" s="244">
        <v>0</v>
      </c>
    </row>
    <row r="161" spans="1:18" ht="12" hidden="1" customHeight="1" x14ac:dyDescent="0.2">
      <c r="A161" s="245"/>
      <c r="B161" s="245"/>
      <c r="C161" s="245"/>
      <c r="D161" s="245"/>
      <c r="E161" s="245"/>
      <c r="G161" s="277" t="s">
        <v>618</v>
      </c>
      <c r="H161" s="277"/>
      <c r="I161" s="273" t="s">
        <v>726</v>
      </c>
      <c r="J161" s="273"/>
      <c r="K161" s="247" t="s">
        <v>727</v>
      </c>
      <c r="L161" s="244">
        <v>0</v>
      </c>
    </row>
    <row r="162" spans="1:18" ht="12" hidden="1" customHeight="1" x14ac:dyDescent="0.2">
      <c r="A162" s="245"/>
      <c r="B162" s="245"/>
      <c r="C162" s="245"/>
      <c r="D162" s="245"/>
      <c r="E162" s="245"/>
      <c r="G162" s="277" t="s">
        <v>618</v>
      </c>
      <c r="H162" s="277"/>
      <c r="I162" s="273" t="s">
        <v>728</v>
      </c>
      <c r="J162" s="273"/>
      <c r="K162" s="245" t="s">
        <v>729</v>
      </c>
      <c r="L162" s="244">
        <v>0</v>
      </c>
    </row>
    <row r="163" spans="1:18" ht="12" hidden="1" customHeight="1" x14ac:dyDescent="0.2">
      <c r="A163" s="245"/>
      <c r="B163" s="245"/>
      <c r="C163" s="245"/>
      <c r="D163" s="245"/>
      <c r="E163" s="245"/>
      <c r="G163" s="277"/>
      <c r="H163" s="277"/>
      <c r="I163" s="273"/>
      <c r="J163" s="273"/>
      <c r="K163" s="245"/>
      <c r="L163" s="244">
        <v>0</v>
      </c>
    </row>
    <row r="164" spans="1:18" ht="12" hidden="1" customHeight="1" x14ac:dyDescent="0.2">
      <c r="A164" s="245"/>
      <c r="B164" s="245"/>
      <c r="C164" s="245"/>
      <c r="D164" s="245"/>
      <c r="E164" s="245"/>
      <c r="G164" s="274" t="s">
        <v>382</v>
      </c>
      <c r="H164" s="274"/>
      <c r="I164" s="283">
        <v>9</v>
      </c>
      <c r="J164" s="283"/>
      <c r="K164" s="284" t="s">
        <v>58</v>
      </c>
    </row>
    <row r="165" spans="1:18" ht="12" hidden="1" customHeight="1" x14ac:dyDescent="0.2">
      <c r="A165" s="245"/>
      <c r="B165" s="245"/>
      <c r="C165" s="245"/>
      <c r="D165" s="245"/>
      <c r="E165" s="245"/>
      <c r="G165" s="273" t="s">
        <v>618</v>
      </c>
      <c r="H165" s="273"/>
      <c r="I165" s="276" t="s">
        <v>730</v>
      </c>
      <c r="J165" s="276"/>
      <c r="K165" s="284" t="s">
        <v>731</v>
      </c>
    </row>
    <row r="166" spans="1:18" ht="12" hidden="1" customHeight="1" x14ac:dyDescent="0.2">
      <c r="A166" s="245"/>
      <c r="B166" s="245"/>
      <c r="C166" s="245"/>
      <c r="D166" s="245"/>
      <c r="E166" s="245"/>
      <c r="G166" s="273" t="s">
        <v>618</v>
      </c>
      <c r="H166" s="273"/>
      <c r="I166" s="277" t="s">
        <v>732</v>
      </c>
      <c r="J166" s="277"/>
      <c r="K166" s="247" t="s">
        <v>733</v>
      </c>
      <c r="L166" s="244">
        <v>0</v>
      </c>
    </row>
    <row r="167" spans="1:18" ht="12" hidden="1" customHeight="1" x14ac:dyDescent="0.2">
      <c r="A167" s="245"/>
      <c r="B167" s="245"/>
      <c r="C167" s="245"/>
      <c r="D167" s="245"/>
      <c r="E167" s="245"/>
      <c r="G167" s="247"/>
      <c r="H167" s="247"/>
      <c r="I167" s="247"/>
      <c r="J167" s="247"/>
      <c r="K167" s="245"/>
    </row>
    <row r="168" spans="1:18" s="269" customFormat="1" ht="12" hidden="1" customHeight="1" x14ac:dyDescent="0.2">
      <c r="A168" s="262"/>
      <c r="B168" s="262" t="s">
        <v>734</v>
      </c>
      <c r="C168" s="261" t="s">
        <v>735</v>
      </c>
      <c r="D168" s="262"/>
      <c r="E168" s="262"/>
      <c r="F168" s="263"/>
      <c r="G168" s="261" t="s">
        <v>382</v>
      </c>
      <c r="H168" s="261"/>
      <c r="I168" s="261">
        <v>3</v>
      </c>
      <c r="J168" s="261"/>
      <c r="K168" s="264" t="s">
        <v>736</v>
      </c>
      <c r="L168" s="263"/>
      <c r="M168" s="263"/>
      <c r="N168" s="263"/>
      <c r="O168" s="263"/>
      <c r="P168" s="263"/>
      <c r="Q168" s="291"/>
      <c r="R168" s="291"/>
    </row>
    <row r="169" spans="1:18" ht="12" hidden="1" customHeight="1" x14ac:dyDescent="0.2">
      <c r="A169" s="245"/>
      <c r="B169" s="274"/>
      <c r="C169" s="269"/>
      <c r="E169" s="245"/>
      <c r="G169" s="277"/>
      <c r="H169" s="277"/>
      <c r="I169" s="283"/>
      <c r="J169" s="283"/>
      <c r="K169" s="271"/>
    </row>
    <row r="170" spans="1:18" s="269" customFormat="1" ht="12" hidden="1" customHeight="1" x14ac:dyDescent="0.2">
      <c r="A170" s="268"/>
      <c r="B170" s="268"/>
      <c r="C170" s="268" t="s">
        <v>737</v>
      </c>
      <c r="D170" s="285" t="s">
        <v>738</v>
      </c>
      <c r="E170" s="268"/>
      <c r="F170" s="286"/>
      <c r="G170" s="268"/>
      <c r="H170" s="268"/>
      <c r="I170" s="268"/>
      <c r="J170" s="268"/>
      <c r="K170" s="268"/>
      <c r="L170" s="286"/>
      <c r="M170" s="286"/>
      <c r="N170" s="286"/>
      <c r="O170" s="286"/>
      <c r="P170" s="286"/>
      <c r="Q170" s="291"/>
      <c r="R170" s="291"/>
    </row>
    <row r="171" spans="1:18" ht="12" hidden="1" customHeight="1" x14ac:dyDescent="0.2">
      <c r="A171" s="245"/>
      <c r="B171" s="245"/>
      <c r="E171" s="245"/>
      <c r="G171" s="276" t="s">
        <v>737</v>
      </c>
      <c r="H171" s="276"/>
      <c r="I171" s="276" t="s">
        <v>739</v>
      </c>
      <c r="J171" s="276"/>
      <c r="K171" s="271" t="s">
        <v>740</v>
      </c>
    </row>
    <row r="172" spans="1:18" ht="12" hidden="1" customHeight="1" x14ac:dyDescent="0.2">
      <c r="A172" s="245"/>
      <c r="B172" s="245"/>
      <c r="C172" s="245"/>
      <c r="D172" s="245"/>
      <c r="E172" s="245"/>
      <c r="G172" s="277" t="s">
        <v>737</v>
      </c>
      <c r="H172" s="277"/>
      <c r="I172" s="273" t="s">
        <v>741</v>
      </c>
      <c r="J172" s="273"/>
      <c r="K172" s="245" t="s">
        <v>742</v>
      </c>
      <c r="L172" s="244">
        <v>0</v>
      </c>
    </row>
    <row r="173" spans="1:18" ht="12" hidden="1" customHeight="1" x14ac:dyDescent="0.2">
      <c r="A173" s="245"/>
      <c r="B173" s="245"/>
      <c r="C173" s="245"/>
      <c r="D173" s="245"/>
      <c r="E173" s="245"/>
      <c r="G173" s="277" t="s">
        <v>737</v>
      </c>
      <c r="H173" s="277"/>
      <c r="I173" s="273" t="s">
        <v>743</v>
      </c>
      <c r="J173" s="273"/>
      <c r="K173" s="245" t="s">
        <v>744</v>
      </c>
      <c r="L173" s="244">
        <v>0</v>
      </c>
    </row>
    <row r="174" spans="1:18" ht="12" hidden="1" customHeight="1" x14ac:dyDescent="0.2">
      <c r="A174" s="245"/>
      <c r="B174" s="245"/>
      <c r="C174" s="245"/>
      <c r="D174" s="245"/>
      <c r="E174" s="245"/>
      <c r="G174" s="276" t="s">
        <v>737</v>
      </c>
      <c r="H174" s="276"/>
      <c r="I174" s="274" t="s">
        <v>745</v>
      </c>
      <c r="J174" s="274"/>
      <c r="K174" s="271" t="s">
        <v>746</v>
      </c>
      <c r="L174" s="244">
        <v>0</v>
      </c>
    </row>
    <row r="175" spans="1:18" ht="12" hidden="1" customHeight="1" x14ac:dyDescent="0.2">
      <c r="A175" s="245"/>
      <c r="B175" s="245"/>
      <c r="C175" s="245"/>
      <c r="D175" s="245"/>
      <c r="E175" s="245"/>
      <c r="G175" s="277" t="s">
        <v>737</v>
      </c>
      <c r="H175" s="277"/>
      <c r="I175" s="273" t="s">
        <v>747</v>
      </c>
      <c r="J175" s="273"/>
      <c r="K175" s="247" t="s">
        <v>748</v>
      </c>
      <c r="L175" s="244">
        <v>0</v>
      </c>
    </row>
    <row r="176" spans="1:18" ht="12" hidden="1" customHeight="1" x14ac:dyDescent="0.2">
      <c r="A176" s="245"/>
      <c r="B176" s="245"/>
      <c r="C176" s="245"/>
      <c r="D176" s="245"/>
      <c r="E176" s="245"/>
      <c r="G176" s="277" t="s">
        <v>737</v>
      </c>
      <c r="H176" s="277"/>
      <c r="I176" s="273" t="s">
        <v>749</v>
      </c>
      <c r="J176" s="273"/>
      <c r="K176" s="247" t="s">
        <v>750</v>
      </c>
      <c r="L176" s="244">
        <v>0</v>
      </c>
    </row>
    <row r="177" spans="1:18" ht="12" hidden="1" customHeight="1" x14ac:dyDescent="0.2">
      <c r="A177" s="245"/>
      <c r="B177" s="245"/>
      <c r="C177" s="245"/>
      <c r="D177" s="245"/>
      <c r="E177" s="245"/>
      <c r="G177" s="277" t="s">
        <v>737</v>
      </c>
      <c r="H177" s="277"/>
      <c r="I177" s="273" t="s">
        <v>751</v>
      </c>
      <c r="J177" s="273"/>
      <c r="K177" s="247" t="s">
        <v>752</v>
      </c>
      <c r="L177" s="244">
        <v>0</v>
      </c>
    </row>
    <row r="178" spans="1:18" ht="12" hidden="1" customHeight="1" x14ac:dyDescent="0.2">
      <c r="A178" s="245"/>
      <c r="B178" s="245"/>
      <c r="C178" s="245"/>
      <c r="D178" s="245"/>
      <c r="E178" s="245"/>
      <c r="G178" s="277" t="s">
        <v>737</v>
      </c>
      <c r="H178" s="277"/>
      <c r="I178" s="273" t="s">
        <v>753</v>
      </c>
      <c r="J178" s="273"/>
      <c r="K178" s="247" t="s">
        <v>754</v>
      </c>
      <c r="L178" s="244">
        <v>0</v>
      </c>
    </row>
    <row r="179" spans="1:18" ht="12" hidden="1" customHeight="1" x14ac:dyDescent="0.2">
      <c r="A179" s="245"/>
      <c r="B179" s="245"/>
      <c r="C179" s="245"/>
      <c r="D179" s="245"/>
      <c r="E179" s="245"/>
      <c r="G179" s="277" t="s">
        <v>737</v>
      </c>
      <c r="H179" s="277"/>
      <c r="I179" s="273" t="s">
        <v>755</v>
      </c>
      <c r="J179" s="273"/>
      <c r="K179" s="247" t="s">
        <v>756</v>
      </c>
      <c r="L179" s="244">
        <v>0</v>
      </c>
    </row>
    <row r="180" spans="1:18" ht="12" hidden="1" customHeight="1" x14ac:dyDescent="0.2">
      <c r="A180" s="245"/>
      <c r="B180" s="245"/>
      <c r="C180" s="245"/>
      <c r="D180" s="245"/>
      <c r="E180" s="245"/>
      <c r="G180" s="277" t="s">
        <v>737</v>
      </c>
      <c r="H180" s="277"/>
      <c r="I180" s="273" t="s">
        <v>757</v>
      </c>
      <c r="J180" s="273"/>
      <c r="K180" s="247" t="s">
        <v>758</v>
      </c>
      <c r="L180" s="244">
        <v>0</v>
      </c>
    </row>
    <row r="181" spans="1:18" ht="12" hidden="1" customHeight="1" x14ac:dyDescent="0.2">
      <c r="A181" s="245"/>
      <c r="B181" s="245"/>
      <c r="C181" s="245"/>
      <c r="D181" s="245"/>
      <c r="E181" s="245"/>
      <c r="G181" s="277" t="s">
        <v>737</v>
      </c>
      <c r="H181" s="277"/>
      <c r="I181" s="273" t="s">
        <v>759</v>
      </c>
      <c r="J181" s="273"/>
      <c r="K181" s="247" t="s">
        <v>760</v>
      </c>
      <c r="L181" s="244">
        <v>0</v>
      </c>
    </row>
    <row r="182" spans="1:18" ht="12" hidden="1" customHeight="1" x14ac:dyDescent="0.2">
      <c r="A182" s="245"/>
      <c r="B182" s="245"/>
      <c r="C182" s="245"/>
      <c r="D182" s="245"/>
      <c r="E182" s="245"/>
      <c r="G182" s="277" t="s">
        <v>737</v>
      </c>
      <c r="H182" s="277"/>
      <c r="I182" s="274" t="s">
        <v>761</v>
      </c>
      <c r="J182" s="274"/>
      <c r="K182" s="284" t="s">
        <v>762</v>
      </c>
      <c r="L182" s="244">
        <v>0</v>
      </c>
    </row>
    <row r="183" spans="1:18" ht="14.25" hidden="1" customHeight="1" x14ac:dyDescent="0.2">
      <c r="A183" s="245"/>
      <c r="B183" s="245"/>
      <c r="C183" s="245"/>
      <c r="D183" s="245"/>
      <c r="E183" s="245"/>
      <c r="G183" s="277" t="s">
        <v>737</v>
      </c>
      <c r="H183" s="277"/>
      <c r="I183" s="273" t="s">
        <v>763</v>
      </c>
      <c r="J183" s="273"/>
      <c r="K183" s="247" t="s">
        <v>764</v>
      </c>
      <c r="L183" s="244">
        <v>0</v>
      </c>
    </row>
    <row r="184" spans="1:18" ht="12" hidden="1" customHeight="1" x14ac:dyDescent="0.2">
      <c r="A184" s="245"/>
      <c r="B184" s="245"/>
      <c r="C184" s="245"/>
      <c r="D184" s="245"/>
      <c r="E184" s="245"/>
      <c r="G184" s="277" t="s">
        <v>737</v>
      </c>
      <c r="H184" s="277"/>
      <c r="I184" s="273" t="s">
        <v>765</v>
      </c>
      <c r="J184" s="273"/>
      <c r="K184" s="247" t="s">
        <v>766</v>
      </c>
      <c r="L184" s="244">
        <v>0</v>
      </c>
    </row>
    <row r="185" spans="1:18" ht="12" hidden="1" customHeight="1" x14ac:dyDescent="0.2">
      <c r="A185" s="245"/>
      <c r="B185" s="245"/>
      <c r="C185" s="245"/>
      <c r="D185" s="245"/>
      <c r="E185" s="245"/>
      <c r="G185" s="277" t="s">
        <v>737</v>
      </c>
      <c r="H185" s="277"/>
      <c r="I185" s="274" t="s">
        <v>720</v>
      </c>
      <c r="J185" s="274"/>
      <c r="K185" s="284" t="s">
        <v>721</v>
      </c>
      <c r="L185" s="244">
        <v>0</v>
      </c>
    </row>
    <row r="186" spans="1:18" ht="12" hidden="1" customHeight="1" x14ac:dyDescent="0.2">
      <c r="A186" s="245"/>
      <c r="B186" s="245"/>
      <c r="C186" s="245"/>
      <c r="D186" s="245"/>
      <c r="E186" s="245"/>
      <c r="G186" s="277" t="s">
        <v>737</v>
      </c>
      <c r="H186" s="277"/>
      <c r="I186" s="273" t="s">
        <v>767</v>
      </c>
      <c r="J186" s="273"/>
      <c r="K186" s="247" t="s">
        <v>768</v>
      </c>
      <c r="L186" s="244">
        <v>0</v>
      </c>
    </row>
    <row r="187" spans="1:18" ht="12" hidden="1" customHeight="1" x14ac:dyDescent="0.2">
      <c r="A187" s="245"/>
      <c r="B187" s="245"/>
      <c r="C187" s="245"/>
      <c r="D187" s="245"/>
      <c r="E187" s="245"/>
      <c r="G187" s="277"/>
      <c r="H187" s="277"/>
      <c r="I187" s="273"/>
      <c r="J187" s="273"/>
      <c r="K187" s="247"/>
      <c r="L187" s="244">
        <v>0</v>
      </c>
    </row>
    <row r="188" spans="1:18" s="269" customFormat="1" ht="12" hidden="1" customHeight="1" x14ac:dyDescent="0.2">
      <c r="A188" s="268"/>
      <c r="B188" s="268"/>
      <c r="C188" s="268" t="s">
        <v>769</v>
      </c>
      <c r="D188" s="285" t="s">
        <v>770</v>
      </c>
      <c r="E188" s="268"/>
      <c r="F188" s="286"/>
      <c r="G188" s="268" t="s">
        <v>382</v>
      </c>
      <c r="H188" s="268"/>
      <c r="I188" s="268"/>
      <c r="J188" s="268"/>
      <c r="K188" s="268"/>
      <c r="L188" s="286"/>
      <c r="M188" s="286"/>
      <c r="N188" s="286"/>
      <c r="O188" s="286"/>
      <c r="P188" s="286"/>
      <c r="Q188" s="291"/>
      <c r="R188" s="291"/>
    </row>
    <row r="189" spans="1:18" ht="12" hidden="1" customHeight="1" x14ac:dyDescent="0.2">
      <c r="A189" s="245"/>
      <c r="B189" s="245"/>
      <c r="C189" s="245"/>
      <c r="D189" s="245"/>
      <c r="E189" s="245"/>
      <c r="G189" s="276" t="s">
        <v>771</v>
      </c>
      <c r="H189" s="276"/>
      <c r="I189" s="276" t="s">
        <v>739</v>
      </c>
      <c r="J189" s="276"/>
      <c r="K189" s="271" t="s">
        <v>740</v>
      </c>
    </row>
    <row r="190" spans="1:18" ht="12" hidden="1" customHeight="1" x14ac:dyDescent="0.2">
      <c r="A190" s="245"/>
      <c r="B190" s="245"/>
      <c r="C190" s="245"/>
      <c r="D190" s="245"/>
      <c r="E190" s="245"/>
      <c r="G190" s="277" t="s">
        <v>771</v>
      </c>
      <c r="H190" s="277"/>
      <c r="I190" s="273" t="s">
        <v>772</v>
      </c>
      <c r="J190" s="273"/>
      <c r="K190" s="245" t="s">
        <v>773</v>
      </c>
      <c r="L190" s="244">
        <v>0</v>
      </c>
    </row>
    <row r="191" spans="1:18" ht="12" hidden="1" customHeight="1" x14ac:dyDescent="0.2">
      <c r="A191" s="245"/>
      <c r="B191" s="245"/>
      <c r="C191" s="245"/>
      <c r="D191" s="245" t="s">
        <v>382</v>
      </c>
      <c r="E191" s="245"/>
      <c r="G191" s="277" t="s">
        <v>771</v>
      </c>
      <c r="H191" s="277"/>
      <c r="I191" s="273" t="s">
        <v>774</v>
      </c>
      <c r="J191" s="273"/>
      <c r="K191" s="245" t="s">
        <v>775</v>
      </c>
      <c r="L191" s="244">
        <v>0</v>
      </c>
    </row>
    <row r="192" spans="1:18" ht="12" hidden="1" customHeight="1" x14ac:dyDescent="0.2">
      <c r="A192" s="245"/>
      <c r="B192" s="245"/>
      <c r="C192" s="245"/>
      <c r="D192" s="245"/>
      <c r="E192" s="245"/>
      <c r="G192" s="276" t="s">
        <v>771</v>
      </c>
      <c r="H192" s="276"/>
      <c r="I192" s="274" t="s">
        <v>745</v>
      </c>
      <c r="J192" s="274"/>
      <c r="K192" s="271" t="s">
        <v>746</v>
      </c>
    </row>
    <row r="193" spans="1:18" ht="12" hidden="1" customHeight="1" x14ac:dyDescent="0.2">
      <c r="A193" s="245"/>
      <c r="B193" s="245"/>
      <c r="C193" s="245"/>
      <c r="D193" s="245"/>
      <c r="E193" s="245"/>
      <c r="G193" s="277" t="s">
        <v>771</v>
      </c>
      <c r="H193" s="277"/>
      <c r="I193" s="273" t="s">
        <v>776</v>
      </c>
      <c r="J193" s="273"/>
      <c r="K193" s="247" t="s">
        <v>777</v>
      </c>
      <c r="L193" s="244">
        <v>0</v>
      </c>
    </row>
    <row r="194" spans="1:18" ht="12" hidden="1" customHeight="1" x14ac:dyDescent="0.2">
      <c r="A194" s="245"/>
      <c r="B194" s="245"/>
      <c r="C194" s="245"/>
      <c r="D194" s="245"/>
      <c r="E194" s="245" t="s">
        <v>382</v>
      </c>
      <c r="G194" s="276" t="s">
        <v>771</v>
      </c>
      <c r="H194" s="276"/>
      <c r="I194" s="274" t="s">
        <v>761</v>
      </c>
      <c r="J194" s="274"/>
      <c r="K194" s="284" t="s">
        <v>762</v>
      </c>
    </row>
    <row r="195" spans="1:18" ht="12" hidden="1" customHeight="1" x14ac:dyDescent="0.2">
      <c r="A195" s="245"/>
      <c r="B195" s="245"/>
      <c r="C195" s="245"/>
      <c r="D195" s="245"/>
      <c r="E195" s="245"/>
      <c r="G195" s="277" t="s">
        <v>771</v>
      </c>
      <c r="H195" s="277"/>
      <c r="I195" s="273" t="s">
        <v>763</v>
      </c>
      <c r="J195" s="273"/>
      <c r="K195" s="247" t="s">
        <v>764</v>
      </c>
      <c r="L195" s="244">
        <v>0</v>
      </c>
    </row>
    <row r="196" spans="1:18" ht="12" hidden="1" customHeight="1" x14ac:dyDescent="0.2">
      <c r="A196" s="245"/>
      <c r="B196" s="245"/>
      <c r="C196" s="245"/>
      <c r="D196" s="245"/>
      <c r="E196" s="245"/>
      <c r="G196" s="277" t="s">
        <v>771</v>
      </c>
      <c r="H196" s="277"/>
      <c r="I196" s="273" t="s">
        <v>765</v>
      </c>
      <c r="J196" s="273"/>
      <c r="K196" s="247" t="s">
        <v>766</v>
      </c>
      <c r="L196" s="244">
        <v>0</v>
      </c>
    </row>
    <row r="197" spans="1:18" ht="12" customHeight="1" x14ac:dyDescent="0.2">
      <c r="G197" s="259"/>
      <c r="H197" s="259"/>
      <c r="I197" s="259"/>
      <c r="J197" s="259"/>
    </row>
    <row r="198" spans="1:18" s="269" customFormat="1" ht="12" customHeight="1" x14ac:dyDescent="0.2">
      <c r="A198" s="262"/>
      <c r="B198" s="261" t="s">
        <v>778</v>
      </c>
      <c r="C198" s="261" t="s">
        <v>20</v>
      </c>
      <c r="D198" s="262"/>
      <c r="E198" s="262"/>
      <c r="F198" s="263"/>
      <c r="G198" s="261" t="s">
        <v>778</v>
      </c>
      <c r="H198" s="261"/>
      <c r="I198" s="261">
        <v>6</v>
      </c>
      <c r="J198" s="261"/>
      <c r="K198" s="264" t="s">
        <v>20</v>
      </c>
      <c r="L198" s="263" t="e">
        <f>+L200+L216+L239+L235</f>
        <v>#REF!</v>
      </c>
      <c r="M198" s="263" t="e">
        <f>+M200+M216+M239+M235</f>
        <v>#REF!</v>
      </c>
      <c r="N198" s="263">
        <f>+N200+N216+N239+N235</f>
        <v>1836600</v>
      </c>
      <c r="O198" s="263" t="e">
        <f>+O200+O216+O239+O235</f>
        <v>#REF!</v>
      </c>
      <c r="P198" s="263">
        <f>+P200+P216+P239+P235</f>
        <v>0</v>
      </c>
      <c r="Q198" s="263">
        <v>573503737.65999997</v>
      </c>
      <c r="R198" s="263">
        <v>549206499.80999994</v>
      </c>
    </row>
    <row r="199" spans="1:18" ht="12" customHeight="1" x14ac:dyDescent="0.2">
      <c r="A199" s="245"/>
      <c r="B199" s="245"/>
      <c r="C199" s="245"/>
      <c r="D199" s="245"/>
      <c r="E199" s="245"/>
      <c r="G199" s="247"/>
      <c r="H199" s="247"/>
      <c r="I199" s="277"/>
      <c r="J199" s="277"/>
      <c r="K199" s="245"/>
    </row>
    <row r="200" spans="1:18" s="269" customFormat="1" ht="12" customHeight="1" x14ac:dyDescent="0.2">
      <c r="A200" s="265"/>
      <c r="B200" s="265"/>
      <c r="C200" s="266" t="s">
        <v>779</v>
      </c>
      <c r="D200" s="1574" t="s">
        <v>780</v>
      </c>
      <c r="E200" s="1574"/>
      <c r="F200" s="267"/>
      <c r="G200" s="266" t="s">
        <v>779</v>
      </c>
      <c r="H200" s="265"/>
      <c r="I200" s="265" t="s">
        <v>262</v>
      </c>
      <c r="J200" s="265"/>
      <c r="K200" s="265" t="s">
        <v>781</v>
      </c>
      <c r="L200" s="267" t="e">
        <f>+L201+L202+L210</f>
        <v>#REF!</v>
      </c>
      <c r="M200" s="267" t="e">
        <f>+M201+M202+M210</f>
        <v>#REF!</v>
      </c>
      <c r="N200" s="267">
        <f>+N201+N202+N210</f>
        <v>1836600</v>
      </c>
      <c r="O200" s="267" t="e">
        <f>+O201+O202+O210</f>
        <v>#REF!</v>
      </c>
      <c r="P200" s="267">
        <f>+P201+P202+P210</f>
        <v>0</v>
      </c>
      <c r="Q200" s="267">
        <v>423305007</v>
      </c>
      <c r="R200" s="267">
        <v>467808613</v>
      </c>
    </row>
    <row r="201" spans="1:18" ht="12" customHeight="1" x14ac:dyDescent="0.2">
      <c r="A201" s="245"/>
      <c r="B201" s="245"/>
      <c r="C201" s="273"/>
      <c r="D201" s="245"/>
      <c r="E201" s="245"/>
      <c r="G201" s="273" t="s">
        <v>779</v>
      </c>
      <c r="H201" s="273"/>
      <c r="I201" s="273" t="s">
        <v>353</v>
      </c>
      <c r="J201" s="273"/>
      <c r="K201" s="247" t="s">
        <v>413</v>
      </c>
      <c r="L201" s="244">
        <f>SUM(M201:P201)</f>
        <v>781380</v>
      </c>
      <c r="M201" s="244">
        <v>781380</v>
      </c>
      <c r="N201" s="244">
        <v>0</v>
      </c>
      <c r="O201" s="244">
        <v>0</v>
      </c>
      <c r="P201" s="244">
        <v>0</v>
      </c>
      <c r="Q201" s="244">
        <v>421985007</v>
      </c>
      <c r="R201" s="244">
        <v>456375578</v>
      </c>
    </row>
    <row r="202" spans="1:18" ht="12" customHeight="1" x14ac:dyDescent="0.2">
      <c r="A202" s="245"/>
      <c r="B202" s="245"/>
      <c r="C202" s="273"/>
      <c r="D202" s="245"/>
      <c r="E202" s="245"/>
      <c r="G202" s="273" t="s">
        <v>779</v>
      </c>
      <c r="H202" s="273"/>
      <c r="I202" s="273" t="s">
        <v>263</v>
      </c>
      <c r="J202" s="273"/>
      <c r="K202" s="247" t="s">
        <v>782</v>
      </c>
      <c r="L202" s="244">
        <f>SUM(M202:P202)</f>
        <v>4634500</v>
      </c>
      <c r="M202" s="244">
        <v>0</v>
      </c>
      <c r="N202" s="244">
        <v>1836600</v>
      </c>
      <c r="O202" s="244">
        <v>2797900</v>
      </c>
      <c r="P202" s="244">
        <v>0</v>
      </c>
      <c r="R202" s="244">
        <v>9934821</v>
      </c>
    </row>
    <row r="203" spans="1:18" ht="12" hidden="1" customHeight="1" x14ac:dyDescent="0.2">
      <c r="A203" s="245"/>
      <c r="B203" s="245"/>
      <c r="C203" s="273"/>
      <c r="D203" s="245"/>
      <c r="E203" s="245"/>
      <c r="G203" s="273" t="s">
        <v>779</v>
      </c>
      <c r="H203" s="273"/>
      <c r="I203" s="273" t="s">
        <v>783</v>
      </c>
      <c r="J203" s="273"/>
      <c r="K203" s="247" t="s">
        <v>784</v>
      </c>
      <c r="L203" s="244">
        <v>0</v>
      </c>
    </row>
    <row r="204" spans="1:18" ht="12" hidden="1" customHeight="1" x14ac:dyDescent="0.2">
      <c r="A204" s="245"/>
      <c r="B204" s="245"/>
      <c r="C204" s="273"/>
      <c r="D204" s="245"/>
      <c r="E204" s="245"/>
      <c r="G204" s="273" t="s">
        <v>779</v>
      </c>
      <c r="H204" s="273"/>
      <c r="I204" s="273" t="s">
        <v>785</v>
      </c>
      <c r="J204" s="273"/>
      <c r="K204" s="247" t="s">
        <v>786</v>
      </c>
      <c r="L204" s="244">
        <v>0</v>
      </c>
    </row>
    <row r="205" spans="1:18" ht="12" hidden="1" customHeight="1" x14ac:dyDescent="0.2">
      <c r="A205" s="245"/>
      <c r="B205" s="245"/>
      <c r="C205" s="273"/>
      <c r="D205" s="245"/>
      <c r="E205" s="245"/>
      <c r="G205" s="273" t="s">
        <v>779</v>
      </c>
      <c r="H205" s="273"/>
      <c r="I205" s="273" t="s">
        <v>787</v>
      </c>
      <c r="J205" s="273"/>
      <c r="K205" s="247" t="s">
        <v>788</v>
      </c>
      <c r="L205" s="244">
        <v>0</v>
      </c>
    </row>
    <row r="206" spans="1:18" ht="12" hidden="1" customHeight="1" x14ac:dyDescent="0.2">
      <c r="A206" s="245"/>
      <c r="B206" s="245"/>
      <c r="C206" s="273"/>
      <c r="D206" s="245"/>
      <c r="E206" s="245"/>
      <c r="G206" s="273" t="s">
        <v>779</v>
      </c>
      <c r="H206" s="273"/>
      <c r="I206" s="273" t="s">
        <v>789</v>
      </c>
      <c r="J206" s="273"/>
      <c r="K206" s="247" t="s">
        <v>790</v>
      </c>
      <c r="L206" s="244">
        <v>0</v>
      </c>
    </row>
    <row r="207" spans="1:18" ht="12" hidden="1" customHeight="1" x14ac:dyDescent="0.2">
      <c r="A207" s="245"/>
      <c r="B207" s="245"/>
      <c r="C207" s="273"/>
      <c r="D207" s="245"/>
      <c r="E207" s="245"/>
      <c r="G207" s="273" t="s">
        <v>779</v>
      </c>
      <c r="H207" s="273"/>
      <c r="I207" s="273" t="s">
        <v>791</v>
      </c>
      <c r="J207" s="273"/>
      <c r="K207" s="247" t="s">
        <v>792</v>
      </c>
      <c r="L207" s="244">
        <v>0</v>
      </c>
    </row>
    <row r="208" spans="1:18" ht="12" hidden="1" customHeight="1" x14ac:dyDescent="0.2">
      <c r="A208" s="245"/>
      <c r="B208" s="245"/>
      <c r="C208" s="273"/>
      <c r="D208" s="245"/>
      <c r="E208" s="245"/>
      <c r="G208" s="273" t="s">
        <v>779</v>
      </c>
      <c r="H208" s="273"/>
      <c r="I208" s="273" t="s">
        <v>793</v>
      </c>
      <c r="J208" s="273"/>
      <c r="K208" s="247" t="s">
        <v>794</v>
      </c>
      <c r="L208" s="244">
        <v>0</v>
      </c>
    </row>
    <row r="209" spans="1:18" ht="12" hidden="1" customHeight="1" x14ac:dyDescent="0.2">
      <c r="A209" s="245"/>
      <c r="B209" s="245"/>
      <c r="C209" s="273"/>
      <c r="D209" s="245"/>
      <c r="E209" s="245"/>
      <c r="G209" s="273" t="s">
        <v>779</v>
      </c>
      <c r="H209" s="273"/>
      <c r="I209" s="273" t="s">
        <v>795</v>
      </c>
      <c r="J209" s="273"/>
      <c r="K209" s="247" t="s">
        <v>796</v>
      </c>
      <c r="L209" s="244">
        <v>0</v>
      </c>
    </row>
    <row r="210" spans="1:18" ht="12" customHeight="1" x14ac:dyDescent="0.2">
      <c r="A210" s="245"/>
      <c r="B210" s="245"/>
      <c r="C210" s="273"/>
      <c r="D210" s="245"/>
      <c r="E210" s="245"/>
      <c r="G210" s="274" t="s">
        <v>779</v>
      </c>
      <c r="H210" s="274"/>
      <c r="I210" s="274" t="s">
        <v>404</v>
      </c>
      <c r="J210" s="274"/>
      <c r="K210" s="271" t="s">
        <v>405</v>
      </c>
      <c r="L210" s="272" t="e">
        <f>+L214</f>
        <v>#REF!</v>
      </c>
      <c r="M210" s="272" t="e">
        <f>+M214</f>
        <v>#REF!</v>
      </c>
      <c r="N210" s="272">
        <f>+N214</f>
        <v>0</v>
      </c>
      <c r="O210" s="272" t="e">
        <f>+O214</f>
        <v>#REF!</v>
      </c>
      <c r="P210" s="272">
        <f>+P214</f>
        <v>0</v>
      </c>
      <c r="Q210" s="272">
        <v>1320000</v>
      </c>
      <c r="R210" s="272">
        <v>1498214</v>
      </c>
    </row>
    <row r="211" spans="1:18" ht="12" hidden="1" customHeight="1" x14ac:dyDescent="0.2">
      <c r="A211" s="245"/>
      <c r="B211" s="245"/>
      <c r="C211" s="273"/>
      <c r="D211" s="245"/>
      <c r="E211" s="245"/>
      <c r="G211" s="273" t="s">
        <v>779</v>
      </c>
      <c r="H211" s="273"/>
      <c r="I211" s="273" t="s">
        <v>797</v>
      </c>
      <c r="J211" s="273"/>
      <c r="K211" s="245" t="s">
        <v>798</v>
      </c>
      <c r="L211" s="244">
        <v>0</v>
      </c>
    </row>
    <row r="212" spans="1:18" ht="12" hidden="1" customHeight="1" x14ac:dyDescent="0.2">
      <c r="A212" s="245"/>
      <c r="B212" s="245"/>
      <c r="C212" s="273"/>
      <c r="D212" s="245"/>
      <c r="E212" s="245"/>
      <c r="G212" s="273" t="s">
        <v>779</v>
      </c>
      <c r="H212" s="273"/>
      <c r="I212" s="273" t="s">
        <v>799</v>
      </c>
      <c r="J212" s="273"/>
      <c r="K212" s="245" t="s">
        <v>800</v>
      </c>
      <c r="L212" s="244">
        <v>0</v>
      </c>
    </row>
    <row r="213" spans="1:18" ht="12" hidden="1" customHeight="1" x14ac:dyDescent="0.2">
      <c r="A213" s="245"/>
      <c r="B213" s="245"/>
      <c r="C213" s="245"/>
      <c r="D213" s="245"/>
      <c r="E213" s="245"/>
      <c r="G213" s="273" t="s">
        <v>779</v>
      </c>
      <c r="H213" s="273"/>
      <c r="I213" s="273" t="s">
        <v>801</v>
      </c>
      <c r="J213" s="273"/>
      <c r="K213" s="245" t="s">
        <v>802</v>
      </c>
      <c r="L213" s="244">
        <v>0</v>
      </c>
    </row>
    <row r="214" spans="1:18" ht="12" customHeight="1" x14ac:dyDescent="0.2">
      <c r="A214" s="245"/>
      <c r="B214" s="245"/>
      <c r="C214" s="245"/>
      <c r="D214" s="245"/>
      <c r="E214" s="245"/>
      <c r="G214" s="273" t="s">
        <v>779</v>
      </c>
      <c r="H214" s="273"/>
      <c r="I214" s="273" t="s">
        <v>406</v>
      </c>
      <c r="J214" s="273"/>
      <c r="K214" s="245" t="s">
        <v>407</v>
      </c>
      <c r="L214" s="244" t="e">
        <f>SUM(M214:P214)</f>
        <v>#REF!</v>
      </c>
      <c r="M214" s="244" t="e">
        <v>#REF!</v>
      </c>
      <c r="O214" s="244" t="e">
        <v>#REF!</v>
      </c>
      <c r="Q214" s="244">
        <v>1320000</v>
      </c>
      <c r="R214" s="244">
        <v>1498214</v>
      </c>
    </row>
    <row r="215" spans="1:18" ht="12" customHeight="1" x14ac:dyDescent="0.2">
      <c r="A215" s="245"/>
      <c r="B215" s="245"/>
      <c r="C215" s="273"/>
      <c r="D215" s="245"/>
      <c r="E215" s="245"/>
      <c r="G215" s="273"/>
      <c r="H215" s="273"/>
      <c r="I215" s="273"/>
      <c r="J215" s="273"/>
      <c r="K215" s="245"/>
    </row>
    <row r="216" spans="1:18" s="269" customFormat="1" ht="12" customHeight="1" x14ac:dyDescent="0.2">
      <c r="A216" s="265"/>
      <c r="B216" s="265"/>
      <c r="C216" s="266" t="s">
        <v>803</v>
      </c>
      <c r="D216" s="1574" t="s">
        <v>804</v>
      </c>
      <c r="E216" s="1574"/>
      <c r="F216" s="267"/>
      <c r="G216" s="266" t="s">
        <v>803</v>
      </c>
      <c r="H216" s="265"/>
      <c r="I216" s="265" t="s">
        <v>805</v>
      </c>
      <c r="J216" s="265"/>
      <c r="K216" s="265" t="s">
        <v>806</v>
      </c>
      <c r="L216" s="267">
        <f>+L217+L218+L219+L220+L221</f>
        <v>460000</v>
      </c>
      <c r="M216" s="267">
        <f>+M217+M218+M219+M220+M221</f>
        <v>250000</v>
      </c>
      <c r="N216" s="267">
        <f>+N217+N218+N219+N220+N221</f>
        <v>0</v>
      </c>
      <c r="O216" s="267">
        <f>+O217+O218+O219+O220+O221</f>
        <v>210000</v>
      </c>
      <c r="P216" s="267">
        <f>+P217+P218+P219+P220+P221</f>
        <v>0</v>
      </c>
      <c r="Q216" s="267">
        <v>150198730.66</v>
      </c>
      <c r="R216" s="267">
        <v>81397886.809999987</v>
      </c>
    </row>
    <row r="217" spans="1:18" ht="12" hidden="1" customHeight="1" x14ac:dyDescent="0.2">
      <c r="A217" s="245"/>
      <c r="B217" s="245"/>
      <c r="C217" s="273"/>
      <c r="D217" s="245" t="s">
        <v>382</v>
      </c>
      <c r="E217" s="245"/>
      <c r="G217" s="277" t="s">
        <v>803</v>
      </c>
      <c r="H217" s="277"/>
      <c r="I217" s="277" t="s">
        <v>807</v>
      </c>
      <c r="J217" s="277"/>
      <c r="K217" s="245" t="s">
        <v>808</v>
      </c>
      <c r="L217" s="244">
        <v>0</v>
      </c>
      <c r="M217" s="244">
        <v>0</v>
      </c>
      <c r="N217" s="244">
        <v>0</v>
      </c>
      <c r="O217" s="244">
        <v>0</v>
      </c>
      <c r="P217" s="244">
        <v>0</v>
      </c>
      <c r="Q217" s="267">
        <v>74599365.329999998</v>
      </c>
      <c r="R217" s="244">
        <v>0</v>
      </c>
    </row>
    <row r="218" spans="1:18" ht="12" hidden="1" customHeight="1" x14ac:dyDescent="0.2">
      <c r="A218" s="245"/>
      <c r="B218" s="245"/>
      <c r="C218" s="273"/>
      <c r="D218" s="245"/>
      <c r="E218" s="245"/>
      <c r="G218" s="277" t="s">
        <v>803</v>
      </c>
      <c r="H218" s="277"/>
      <c r="I218" s="277" t="s">
        <v>809</v>
      </c>
      <c r="J218" s="277"/>
      <c r="K218" s="245" t="s">
        <v>810</v>
      </c>
      <c r="L218" s="244">
        <v>0</v>
      </c>
      <c r="M218" s="244">
        <v>0</v>
      </c>
      <c r="N218" s="244">
        <v>0</v>
      </c>
      <c r="O218" s="244">
        <v>0</v>
      </c>
      <c r="P218" s="244">
        <v>0</v>
      </c>
    </row>
    <row r="219" spans="1:18" ht="12" hidden="1" customHeight="1" x14ac:dyDescent="0.2">
      <c r="A219" s="245"/>
      <c r="B219" s="245"/>
      <c r="C219" s="273"/>
      <c r="D219" s="245"/>
      <c r="E219" s="245"/>
      <c r="G219" s="277" t="s">
        <v>803</v>
      </c>
      <c r="H219" s="277"/>
      <c r="I219" s="277" t="s">
        <v>811</v>
      </c>
      <c r="J219" s="277"/>
      <c r="K219" s="245" t="s">
        <v>812</v>
      </c>
      <c r="L219" s="244">
        <v>0</v>
      </c>
      <c r="M219" s="244">
        <v>0</v>
      </c>
      <c r="N219" s="244">
        <v>0</v>
      </c>
      <c r="O219" s="244">
        <v>0</v>
      </c>
      <c r="P219" s="244">
        <v>0</v>
      </c>
    </row>
    <row r="220" spans="1:18" ht="12" hidden="1" customHeight="1" x14ac:dyDescent="0.2">
      <c r="A220" s="245"/>
      <c r="B220" s="245"/>
      <c r="C220" s="273"/>
      <c r="D220" s="245"/>
      <c r="E220" s="245"/>
      <c r="G220" s="277" t="s">
        <v>803</v>
      </c>
      <c r="H220" s="277"/>
      <c r="I220" s="277" t="s">
        <v>813</v>
      </c>
      <c r="J220" s="277"/>
      <c r="K220" s="245" t="s">
        <v>814</v>
      </c>
      <c r="L220" s="244">
        <v>0</v>
      </c>
      <c r="M220" s="244">
        <v>0</v>
      </c>
      <c r="N220" s="244">
        <v>0</v>
      </c>
      <c r="O220" s="244">
        <v>0</v>
      </c>
      <c r="P220" s="244">
        <v>0</v>
      </c>
    </row>
    <row r="221" spans="1:18" ht="12" customHeight="1" x14ac:dyDescent="0.2">
      <c r="A221" s="245"/>
      <c r="B221" s="245"/>
      <c r="C221" s="273"/>
      <c r="D221" s="245"/>
      <c r="E221" s="245"/>
      <c r="G221" s="277" t="s">
        <v>803</v>
      </c>
      <c r="H221" s="277"/>
      <c r="I221" s="276" t="s">
        <v>264</v>
      </c>
      <c r="J221" s="276"/>
      <c r="K221" s="271" t="s">
        <v>815</v>
      </c>
      <c r="L221" s="272">
        <f>+L222+L223+L224+L225</f>
        <v>460000</v>
      </c>
      <c r="M221" s="272">
        <f>+M222+M223+M224+M225</f>
        <v>250000</v>
      </c>
      <c r="N221" s="272">
        <f>+N222+N223+N224+N225</f>
        <v>0</v>
      </c>
      <c r="O221" s="272">
        <f>+O222+O223+O224+O225</f>
        <v>210000</v>
      </c>
      <c r="P221" s="272">
        <f>+P222+P223+P224+P225</f>
        <v>0</v>
      </c>
      <c r="Q221" s="272">
        <v>73869666.819999993</v>
      </c>
      <c r="R221" s="272">
        <v>78755372.349999994</v>
      </c>
    </row>
    <row r="222" spans="1:18" ht="12" customHeight="1" x14ac:dyDescent="0.2">
      <c r="A222" s="245"/>
      <c r="B222" s="245"/>
      <c r="C222" s="273"/>
      <c r="D222" s="245"/>
      <c r="E222" s="245"/>
      <c r="G222" s="277" t="s">
        <v>803</v>
      </c>
      <c r="H222" s="277"/>
      <c r="I222" s="277" t="s">
        <v>345</v>
      </c>
      <c r="J222" s="277"/>
      <c r="K222" s="245" t="s">
        <v>816</v>
      </c>
      <c r="L222" s="244">
        <f>SUM(M222:P222)</f>
        <v>460000</v>
      </c>
      <c r="M222" s="244">
        <v>250000</v>
      </c>
      <c r="N222" s="244">
        <v>0</v>
      </c>
      <c r="O222" s="244">
        <v>210000</v>
      </c>
      <c r="P222" s="244">
        <v>0</v>
      </c>
      <c r="Q222" s="244">
        <v>73869666.819999993</v>
      </c>
      <c r="R222" s="244">
        <v>78755372.349999994</v>
      </c>
    </row>
    <row r="223" spans="1:18" ht="12" hidden="1" customHeight="1" x14ac:dyDescent="0.2">
      <c r="A223" s="245"/>
      <c r="B223" s="245"/>
      <c r="C223" s="273"/>
      <c r="D223" s="245"/>
      <c r="E223" s="245"/>
      <c r="G223" s="277" t="s">
        <v>803</v>
      </c>
      <c r="H223" s="277"/>
      <c r="I223" s="277" t="s">
        <v>817</v>
      </c>
      <c r="J223" s="277"/>
      <c r="K223" s="245" t="s">
        <v>818</v>
      </c>
      <c r="L223" s="244">
        <v>0</v>
      </c>
    </row>
    <row r="224" spans="1:18" ht="12" hidden="1" customHeight="1" x14ac:dyDescent="0.2">
      <c r="A224" s="245"/>
      <c r="B224" s="245"/>
      <c r="C224" s="273"/>
      <c r="D224" s="245"/>
      <c r="E224" s="245"/>
      <c r="G224" s="277" t="s">
        <v>803</v>
      </c>
      <c r="H224" s="277"/>
      <c r="I224" s="277" t="s">
        <v>819</v>
      </c>
      <c r="J224" s="277"/>
      <c r="K224" s="245" t="s">
        <v>820</v>
      </c>
      <c r="L224" s="244">
        <v>0</v>
      </c>
    </row>
    <row r="225" spans="1:18" ht="12" hidden="1" customHeight="1" x14ac:dyDescent="0.2">
      <c r="A225" s="245"/>
      <c r="B225" s="245"/>
      <c r="C225" s="273"/>
      <c r="D225" s="245"/>
      <c r="E225" s="245"/>
      <c r="G225" s="277" t="s">
        <v>803</v>
      </c>
      <c r="H225" s="277"/>
      <c r="I225" s="277" t="s">
        <v>821</v>
      </c>
      <c r="J225" s="277"/>
      <c r="K225" s="245" t="s">
        <v>822</v>
      </c>
      <c r="L225" s="244">
        <v>0</v>
      </c>
    </row>
    <row r="226" spans="1:18" ht="12" hidden="1" customHeight="1" x14ac:dyDescent="0.2">
      <c r="A226" s="245"/>
      <c r="B226" s="245"/>
      <c r="C226" s="273"/>
      <c r="D226" s="245"/>
      <c r="E226" s="245"/>
      <c r="G226" s="277" t="s">
        <v>803</v>
      </c>
      <c r="H226" s="277"/>
      <c r="I226" s="277" t="s">
        <v>823</v>
      </c>
      <c r="J226" s="277"/>
      <c r="K226" s="245" t="s">
        <v>824</v>
      </c>
      <c r="L226" s="244">
        <v>0</v>
      </c>
    </row>
    <row r="227" spans="1:18" ht="12" hidden="1" customHeight="1" x14ac:dyDescent="0.2">
      <c r="A227" s="245"/>
      <c r="B227" s="245"/>
      <c r="C227" s="273"/>
      <c r="D227" s="245"/>
      <c r="E227" s="245"/>
      <c r="G227" s="277" t="s">
        <v>803</v>
      </c>
      <c r="H227" s="277"/>
      <c r="I227" s="276" t="s">
        <v>825</v>
      </c>
      <c r="J227" s="276"/>
      <c r="K227" s="271" t="s">
        <v>826</v>
      </c>
    </row>
    <row r="228" spans="1:18" ht="12" hidden="1" customHeight="1" x14ac:dyDescent="0.2">
      <c r="A228" s="245"/>
      <c r="B228" s="245"/>
      <c r="C228" s="273"/>
      <c r="D228" s="245" t="s">
        <v>382</v>
      </c>
      <c r="E228" s="245"/>
      <c r="G228" s="277" t="s">
        <v>803</v>
      </c>
      <c r="H228" s="277"/>
      <c r="I228" s="277" t="s">
        <v>827</v>
      </c>
      <c r="J228" s="277"/>
      <c r="K228" s="245" t="s">
        <v>828</v>
      </c>
      <c r="L228" s="244">
        <v>0</v>
      </c>
    </row>
    <row r="229" spans="1:18" ht="12" hidden="1" customHeight="1" x14ac:dyDescent="0.2">
      <c r="A229" s="245"/>
      <c r="B229" s="245"/>
      <c r="C229" s="273"/>
      <c r="D229" s="245"/>
      <c r="E229" s="245"/>
      <c r="G229" s="277" t="s">
        <v>803</v>
      </c>
      <c r="H229" s="277"/>
      <c r="I229" s="277" t="s">
        <v>829</v>
      </c>
      <c r="J229" s="277"/>
      <c r="K229" s="245" t="s">
        <v>830</v>
      </c>
      <c r="L229" s="244">
        <v>0</v>
      </c>
    </row>
    <row r="230" spans="1:18" ht="12" hidden="1" customHeight="1" thickBot="1" x14ac:dyDescent="0.25">
      <c r="A230" s="279"/>
      <c r="B230" s="279"/>
      <c r="C230" s="282"/>
      <c r="D230" s="279"/>
      <c r="E230" s="279"/>
      <c r="F230" s="280"/>
      <c r="G230" s="281" t="s">
        <v>803</v>
      </c>
      <c r="H230" s="281"/>
      <c r="I230" s="281" t="s">
        <v>831</v>
      </c>
      <c r="J230" s="281"/>
      <c r="K230" s="279" t="s">
        <v>832</v>
      </c>
      <c r="L230" s="244">
        <v>0</v>
      </c>
    </row>
    <row r="231" spans="1:18" ht="12" hidden="1" customHeight="1" x14ac:dyDescent="0.2">
      <c r="A231" s="245"/>
      <c r="B231" s="245"/>
      <c r="C231" s="273"/>
      <c r="D231" s="245"/>
      <c r="E231" s="245"/>
      <c r="F231" s="246"/>
      <c r="G231" s="277"/>
      <c r="H231" s="277"/>
      <c r="I231" s="277"/>
      <c r="J231" s="277"/>
      <c r="K231" s="245"/>
    </row>
    <row r="232" spans="1:18" ht="12" hidden="1" customHeight="1" x14ac:dyDescent="0.2">
      <c r="A232" s="245"/>
      <c r="B232" s="245"/>
      <c r="C232" s="273"/>
      <c r="D232" s="245"/>
      <c r="E232" s="245"/>
      <c r="G232" s="277" t="s">
        <v>803</v>
      </c>
      <c r="H232" s="277"/>
      <c r="I232" s="277" t="s">
        <v>833</v>
      </c>
      <c r="J232" s="277"/>
      <c r="K232" s="245" t="s">
        <v>834</v>
      </c>
      <c r="L232" s="244">
        <v>0</v>
      </c>
    </row>
    <row r="233" spans="1:18" ht="12" hidden="1" customHeight="1" x14ac:dyDescent="0.2">
      <c r="A233" s="245"/>
      <c r="B233" s="245"/>
      <c r="C233" s="273"/>
      <c r="D233" s="245"/>
      <c r="E233" s="245"/>
      <c r="G233" s="277" t="s">
        <v>803</v>
      </c>
      <c r="H233" s="277"/>
      <c r="I233" s="276" t="s">
        <v>835</v>
      </c>
      <c r="J233" s="276"/>
      <c r="K233" s="271" t="s">
        <v>836</v>
      </c>
      <c r="L233" s="244">
        <v>0</v>
      </c>
    </row>
    <row r="234" spans="1:18" ht="12" hidden="1" customHeight="1" x14ac:dyDescent="0.2">
      <c r="A234" s="245"/>
      <c r="B234" s="245"/>
      <c r="C234" s="273"/>
      <c r="D234" s="245" t="s">
        <v>382</v>
      </c>
      <c r="E234" s="245"/>
      <c r="G234" s="277" t="s">
        <v>803</v>
      </c>
      <c r="H234" s="277"/>
      <c r="I234" s="277" t="s">
        <v>837</v>
      </c>
      <c r="J234" s="277"/>
      <c r="K234" s="245" t="s">
        <v>838</v>
      </c>
      <c r="L234" s="244">
        <v>0</v>
      </c>
    </row>
    <row r="235" spans="1:18" ht="12" customHeight="1" x14ac:dyDescent="0.2">
      <c r="A235" s="245"/>
      <c r="B235" s="245"/>
      <c r="C235" s="273"/>
      <c r="D235" s="245"/>
      <c r="E235" s="245"/>
      <c r="G235" s="277" t="s">
        <v>803</v>
      </c>
      <c r="H235" s="277"/>
      <c r="I235" s="276" t="s">
        <v>378</v>
      </c>
      <c r="J235" s="276"/>
      <c r="K235" s="271" t="s">
        <v>839</v>
      </c>
      <c r="L235" s="272">
        <f>+L236</f>
        <v>0</v>
      </c>
      <c r="M235" s="272">
        <f>+M236</f>
        <v>0</v>
      </c>
      <c r="N235" s="272">
        <f>+N236</f>
        <v>0</v>
      </c>
      <c r="O235" s="272">
        <f>+O236</f>
        <v>0</v>
      </c>
      <c r="P235" s="272">
        <f>+P236</f>
        <v>0</v>
      </c>
      <c r="Q235" s="272">
        <v>729698.51</v>
      </c>
      <c r="R235" s="272">
        <v>0</v>
      </c>
    </row>
    <row r="236" spans="1:18" ht="12" customHeight="1" x14ac:dyDescent="0.2">
      <c r="A236" s="245"/>
      <c r="B236" s="245"/>
      <c r="C236" s="273"/>
      <c r="D236" s="245"/>
      <c r="E236" s="245"/>
      <c r="G236" s="277" t="s">
        <v>803</v>
      </c>
      <c r="H236" s="277"/>
      <c r="I236" s="277" t="s">
        <v>380</v>
      </c>
      <c r="J236" s="277"/>
      <c r="K236" s="247" t="s">
        <v>381</v>
      </c>
      <c r="L236" s="244">
        <f>SUM(M236:P236)</f>
        <v>0</v>
      </c>
      <c r="M236" s="244">
        <v>0</v>
      </c>
      <c r="Q236" s="244">
        <v>729698.51</v>
      </c>
      <c r="R236" s="244">
        <v>0</v>
      </c>
    </row>
    <row r="237" spans="1:18" ht="12" hidden="1" customHeight="1" x14ac:dyDescent="0.2">
      <c r="A237" s="245"/>
      <c r="B237" s="245"/>
      <c r="C237" s="273"/>
      <c r="D237" s="245"/>
      <c r="E237" s="245"/>
      <c r="G237" s="277" t="s">
        <v>803</v>
      </c>
      <c r="H237" s="277"/>
      <c r="I237" s="277" t="s">
        <v>840</v>
      </c>
      <c r="J237" s="277"/>
      <c r="K237" s="247" t="s">
        <v>841</v>
      </c>
      <c r="L237" s="244">
        <v>0</v>
      </c>
    </row>
    <row r="238" spans="1:18" ht="12" customHeight="1" x14ac:dyDescent="0.2">
      <c r="A238" s="245"/>
      <c r="B238" s="245"/>
      <c r="C238" s="273"/>
      <c r="D238" s="245"/>
      <c r="E238" s="245"/>
      <c r="G238" s="277" t="s">
        <v>382</v>
      </c>
      <c r="H238" s="277"/>
      <c r="I238" s="277"/>
      <c r="J238" s="277"/>
      <c r="K238" s="245"/>
    </row>
    <row r="239" spans="1:18" s="269" customFormat="1" ht="12" customHeight="1" x14ac:dyDescent="0.2">
      <c r="A239" s="265"/>
      <c r="B239" s="265"/>
      <c r="C239" s="266" t="s">
        <v>842</v>
      </c>
      <c r="D239" s="265" t="s">
        <v>843</v>
      </c>
      <c r="E239" s="266"/>
      <c r="F239" s="265"/>
      <c r="G239" s="322" t="s">
        <v>842</v>
      </c>
      <c r="H239" s="265"/>
      <c r="I239" s="265" t="s">
        <v>266</v>
      </c>
      <c r="J239" s="265"/>
      <c r="K239" s="265" t="s">
        <v>281</v>
      </c>
      <c r="L239" s="275">
        <f>+L240+L241</f>
        <v>0</v>
      </c>
      <c r="M239" s="275">
        <f>+M240+M241</f>
        <v>0</v>
      </c>
      <c r="N239" s="275">
        <f>+N240+N241</f>
        <v>0</v>
      </c>
      <c r="O239" s="275">
        <f>+O240+O241</f>
        <v>0</v>
      </c>
      <c r="P239" s="275">
        <f>+P240+P241</f>
        <v>0</v>
      </c>
      <c r="Q239" s="275">
        <v>1000000</v>
      </c>
      <c r="R239" s="275">
        <v>2642514.46</v>
      </c>
    </row>
    <row r="240" spans="1:18" ht="12" customHeight="1" x14ac:dyDescent="0.2">
      <c r="A240" s="245"/>
      <c r="B240" s="245"/>
      <c r="C240" s="245"/>
      <c r="D240" s="245" t="s">
        <v>382</v>
      </c>
      <c r="E240" s="245"/>
      <c r="G240" s="277" t="s">
        <v>842</v>
      </c>
      <c r="H240" s="277"/>
      <c r="I240" s="277" t="s">
        <v>267</v>
      </c>
      <c r="J240" s="277"/>
      <c r="K240" s="245" t="s">
        <v>844</v>
      </c>
      <c r="L240" s="244">
        <v>0</v>
      </c>
      <c r="R240" s="244">
        <v>2029384.46</v>
      </c>
    </row>
    <row r="241" spans="1:18" ht="13.5" customHeight="1" x14ac:dyDescent="0.2">
      <c r="A241" s="245"/>
      <c r="B241" s="245"/>
      <c r="C241" s="245"/>
      <c r="D241" s="245" t="s">
        <v>382</v>
      </c>
      <c r="E241" s="245"/>
      <c r="G241" s="277" t="s">
        <v>842</v>
      </c>
      <c r="H241" s="277"/>
      <c r="I241" s="277" t="s">
        <v>359</v>
      </c>
      <c r="J241" s="277"/>
      <c r="K241" s="245" t="s">
        <v>845</v>
      </c>
      <c r="L241" s="244">
        <f>SUM(M241:P241)</f>
        <v>0</v>
      </c>
      <c r="P241" s="244">
        <v>0</v>
      </c>
      <c r="Q241" s="244">
        <v>1000000</v>
      </c>
      <c r="R241" s="244">
        <v>613130</v>
      </c>
    </row>
    <row r="242" spans="1:18" ht="12" customHeight="1" x14ac:dyDescent="0.2">
      <c r="A242" s="245"/>
      <c r="B242" s="245"/>
      <c r="C242" s="245"/>
      <c r="D242" s="245"/>
      <c r="E242" s="245"/>
      <c r="G242" s="277"/>
      <c r="H242" s="277"/>
      <c r="I242" s="277"/>
      <c r="J242" s="277"/>
      <c r="K242" s="245"/>
    </row>
    <row r="243" spans="1:18" s="317" customFormat="1" ht="20.100000000000001" customHeight="1" x14ac:dyDescent="0.25">
      <c r="A243" s="309" t="s">
        <v>846</v>
      </c>
      <c r="B243" s="1575" t="s">
        <v>847</v>
      </c>
      <c r="C243" s="1575"/>
      <c r="D243" s="313"/>
      <c r="E243" s="313"/>
      <c r="F243" s="314"/>
      <c r="G243" s="313">
        <v>2</v>
      </c>
      <c r="H243" s="313"/>
      <c r="I243" s="313">
        <v>5</v>
      </c>
      <c r="J243" s="315"/>
      <c r="K243" s="313" t="s">
        <v>57</v>
      </c>
      <c r="L243" s="325">
        <f>+L256</f>
        <v>1392731180</v>
      </c>
      <c r="M243" s="325">
        <f>+M256</f>
        <v>1031320300</v>
      </c>
      <c r="N243" s="325">
        <f>+N256</f>
        <v>132944800</v>
      </c>
      <c r="O243" s="325">
        <f>+O256</f>
        <v>19650600</v>
      </c>
      <c r="P243" s="325">
        <f>+P256</f>
        <v>20683400</v>
      </c>
      <c r="Q243" s="325">
        <v>437481972.02999997</v>
      </c>
      <c r="R243" s="325">
        <v>800626274.51999998</v>
      </c>
    </row>
    <row r="244" spans="1:18" ht="12" hidden="1" customHeight="1" x14ac:dyDescent="0.2">
      <c r="A244" s="245"/>
      <c r="B244" s="245"/>
      <c r="C244" s="245"/>
      <c r="D244" s="245"/>
      <c r="E244" s="245"/>
      <c r="G244" s="247"/>
      <c r="H244" s="247"/>
      <c r="I244" s="277"/>
      <c r="J244" s="277"/>
      <c r="K244" s="245"/>
      <c r="Q244" s="244">
        <v>8</v>
      </c>
      <c r="R244" s="244">
        <v>8</v>
      </c>
    </row>
    <row r="245" spans="1:18" s="269" customFormat="1" ht="12" hidden="1" customHeight="1" x14ac:dyDescent="0.2">
      <c r="A245" s="268"/>
      <c r="B245" s="268" t="s">
        <v>848</v>
      </c>
      <c r="C245" s="268" t="s">
        <v>849</v>
      </c>
      <c r="D245" s="288"/>
      <c r="E245" s="268"/>
      <c r="F245" s="286">
        <f>+L245</f>
        <v>0</v>
      </c>
      <c r="G245" s="268" t="s">
        <v>382</v>
      </c>
      <c r="H245" s="268"/>
      <c r="I245" s="268" t="s">
        <v>250</v>
      </c>
      <c r="J245" s="268"/>
      <c r="K245" s="268" t="s">
        <v>251</v>
      </c>
      <c r="L245" s="286">
        <f>+L247+L248+L249+L250+L251+L252+L253+L254</f>
        <v>0</v>
      </c>
      <c r="M245" s="286"/>
      <c r="N245" s="286"/>
      <c r="O245" s="286"/>
      <c r="P245" s="286"/>
      <c r="Q245" s="286">
        <v>0</v>
      </c>
      <c r="R245" s="286">
        <v>0</v>
      </c>
    </row>
    <row r="246" spans="1:18" ht="12" hidden="1" customHeight="1" x14ac:dyDescent="0.2">
      <c r="A246" s="245"/>
      <c r="B246" s="274"/>
      <c r="C246" s="278"/>
      <c r="D246" s="245"/>
      <c r="E246" s="245"/>
      <c r="G246" s="276"/>
      <c r="H246" s="276"/>
      <c r="I246" s="276"/>
      <c r="J246" s="276"/>
      <c r="K246" s="271"/>
      <c r="Q246" s="244">
        <v>0</v>
      </c>
      <c r="R246" s="244">
        <v>0</v>
      </c>
    </row>
    <row r="247" spans="1:18" ht="12" hidden="1" customHeight="1" x14ac:dyDescent="0.2">
      <c r="A247" s="245"/>
      <c r="B247" s="239"/>
      <c r="C247" s="273" t="s">
        <v>850</v>
      </c>
      <c r="D247" s="245" t="s">
        <v>851</v>
      </c>
      <c r="E247" s="245"/>
      <c r="G247" s="273" t="s">
        <v>850</v>
      </c>
      <c r="H247" s="273"/>
      <c r="I247" s="277" t="s">
        <v>252</v>
      </c>
      <c r="J247" s="277"/>
      <c r="K247" s="245" t="s">
        <v>253</v>
      </c>
      <c r="L247" s="244">
        <v>0</v>
      </c>
      <c r="Q247" s="244">
        <v>0</v>
      </c>
      <c r="R247" s="244">
        <v>0</v>
      </c>
    </row>
    <row r="248" spans="1:18" ht="12" hidden="1" customHeight="1" x14ac:dyDescent="0.2">
      <c r="A248" s="245"/>
      <c r="B248" s="239"/>
      <c r="C248" s="273" t="s">
        <v>852</v>
      </c>
      <c r="D248" s="245" t="s">
        <v>853</v>
      </c>
      <c r="E248" s="245"/>
      <c r="G248" s="273" t="s">
        <v>852</v>
      </c>
      <c r="H248" s="273"/>
      <c r="I248" s="277" t="s">
        <v>854</v>
      </c>
      <c r="J248" s="277"/>
      <c r="K248" s="245" t="s">
        <v>855</v>
      </c>
      <c r="L248" s="244">
        <v>0</v>
      </c>
      <c r="Q248" s="244">
        <v>0</v>
      </c>
      <c r="R248" s="244">
        <v>0</v>
      </c>
    </row>
    <row r="249" spans="1:18" ht="12" hidden="1" customHeight="1" x14ac:dyDescent="0.2">
      <c r="A249" s="245"/>
      <c r="B249" s="239"/>
      <c r="C249" s="245"/>
      <c r="D249" s="245"/>
      <c r="E249" s="245"/>
      <c r="G249" s="273" t="s">
        <v>852</v>
      </c>
      <c r="H249" s="273"/>
      <c r="I249" s="277" t="s">
        <v>856</v>
      </c>
      <c r="J249" s="277"/>
      <c r="K249" s="245" t="s">
        <v>857</v>
      </c>
      <c r="L249" s="244">
        <v>0</v>
      </c>
      <c r="Q249" s="244">
        <v>0</v>
      </c>
      <c r="R249" s="244">
        <v>0</v>
      </c>
    </row>
    <row r="250" spans="1:18" ht="12" hidden="1" customHeight="1" x14ac:dyDescent="0.2">
      <c r="A250" s="245"/>
      <c r="B250" s="245"/>
      <c r="C250" s="245"/>
      <c r="D250" s="245"/>
      <c r="E250" s="245"/>
      <c r="G250" s="273" t="s">
        <v>852</v>
      </c>
      <c r="H250" s="273"/>
      <c r="I250" s="277" t="s">
        <v>858</v>
      </c>
      <c r="J250" s="277"/>
      <c r="K250" s="245" t="s">
        <v>859</v>
      </c>
      <c r="L250" s="244">
        <v>0</v>
      </c>
      <c r="Q250" s="244">
        <v>0</v>
      </c>
      <c r="R250" s="244">
        <v>0</v>
      </c>
    </row>
    <row r="251" spans="1:18" ht="12" hidden="1" customHeight="1" x14ac:dyDescent="0.2">
      <c r="A251" s="245"/>
      <c r="B251" s="245"/>
      <c r="C251" s="245"/>
      <c r="D251" s="245"/>
      <c r="E251" s="245"/>
      <c r="G251" s="273" t="s">
        <v>852</v>
      </c>
      <c r="H251" s="273"/>
      <c r="I251" s="277" t="s">
        <v>860</v>
      </c>
      <c r="J251" s="277"/>
      <c r="K251" s="245" t="s">
        <v>861</v>
      </c>
      <c r="L251" s="244">
        <v>0</v>
      </c>
      <c r="Q251" s="244">
        <v>0</v>
      </c>
      <c r="R251" s="244">
        <v>0</v>
      </c>
    </row>
    <row r="252" spans="1:18" ht="12" hidden="1" customHeight="1" x14ac:dyDescent="0.2">
      <c r="A252" s="245"/>
      <c r="B252" s="245"/>
      <c r="C252" s="273" t="s">
        <v>862</v>
      </c>
      <c r="D252" s="245" t="s">
        <v>863</v>
      </c>
      <c r="E252" s="245"/>
      <c r="G252" s="273" t="s">
        <v>862</v>
      </c>
      <c r="H252" s="273"/>
      <c r="I252" s="277" t="s">
        <v>864</v>
      </c>
      <c r="J252" s="277"/>
      <c r="K252" s="245" t="s">
        <v>863</v>
      </c>
      <c r="L252" s="244">
        <v>0</v>
      </c>
      <c r="Q252" s="244">
        <v>0</v>
      </c>
      <c r="R252" s="244">
        <v>0</v>
      </c>
    </row>
    <row r="253" spans="1:18" ht="12" hidden="1" customHeight="1" x14ac:dyDescent="0.2">
      <c r="A253" s="245"/>
      <c r="B253" s="245"/>
      <c r="C253" s="273" t="s">
        <v>865</v>
      </c>
      <c r="D253" s="245" t="s">
        <v>255</v>
      </c>
      <c r="E253" s="245"/>
      <c r="G253" s="273" t="s">
        <v>865</v>
      </c>
      <c r="H253" s="273"/>
      <c r="I253" s="277" t="s">
        <v>254</v>
      </c>
      <c r="J253" s="277"/>
      <c r="K253" s="245" t="s">
        <v>255</v>
      </c>
      <c r="L253" s="244">
        <v>0</v>
      </c>
      <c r="Q253" s="244">
        <v>0</v>
      </c>
      <c r="R253" s="244">
        <v>0</v>
      </c>
    </row>
    <row r="254" spans="1:18" ht="12" hidden="1" customHeight="1" x14ac:dyDescent="0.2">
      <c r="A254" s="245"/>
      <c r="B254" s="245"/>
      <c r="C254" s="273" t="s">
        <v>866</v>
      </c>
      <c r="D254" s="245" t="s">
        <v>867</v>
      </c>
      <c r="E254" s="245"/>
      <c r="G254" s="295" t="s">
        <v>866</v>
      </c>
      <c r="H254" s="295"/>
      <c r="I254" s="295" t="s">
        <v>256</v>
      </c>
      <c r="J254" s="295"/>
      <c r="K254" s="296" t="s">
        <v>868</v>
      </c>
      <c r="L254" s="297">
        <v>0</v>
      </c>
      <c r="M254" s="297"/>
      <c r="N254" s="297"/>
      <c r="O254" s="297"/>
      <c r="P254" s="297"/>
      <c r="Q254" s="297">
        <v>0</v>
      </c>
      <c r="R254" s="297">
        <v>0</v>
      </c>
    </row>
    <row r="255" spans="1:18" ht="12" customHeight="1" x14ac:dyDescent="0.2">
      <c r="A255" s="245"/>
      <c r="B255" s="245"/>
      <c r="C255" s="273"/>
      <c r="D255" s="245"/>
      <c r="E255" s="245"/>
      <c r="G255" s="273"/>
      <c r="H255" s="273"/>
      <c r="I255" s="277"/>
      <c r="J255" s="277"/>
      <c r="K255" s="245"/>
    </row>
    <row r="256" spans="1:18" s="269" customFormat="1" ht="12" customHeight="1" x14ac:dyDescent="0.2">
      <c r="A256" s="265"/>
      <c r="B256" s="266" t="s">
        <v>869</v>
      </c>
      <c r="C256" s="265" t="s">
        <v>870</v>
      </c>
      <c r="D256" s="265"/>
      <c r="E256" s="266"/>
      <c r="F256" s="275"/>
      <c r="G256" s="267" t="s">
        <v>382</v>
      </c>
      <c r="H256" s="265"/>
      <c r="I256" s="265"/>
      <c r="J256" s="265"/>
      <c r="K256" s="265"/>
      <c r="L256" s="275">
        <f>+L258+L276</f>
        <v>1392731180</v>
      </c>
      <c r="M256" s="275">
        <f>+M258+M276</f>
        <v>1031320300</v>
      </c>
      <c r="N256" s="275">
        <f>+N258+N276</f>
        <v>132944800</v>
      </c>
      <c r="O256" s="275">
        <f>+O258+O276</f>
        <v>19650600</v>
      </c>
      <c r="P256" s="275">
        <f>+P258+P276</f>
        <v>20683400</v>
      </c>
      <c r="Q256" s="275">
        <v>437481972.02999997</v>
      </c>
      <c r="R256" s="275">
        <v>800626274.51999998</v>
      </c>
    </row>
    <row r="257" spans="1:18" ht="12" customHeight="1" x14ac:dyDescent="0.2">
      <c r="A257" s="245"/>
      <c r="B257" s="274"/>
      <c r="C257" s="278"/>
      <c r="D257" s="245"/>
      <c r="E257" s="245"/>
      <c r="G257" s="277"/>
      <c r="H257" s="277"/>
      <c r="I257" s="247"/>
      <c r="J257" s="247"/>
      <c r="K257" s="245"/>
    </row>
    <row r="258" spans="1:18" s="269" customFormat="1" ht="12" customHeight="1" x14ac:dyDescent="0.2">
      <c r="A258" s="265"/>
      <c r="B258" s="265"/>
      <c r="C258" s="266" t="s">
        <v>871</v>
      </c>
      <c r="D258" s="265" t="s">
        <v>872</v>
      </c>
      <c r="E258" s="266"/>
      <c r="F258" s="265"/>
      <c r="G258" s="323" t="s">
        <v>871</v>
      </c>
      <c r="H258" s="265"/>
      <c r="I258" s="265" t="s">
        <v>234</v>
      </c>
      <c r="J258" s="265"/>
      <c r="K258" s="265" t="s">
        <v>235</v>
      </c>
      <c r="L258" s="275">
        <f>SUM(L259:L266)</f>
        <v>1132599100</v>
      </c>
      <c r="M258" s="275">
        <f>SUM(M259:M266)</f>
        <v>1031320300</v>
      </c>
      <c r="N258" s="275">
        <f>SUM(N259:N266)</f>
        <v>60944800</v>
      </c>
      <c r="O258" s="275">
        <f>SUM(O259:O266)</f>
        <v>19650600</v>
      </c>
      <c r="P258" s="275">
        <f>SUM(P259:P266)</f>
        <v>20683400</v>
      </c>
      <c r="Q258" s="275">
        <v>106018232.24999999</v>
      </c>
      <c r="R258" s="275">
        <v>207401278.60000002</v>
      </c>
    </row>
    <row r="259" spans="1:18" ht="12" hidden="1" customHeight="1" x14ac:dyDescent="0.2">
      <c r="A259" s="245"/>
      <c r="B259" s="245"/>
      <c r="C259" s="273"/>
      <c r="D259" s="245"/>
      <c r="E259" s="245"/>
      <c r="G259" s="277" t="s">
        <v>871</v>
      </c>
      <c r="H259" s="277"/>
      <c r="I259" s="277" t="s">
        <v>430</v>
      </c>
      <c r="J259" s="277"/>
      <c r="K259" s="245" t="s">
        <v>873</v>
      </c>
      <c r="L259" s="244">
        <v>0</v>
      </c>
    </row>
    <row r="260" spans="1:18" ht="12" hidden="1" customHeight="1" x14ac:dyDescent="0.2">
      <c r="A260" s="245"/>
      <c r="B260" s="245"/>
      <c r="C260" s="273"/>
      <c r="D260" s="245"/>
      <c r="E260" s="245"/>
      <c r="G260" s="277" t="s">
        <v>871</v>
      </c>
      <c r="H260" s="277"/>
      <c r="I260" s="277" t="s">
        <v>236</v>
      </c>
      <c r="J260" s="277"/>
      <c r="K260" s="245" t="s">
        <v>874</v>
      </c>
      <c r="L260" s="244">
        <v>0</v>
      </c>
    </row>
    <row r="261" spans="1:18" x14ac:dyDescent="0.2">
      <c r="A261" s="245"/>
      <c r="B261" s="245"/>
      <c r="C261" s="273"/>
      <c r="D261" s="245"/>
      <c r="E261" s="245"/>
      <c r="G261" s="277" t="s">
        <v>871</v>
      </c>
      <c r="H261" s="277"/>
      <c r="I261" s="277" t="s">
        <v>238</v>
      </c>
      <c r="J261" s="277"/>
      <c r="K261" s="245" t="s">
        <v>875</v>
      </c>
      <c r="L261" s="244">
        <f t="shared" ref="L261:L266" si="11">SUM(M261:P261)</f>
        <v>58848600</v>
      </c>
      <c r="M261" s="244">
        <v>55561800</v>
      </c>
      <c r="N261" s="244">
        <v>3286800</v>
      </c>
      <c r="O261" s="244">
        <v>0</v>
      </c>
      <c r="P261" s="244">
        <v>0</v>
      </c>
      <c r="Q261" s="244">
        <v>3090000</v>
      </c>
      <c r="R261" s="244">
        <v>2278302.2400000002</v>
      </c>
    </row>
    <row r="262" spans="1:18" ht="12" customHeight="1" x14ac:dyDescent="0.2">
      <c r="A262" s="245"/>
      <c r="B262" s="245"/>
      <c r="C262" s="273"/>
      <c r="D262" s="245"/>
      <c r="E262" s="245"/>
      <c r="G262" s="277" t="s">
        <v>871</v>
      </c>
      <c r="H262" s="277"/>
      <c r="I262" s="277" t="s">
        <v>240</v>
      </c>
      <c r="J262" s="277"/>
      <c r="K262" s="245" t="s">
        <v>876</v>
      </c>
      <c r="L262" s="244">
        <f t="shared" si="11"/>
        <v>798931000</v>
      </c>
      <c r="M262" s="244">
        <v>726464900</v>
      </c>
      <c r="N262" s="244">
        <v>40479000</v>
      </c>
      <c r="O262" s="244">
        <v>14735400</v>
      </c>
      <c r="P262" s="244">
        <v>17251700</v>
      </c>
      <c r="Q262" s="244">
        <v>7910777.3499999996</v>
      </c>
      <c r="R262" s="244">
        <v>12870700</v>
      </c>
    </row>
    <row r="263" spans="1:18" ht="12" customHeight="1" x14ac:dyDescent="0.2">
      <c r="A263" s="245"/>
      <c r="B263" s="245"/>
      <c r="C263" s="273"/>
      <c r="D263" s="245"/>
      <c r="E263" s="245"/>
      <c r="G263" s="277" t="s">
        <v>871</v>
      </c>
      <c r="H263" s="277"/>
      <c r="I263" s="277" t="s">
        <v>242</v>
      </c>
      <c r="J263" s="277"/>
      <c r="K263" s="245" t="s">
        <v>877</v>
      </c>
      <c r="L263" s="244">
        <f t="shared" si="11"/>
        <v>157913900</v>
      </c>
      <c r="M263" s="244">
        <v>141905500</v>
      </c>
      <c r="N263" s="244">
        <v>9778800</v>
      </c>
      <c r="O263" s="244">
        <v>2797900</v>
      </c>
      <c r="P263" s="244">
        <v>3431700</v>
      </c>
      <c r="Q263" s="244">
        <v>93887479.899999991</v>
      </c>
      <c r="R263" s="244">
        <v>191580781.36000001</v>
      </c>
    </row>
    <row r="264" spans="1:18" ht="12" customHeight="1" x14ac:dyDescent="0.2">
      <c r="A264" s="245"/>
      <c r="B264" s="245"/>
      <c r="C264" s="273"/>
      <c r="D264" s="245"/>
      <c r="E264" s="245"/>
      <c r="G264" s="277" t="s">
        <v>871</v>
      </c>
      <c r="H264" s="277"/>
      <c r="I264" s="277" t="s">
        <v>244</v>
      </c>
      <c r="J264" s="277"/>
      <c r="K264" s="245" t="s">
        <v>878</v>
      </c>
      <c r="L264" s="244">
        <f t="shared" si="11"/>
        <v>8350300</v>
      </c>
      <c r="M264" s="244">
        <v>7670500</v>
      </c>
      <c r="N264" s="244">
        <v>528600</v>
      </c>
      <c r="O264" s="244">
        <v>151200</v>
      </c>
      <c r="Q264" s="244">
        <v>500000</v>
      </c>
      <c r="R264" s="244">
        <v>0</v>
      </c>
    </row>
    <row r="265" spans="1:18" ht="12" hidden="1" customHeight="1" x14ac:dyDescent="0.2">
      <c r="A265" s="245"/>
      <c r="B265" s="245"/>
      <c r="C265" s="273"/>
      <c r="D265" s="245"/>
      <c r="E265" s="245"/>
      <c r="G265" s="277" t="s">
        <v>871</v>
      </c>
      <c r="H265" s="277"/>
      <c r="I265" s="277" t="s">
        <v>246</v>
      </c>
      <c r="J265" s="277"/>
      <c r="K265" s="245" t="s">
        <v>879</v>
      </c>
      <c r="L265" s="244">
        <f t="shared" si="11"/>
        <v>25051300</v>
      </c>
      <c r="M265" s="244">
        <v>23011800</v>
      </c>
      <c r="N265" s="244">
        <v>1585800</v>
      </c>
      <c r="O265" s="244">
        <v>453700</v>
      </c>
      <c r="R265" s="244">
        <v>0</v>
      </c>
    </row>
    <row r="266" spans="1:18" ht="12" customHeight="1" x14ac:dyDescent="0.2">
      <c r="A266" s="245"/>
      <c r="B266" s="245"/>
      <c r="C266" s="273"/>
      <c r="D266" s="245"/>
      <c r="E266" s="245"/>
      <c r="G266" s="277" t="s">
        <v>871</v>
      </c>
      <c r="H266" s="277"/>
      <c r="I266" s="277" t="s">
        <v>248</v>
      </c>
      <c r="J266" s="277"/>
      <c r="K266" s="245" t="s">
        <v>880</v>
      </c>
      <c r="L266" s="244">
        <f t="shared" si="11"/>
        <v>83504000</v>
      </c>
      <c r="M266" s="244">
        <v>76705800</v>
      </c>
      <c r="N266" s="244">
        <v>5285800</v>
      </c>
      <c r="O266" s="244">
        <v>1512400</v>
      </c>
      <c r="Q266" s="244">
        <v>629975</v>
      </c>
      <c r="R266" s="244">
        <v>671495</v>
      </c>
    </row>
    <row r="267" spans="1:18" ht="12" hidden="1" customHeight="1" x14ac:dyDescent="0.2">
      <c r="A267" s="245"/>
      <c r="B267" s="245"/>
      <c r="C267" s="273"/>
      <c r="D267" s="245"/>
      <c r="E267" s="245"/>
      <c r="G267" s="277"/>
      <c r="H267" s="277"/>
      <c r="I267" s="277"/>
      <c r="J267" s="277"/>
      <c r="K267" s="245"/>
    </row>
    <row r="268" spans="1:18" ht="12" hidden="1" customHeight="1" x14ac:dyDescent="0.2">
      <c r="A268" s="245"/>
      <c r="B268" s="245"/>
      <c r="C268" s="273"/>
      <c r="D268" s="245"/>
      <c r="E268" s="245"/>
      <c r="G268" s="276" t="s">
        <v>871</v>
      </c>
      <c r="H268" s="276"/>
      <c r="I268" s="276" t="s">
        <v>258</v>
      </c>
      <c r="J268" s="276"/>
      <c r="K268" s="271" t="s">
        <v>881</v>
      </c>
    </row>
    <row r="269" spans="1:18" ht="12" hidden="1" customHeight="1" x14ac:dyDescent="0.2">
      <c r="A269" s="245"/>
      <c r="B269" s="245"/>
      <c r="C269" s="273"/>
      <c r="D269" s="245"/>
      <c r="E269" s="245"/>
      <c r="G269" s="277" t="s">
        <v>871</v>
      </c>
      <c r="H269" s="277"/>
      <c r="I269" s="277" t="s">
        <v>882</v>
      </c>
      <c r="J269" s="277"/>
      <c r="K269" s="245" t="s">
        <v>883</v>
      </c>
      <c r="L269" s="244">
        <v>0</v>
      </c>
    </row>
    <row r="270" spans="1:18" ht="12" hidden="1" customHeight="1" x14ac:dyDescent="0.2">
      <c r="A270" s="245"/>
      <c r="B270" s="245"/>
      <c r="C270" s="273"/>
      <c r="D270" s="245"/>
      <c r="E270" s="245"/>
      <c r="G270" s="277" t="s">
        <v>382</v>
      </c>
      <c r="H270" s="277"/>
      <c r="I270" s="277"/>
      <c r="J270" s="277"/>
      <c r="K270" s="245"/>
    </row>
    <row r="271" spans="1:18" ht="12" hidden="1" customHeight="1" x14ac:dyDescent="0.2">
      <c r="A271" s="245"/>
      <c r="B271" s="245"/>
      <c r="C271" s="273"/>
      <c r="D271" s="245"/>
      <c r="E271" s="245"/>
      <c r="G271" s="277" t="s">
        <v>382</v>
      </c>
      <c r="H271" s="277"/>
      <c r="I271" s="276" t="s">
        <v>884</v>
      </c>
      <c r="J271" s="276"/>
      <c r="K271" s="271" t="s">
        <v>885</v>
      </c>
    </row>
    <row r="272" spans="1:18" ht="12" hidden="1" customHeight="1" x14ac:dyDescent="0.2">
      <c r="A272" s="245"/>
      <c r="B272" s="245"/>
      <c r="C272" s="273" t="s">
        <v>886</v>
      </c>
      <c r="D272" s="245" t="s">
        <v>887</v>
      </c>
      <c r="E272" s="245"/>
      <c r="G272" s="277" t="s">
        <v>886</v>
      </c>
      <c r="H272" s="277"/>
      <c r="I272" s="277" t="s">
        <v>888</v>
      </c>
      <c r="J272" s="277"/>
      <c r="K272" s="245" t="s">
        <v>887</v>
      </c>
      <c r="L272" s="244">
        <v>0</v>
      </c>
    </row>
    <row r="273" spans="1:18" ht="12" hidden="1" customHeight="1" x14ac:dyDescent="0.2">
      <c r="A273" s="245"/>
      <c r="B273" s="245"/>
      <c r="C273" s="273" t="s">
        <v>889</v>
      </c>
      <c r="D273" s="245" t="s">
        <v>253</v>
      </c>
      <c r="E273" s="245"/>
      <c r="G273" s="277" t="s">
        <v>889</v>
      </c>
      <c r="H273" s="277"/>
      <c r="I273" s="277" t="s">
        <v>890</v>
      </c>
      <c r="J273" s="277"/>
      <c r="K273" s="245" t="s">
        <v>891</v>
      </c>
      <c r="L273" s="244">
        <v>0</v>
      </c>
    </row>
    <row r="274" spans="1:18" ht="12" hidden="1" customHeight="1" x14ac:dyDescent="0.2">
      <c r="A274" s="245"/>
      <c r="B274" s="245"/>
      <c r="C274" s="273"/>
      <c r="D274" s="245"/>
      <c r="E274" s="245"/>
      <c r="G274" s="277" t="s">
        <v>889</v>
      </c>
      <c r="H274" s="277"/>
      <c r="I274" s="277" t="s">
        <v>892</v>
      </c>
      <c r="J274" s="277"/>
      <c r="K274" s="245" t="s">
        <v>893</v>
      </c>
      <c r="L274" s="244">
        <v>0</v>
      </c>
    </row>
    <row r="275" spans="1:18" ht="12" customHeight="1" x14ac:dyDescent="0.2">
      <c r="A275" s="245"/>
      <c r="B275" s="245"/>
      <c r="C275" s="273"/>
      <c r="D275" s="245"/>
      <c r="E275" s="245"/>
      <c r="G275" s="245"/>
      <c r="H275" s="245"/>
      <c r="I275" s="245"/>
      <c r="J275" s="245"/>
      <c r="K275" s="245"/>
    </row>
    <row r="276" spans="1:18" ht="12" customHeight="1" x14ac:dyDescent="0.2">
      <c r="A276" s="245"/>
      <c r="B276" s="245"/>
      <c r="C276" s="273"/>
      <c r="D276" s="245"/>
      <c r="E276" s="245"/>
      <c r="G276" s="247" t="s">
        <v>382</v>
      </c>
      <c r="H276" s="247"/>
      <c r="I276" s="276" t="s">
        <v>258</v>
      </c>
      <c r="J276" s="276"/>
      <c r="K276" s="271" t="s">
        <v>881</v>
      </c>
      <c r="L276" s="272">
        <f>+L277</f>
        <v>260132080</v>
      </c>
      <c r="M276" s="272">
        <f>+M277</f>
        <v>0</v>
      </c>
      <c r="N276" s="272">
        <f>+N277</f>
        <v>72000000</v>
      </c>
      <c r="O276" s="272">
        <f>+O277</f>
        <v>0</v>
      </c>
      <c r="P276" s="272">
        <f>+P277</f>
        <v>0</v>
      </c>
      <c r="Q276" s="272">
        <v>331463739.77999997</v>
      </c>
      <c r="R276" s="272">
        <v>593224995.91999996</v>
      </c>
    </row>
    <row r="277" spans="1:18" s="269" customFormat="1" ht="12" customHeight="1" x14ac:dyDescent="0.2">
      <c r="A277" s="265"/>
      <c r="B277" s="265"/>
      <c r="C277" s="266" t="s">
        <v>894</v>
      </c>
      <c r="D277" s="265" t="s">
        <v>895</v>
      </c>
      <c r="E277" s="266"/>
      <c r="F277" s="265"/>
      <c r="G277" s="323" t="s">
        <v>894</v>
      </c>
      <c r="H277" s="265"/>
      <c r="I277" s="265" t="s">
        <v>411</v>
      </c>
      <c r="J277" s="265"/>
      <c r="K277" s="265" t="s">
        <v>412</v>
      </c>
      <c r="L277" s="275">
        <v>260132080</v>
      </c>
      <c r="M277" s="275">
        <v>0</v>
      </c>
      <c r="N277" s="275">
        <v>72000000</v>
      </c>
      <c r="O277" s="275">
        <v>0</v>
      </c>
      <c r="P277" s="275">
        <v>0</v>
      </c>
      <c r="Q277" s="275">
        <v>331463739.77999997</v>
      </c>
      <c r="R277" s="275">
        <v>593224995.91999996</v>
      </c>
    </row>
    <row r="278" spans="1:18" ht="12" hidden="1" customHeight="1" x14ac:dyDescent="0.2">
      <c r="A278" s="245"/>
      <c r="B278" s="245"/>
      <c r="C278" s="273" t="s">
        <v>896</v>
      </c>
      <c r="D278" s="245" t="s">
        <v>897</v>
      </c>
      <c r="E278" s="245"/>
      <c r="G278" s="273" t="s">
        <v>896</v>
      </c>
      <c r="H278" s="273"/>
      <c r="I278" s="277" t="s">
        <v>898</v>
      </c>
      <c r="J278" s="277"/>
      <c r="K278" s="245" t="s">
        <v>899</v>
      </c>
      <c r="L278" s="244">
        <v>0</v>
      </c>
      <c r="R278" s="244">
        <v>593224995.91999996</v>
      </c>
    </row>
    <row r="279" spans="1:18" ht="12" hidden="1" customHeight="1" x14ac:dyDescent="0.2">
      <c r="A279" s="245"/>
      <c r="B279" s="245"/>
      <c r="C279" s="245"/>
      <c r="D279" s="245"/>
      <c r="E279" s="245"/>
      <c r="G279" s="273" t="s">
        <v>896</v>
      </c>
      <c r="H279" s="273"/>
      <c r="I279" s="277" t="s">
        <v>259</v>
      </c>
      <c r="J279" s="277"/>
      <c r="K279" s="245" t="s">
        <v>900</v>
      </c>
      <c r="L279" s="244">
        <v>0</v>
      </c>
      <c r="R279" s="244">
        <v>0</v>
      </c>
    </row>
    <row r="280" spans="1:18" ht="12" hidden="1" customHeight="1" x14ac:dyDescent="0.2">
      <c r="A280" s="245"/>
      <c r="B280" s="245"/>
      <c r="C280" s="245"/>
      <c r="D280" s="245"/>
      <c r="E280" s="245"/>
      <c r="G280" s="247"/>
      <c r="H280" s="247"/>
      <c r="I280" s="277"/>
      <c r="J280" s="277"/>
      <c r="K280" s="245"/>
      <c r="R280" s="244">
        <v>0</v>
      </c>
    </row>
    <row r="281" spans="1:18" ht="12" hidden="1" customHeight="1" x14ac:dyDescent="0.2">
      <c r="A281" s="245"/>
      <c r="B281" s="245"/>
      <c r="C281" s="245"/>
      <c r="D281" s="245"/>
      <c r="E281" s="245"/>
      <c r="G281" s="247"/>
      <c r="H281" s="247"/>
      <c r="I281" s="277"/>
      <c r="J281" s="277"/>
      <c r="K281" s="245"/>
      <c r="R281" s="244">
        <v>0</v>
      </c>
    </row>
    <row r="282" spans="1:18" ht="12" hidden="1" customHeight="1" x14ac:dyDescent="0.2">
      <c r="A282" s="245"/>
      <c r="B282" s="274" t="s">
        <v>901</v>
      </c>
      <c r="C282" s="278" t="s">
        <v>902</v>
      </c>
      <c r="D282" s="245"/>
      <c r="E282" s="245"/>
      <c r="G282" s="276" t="s">
        <v>901</v>
      </c>
      <c r="H282" s="276"/>
      <c r="I282" s="276">
        <v>7</v>
      </c>
      <c r="J282" s="276"/>
      <c r="K282" s="284" t="s">
        <v>902</v>
      </c>
      <c r="R282" s="244">
        <v>0</v>
      </c>
    </row>
    <row r="283" spans="1:18" ht="12" hidden="1" customHeight="1" x14ac:dyDescent="0.2">
      <c r="A283" s="245"/>
      <c r="B283" s="245"/>
      <c r="C283" s="245"/>
      <c r="D283" s="245"/>
      <c r="E283" s="245"/>
      <c r="G283" s="247"/>
      <c r="H283" s="247"/>
      <c r="I283" s="277"/>
      <c r="J283" s="277"/>
      <c r="K283" s="247"/>
      <c r="R283" s="244">
        <v>0</v>
      </c>
    </row>
    <row r="284" spans="1:18" ht="12" hidden="1" customHeight="1" x14ac:dyDescent="0.2">
      <c r="A284" s="245"/>
      <c r="B284" s="245"/>
      <c r="C284" s="273" t="s">
        <v>903</v>
      </c>
      <c r="D284" s="245" t="s">
        <v>904</v>
      </c>
      <c r="E284" s="245"/>
      <c r="G284" s="276" t="s">
        <v>903</v>
      </c>
      <c r="H284" s="276"/>
      <c r="I284" s="276" t="s">
        <v>905</v>
      </c>
      <c r="J284" s="276"/>
      <c r="K284" s="271" t="s">
        <v>906</v>
      </c>
      <c r="R284" s="244">
        <v>0</v>
      </c>
    </row>
    <row r="285" spans="1:18" ht="12" hidden="1" customHeight="1" x14ac:dyDescent="0.2">
      <c r="A285" s="245"/>
      <c r="B285" s="245"/>
      <c r="C285" s="273"/>
      <c r="D285" s="245"/>
      <c r="E285" s="245"/>
      <c r="G285" s="277" t="s">
        <v>903</v>
      </c>
      <c r="H285" s="277"/>
      <c r="I285" s="277" t="s">
        <v>907</v>
      </c>
      <c r="J285" s="277"/>
      <c r="K285" s="247" t="s">
        <v>908</v>
      </c>
      <c r="L285" s="244">
        <v>0</v>
      </c>
      <c r="R285" s="244">
        <v>0</v>
      </c>
    </row>
    <row r="286" spans="1:18" ht="12" hidden="1" customHeight="1" x14ac:dyDescent="0.2">
      <c r="A286" s="245"/>
      <c r="B286" s="245"/>
      <c r="C286" s="273"/>
      <c r="D286" s="245"/>
      <c r="E286" s="245"/>
      <c r="G286" s="277" t="s">
        <v>903</v>
      </c>
      <c r="H286" s="277"/>
      <c r="I286" s="277" t="s">
        <v>909</v>
      </c>
      <c r="J286" s="277"/>
      <c r="K286" s="247" t="s">
        <v>910</v>
      </c>
      <c r="L286" s="244">
        <v>0</v>
      </c>
      <c r="R286" s="244">
        <v>0</v>
      </c>
    </row>
    <row r="287" spans="1:18" ht="12" hidden="1" customHeight="1" x14ac:dyDescent="0.2">
      <c r="A287" s="245"/>
      <c r="B287" s="245"/>
      <c r="C287" s="273"/>
      <c r="D287" s="245"/>
      <c r="E287" s="245"/>
      <c r="G287" s="277" t="s">
        <v>903</v>
      </c>
      <c r="H287" s="277"/>
      <c r="I287" s="277" t="s">
        <v>911</v>
      </c>
      <c r="J287" s="277"/>
      <c r="K287" s="247" t="s">
        <v>912</v>
      </c>
      <c r="L287" s="244">
        <v>0</v>
      </c>
      <c r="R287" s="244">
        <v>0</v>
      </c>
    </row>
    <row r="288" spans="1:18" ht="12" hidden="1" customHeight="1" x14ac:dyDescent="0.2">
      <c r="A288" s="245"/>
      <c r="B288" s="245"/>
      <c r="C288" s="273"/>
      <c r="D288" s="245"/>
      <c r="E288" s="245"/>
      <c r="G288" s="277" t="s">
        <v>903</v>
      </c>
      <c r="H288" s="277"/>
      <c r="I288" s="277" t="s">
        <v>913</v>
      </c>
      <c r="J288" s="277"/>
      <c r="K288" s="247" t="s">
        <v>914</v>
      </c>
      <c r="L288" s="244">
        <v>0</v>
      </c>
      <c r="R288" s="244">
        <v>0</v>
      </c>
    </row>
    <row r="289" spans="1:18" ht="12" hidden="1" customHeight="1" x14ac:dyDescent="0.2">
      <c r="A289" s="245"/>
      <c r="B289" s="245"/>
      <c r="C289" s="273"/>
      <c r="D289" s="245"/>
      <c r="E289" s="245"/>
      <c r="G289" s="277" t="s">
        <v>903</v>
      </c>
      <c r="H289" s="277"/>
      <c r="I289" s="277" t="s">
        <v>915</v>
      </c>
      <c r="J289" s="277"/>
      <c r="K289" s="247" t="s">
        <v>916</v>
      </c>
      <c r="L289" s="244">
        <v>0</v>
      </c>
      <c r="R289" s="244">
        <v>0</v>
      </c>
    </row>
    <row r="290" spans="1:18" ht="12" hidden="1" customHeight="1" x14ac:dyDescent="0.2">
      <c r="A290" s="245"/>
      <c r="B290" s="245"/>
      <c r="C290" s="273"/>
      <c r="D290" s="245"/>
      <c r="E290" s="245"/>
      <c r="G290" s="277" t="s">
        <v>903</v>
      </c>
      <c r="H290" s="277"/>
      <c r="I290" s="277" t="s">
        <v>917</v>
      </c>
      <c r="J290" s="277"/>
      <c r="K290" s="247" t="s">
        <v>918</v>
      </c>
      <c r="L290" s="244">
        <v>0</v>
      </c>
      <c r="R290" s="244">
        <v>0</v>
      </c>
    </row>
    <row r="291" spans="1:18" ht="12" hidden="1" customHeight="1" x14ac:dyDescent="0.2">
      <c r="A291" s="245"/>
      <c r="B291" s="245"/>
      <c r="C291" s="273"/>
      <c r="D291" s="245"/>
      <c r="E291" s="245"/>
      <c r="G291" s="277" t="s">
        <v>903</v>
      </c>
      <c r="H291" s="277"/>
      <c r="I291" s="277" t="s">
        <v>919</v>
      </c>
      <c r="J291" s="277"/>
      <c r="K291" s="247" t="s">
        <v>920</v>
      </c>
      <c r="L291" s="244">
        <v>0</v>
      </c>
      <c r="R291" s="244">
        <v>0</v>
      </c>
    </row>
    <row r="292" spans="1:18" s="245" customFormat="1" ht="12" hidden="1" customHeight="1" x14ac:dyDescent="0.2">
      <c r="C292" s="273"/>
      <c r="F292" s="244"/>
      <c r="G292" s="247"/>
      <c r="H292" s="247"/>
      <c r="I292" s="277"/>
      <c r="J292" s="277"/>
      <c r="K292" s="247"/>
      <c r="L292" s="244"/>
      <c r="M292" s="244"/>
      <c r="N292" s="244"/>
      <c r="O292" s="244"/>
      <c r="P292" s="244"/>
      <c r="Q292" s="244"/>
      <c r="R292" s="244">
        <v>0</v>
      </c>
    </row>
    <row r="293" spans="1:18" ht="12" hidden="1" customHeight="1" x14ac:dyDescent="0.2">
      <c r="A293" s="245"/>
      <c r="B293" s="245"/>
      <c r="C293" s="273" t="s">
        <v>921</v>
      </c>
      <c r="D293" s="245" t="s">
        <v>922</v>
      </c>
      <c r="E293" s="245"/>
      <c r="G293" s="274" t="s">
        <v>921</v>
      </c>
      <c r="H293" s="274"/>
      <c r="I293" s="276" t="s">
        <v>923</v>
      </c>
      <c r="J293" s="276"/>
      <c r="K293" s="271" t="s">
        <v>924</v>
      </c>
      <c r="L293" s="244">
        <v>0</v>
      </c>
      <c r="R293" s="244">
        <v>0</v>
      </c>
    </row>
    <row r="294" spans="1:18" ht="12" hidden="1" customHeight="1" x14ac:dyDescent="0.2">
      <c r="A294" s="245"/>
      <c r="B294" s="245"/>
      <c r="C294" s="273"/>
      <c r="D294" s="245" t="s">
        <v>382</v>
      </c>
      <c r="E294" s="245"/>
      <c r="G294" s="273" t="s">
        <v>921</v>
      </c>
      <c r="H294" s="273"/>
      <c r="I294" s="277" t="s">
        <v>925</v>
      </c>
      <c r="J294" s="277"/>
      <c r="K294" s="247" t="s">
        <v>926</v>
      </c>
      <c r="R294" s="244">
        <v>0</v>
      </c>
    </row>
    <row r="295" spans="1:18" ht="12" hidden="1" customHeight="1" x14ac:dyDescent="0.2">
      <c r="A295" s="245"/>
      <c r="B295" s="245"/>
      <c r="C295" s="273"/>
      <c r="D295" s="245"/>
      <c r="E295" s="245"/>
      <c r="G295" s="273" t="s">
        <v>921</v>
      </c>
      <c r="H295" s="273"/>
      <c r="I295" s="276" t="s">
        <v>927</v>
      </c>
      <c r="J295" s="276"/>
      <c r="K295" s="271" t="s">
        <v>928</v>
      </c>
      <c r="R295" s="244">
        <v>0</v>
      </c>
    </row>
    <row r="296" spans="1:18" ht="12" hidden="1" customHeight="1" x14ac:dyDescent="0.2">
      <c r="A296" s="245"/>
      <c r="B296" s="245"/>
      <c r="C296" s="273"/>
      <c r="D296" s="245"/>
      <c r="E296" s="245"/>
      <c r="F296" s="246"/>
      <c r="G296" s="273" t="s">
        <v>921</v>
      </c>
      <c r="H296" s="273"/>
      <c r="I296" s="277" t="s">
        <v>929</v>
      </c>
      <c r="J296" s="277"/>
      <c r="K296" s="247" t="s">
        <v>930</v>
      </c>
      <c r="L296" s="244">
        <v>0</v>
      </c>
      <c r="R296" s="244">
        <v>0</v>
      </c>
    </row>
    <row r="297" spans="1:18" ht="12" hidden="1" customHeight="1" x14ac:dyDescent="0.2">
      <c r="A297" s="245"/>
      <c r="B297" s="245"/>
      <c r="C297" s="273"/>
      <c r="D297" s="245"/>
      <c r="E297" s="245"/>
      <c r="F297" s="246"/>
      <c r="G297" s="273" t="s">
        <v>921</v>
      </c>
      <c r="H297" s="273"/>
      <c r="I297" s="277" t="s">
        <v>931</v>
      </c>
      <c r="J297" s="277"/>
      <c r="K297" s="247" t="s">
        <v>932</v>
      </c>
      <c r="L297" s="244">
        <v>0</v>
      </c>
      <c r="R297" s="244">
        <v>0</v>
      </c>
    </row>
    <row r="298" spans="1:18" ht="12" hidden="1" customHeight="1" x14ac:dyDescent="0.2">
      <c r="A298" s="245"/>
      <c r="B298" s="245"/>
      <c r="C298" s="273"/>
      <c r="D298" s="245"/>
      <c r="E298" s="245"/>
      <c r="G298" s="273" t="s">
        <v>921</v>
      </c>
      <c r="H298" s="273"/>
      <c r="I298" s="277" t="s">
        <v>933</v>
      </c>
      <c r="J298" s="277"/>
      <c r="K298" s="247" t="s">
        <v>934</v>
      </c>
      <c r="L298" s="244">
        <v>0</v>
      </c>
      <c r="R298" s="244">
        <v>0</v>
      </c>
    </row>
    <row r="299" spans="1:18" ht="12" hidden="1" customHeight="1" x14ac:dyDescent="0.2">
      <c r="A299" s="245"/>
      <c r="B299" s="245"/>
      <c r="C299" s="273"/>
      <c r="D299" s="245" t="s">
        <v>382</v>
      </c>
      <c r="E299" s="245"/>
      <c r="G299" s="273" t="s">
        <v>921</v>
      </c>
      <c r="H299" s="273"/>
      <c r="I299" s="277" t="s">
        <v>935</v>
      </c>
      <c r="J299" s="277"/>
      <c r="K299" s="247" t="s">
        <v>936</v>
      </c>
      <c r="L299" s="244">
        <v>0</v>
      </c>
      <c r="R299" s="244">
        <v>0</v>
      </c>
    </row>
    <row r="300" spans="1:18" ht="12" hidden="1" customHeight="1" x14ac:dyDescent="0.2">
      <c r="A300" s="245"/>
      <c r="B300" s="245"/>
      <c r="C300" s="273"/>
      <c r="D300" s="245"/>
      <c r="E300" s="245"/>
      <c r="G300" s="273" t="s">
        <v>921</v>
      </c>
      <c r="H300" s="273"/>
      <c r="I300" s="276" t="s">
        <v>937</v>
      </c>
      <c r="J300" s="276"/>
      <c r="K300" s="271" t="s">
        <v>938</v>
      </c>
      <c r="R300" s="244">
        <v>0</v>
      </c>
    </row>
    <row r="301" spans="1:18" ht="12" hidden="1" customHeight="1" x14ac:dyDescent="0.2">
      <c r="A301" s="278" t="s">
        <v>382</v>
      </c>
      <c r="B301" s="245"/>
      <c r="C301" s="273"/>
      <c r="D301" s="245"/>
      <c r="E301" s="245"/>
      <c r="G301" s="273" t="s">
        <v>921</v>
      </c>
      <c r="H301" s="273"/>
      <c r="I301" s="277" t="s">
        <v>939</v>
      </c>
      <c r="J301" s="277"/>
      <c r="K301" s="247" t="s">
        <v>940</v>
      </c>
      <c r="L301" s="244">
        <v>0</v>
      </c>
      <c r="R301" s="244">
        <v>0</v>
      </c>
    </row>
    <row r="302" spans="1:18" ht="12" hidden="1" customHeight="1" x14ac:dyDescent="0.2">
      <c r="A302" s="245"/>
      <c r="B302" s="245"/>
      <c r="C302" s="273"/>
      <c r="D302" s="245"/>
      <c r="E302" s="245"/>
      <c r="G302" s="247"/>
      <c r="H302" s="247"/>
      <c r="I302" s="277"/>
      <c r="J302" s="277"/>
      <c r="K302" s="247"/>
      <c r="R302" s="244">
        <v>0</v>
      </c>
    </row>
    <row r="303" spans="1:18" ht="12" hidden="1" customHeight="1" x14ac:dyDescent="0.2">
      <c r="G303" s="259"/>
      <c r="H303" s="259"/>
      <c r="I303" s="259"/>
      <c r="J303" s="259"/>
      <c r="R303" s="244">
        <v>0</v>
      </c>
    </row>
    <row r="304" spans="1:18" ht="12" hidden="1" customHeight="1" thickBot="1" x14ac:dyDescent="0.25">
      <c r="A304" s="279"/>
      <c r="B304" s="279"/>
      <c r="C304" s="279"/>
      <c r="D304" s="279"/>
      <c r="E304" s="279"/>
      <c r="F304" s="280"/>
      <c r="G304" s="282"/>
      <c r="H304" s="282"/>
      <c r="I304" s="281"/>
      <c r="J304" s="281"/>
      <c r="K304" s="289"/>
      <c r="R304" s="244">
        <v>0</v>
      </c>
    </row>
    <row r="305" spans="1:18" ht="12" hidden="1" customHeight="1" x14ac:dyDescent="0.2">
      <c r="A305" s="245"/>
      <c r="B305" s="245"/>
      <c r="C305" s="245"/>
      <c r="D305" s="245"/>
      <c r="E305" s="245"/>
      <c r="F305" s="246"/>
      <c r="G305" s="273"/>
      <c r="H305" s="273"/>
      <c r="I305" s="277"/>
      <c r="J305" s="277"/>
      <c r="K305" s="247"/>
      <c r="R305" s="244">
        <v>0</v>
      </c>
    </row>
    <row r="306" spans="1:18" ht="12" hidden="1" customHeight="1" x14ac:dyDescent="0.2">
      <c r="A306" s="245"/>
      <c r="B306" s="245"/>
      <c r="C306" s="273" t="s">
        <v>941</v>
      </c>
      <c r="D306" s="245" t="s">
        <v>942</v>
      </c>
      <c r="E306" s="245"/>
      <c r="G306" s="274" t="s">
        <v>941</v>
      </c>
      <c r="H306" s="274"/>
      <c r="I306" s="276" t="s">
        <v>943</v>
      </c>
      <c r="J306" s="276"/>
      <c r="K306" s="271" t="s">
        <v>944</v>
      </c>
      <c r="R306" s="244">
        <v>0</v>
      </c>
    </row>
    <row r="307" spans="1:18" ht="12" hidden="1" customHeight="1" x14ac:dyDescent="0.2">
      <c r="A307" s="245"/>
      <c r="B307" s="245"/>
      <c r="C307" s="245"/>
      <c r="D307" s="245"/>
      <c r="E307" s="245"/>
      <c r="F307" s="246"/>
      <c r="G307" s="273" t="s">
        <v>941</v>
      </c>
      <c r="H307" s="273"/>
      <c r="I307" s="277" t="s">
        <v>945</v>
      </c>
      <c r="J307" s="277"/>
      <c r="K307" s="247" t="s">
        <v>946</v>
      </c>
      <c r="L307" s="244">
        <v>0</v>
      </c>
      <c r="Q307" s="244">
        <v>0</v>
      </c>
      <c r="R307" s="244">
        <v>0</v>
      </c>
    </row>
    <row r="308" spans="1:18" ht="12" hidden="1" customHeight="1" x14ac:dyDescent="0.2">
      <c r="A308" s="245"/>
      <c r="B308" s="245"/>
      <c r="C308" s="245"/>
      <c r="D308" s="245"/>
      <c r="E308" s="245"/>
      <c r="G308" s="273" t="s">
        <v>941</v>
      </c>
      <c r="H308" s="273"/>
      <c r="I308" s="277" t="s">
        <v>947</v>
      </c>
      <c r="J308" s="277"/>
      <c r="K308" s="247" t="s">
        <v>948</v>
      </c>
      <c r="L308" s="244">
        <v>0</v>
      </c>
      <c r="Q308" s="244">
        <v>0</v>
      </c>
      <c r="R308" s="244">
        <v>0</v>
      </c>
    </row>
    <row r="309" spans="1:18" ht="12" hidden="1" customHeight="1" x14ac:dyDescent="0.2">
      <c r="A309" s="245"/>
      <c r="B309" s="245"/>
      <c r="C309" s="245"/>
      <c r="D309" s="245"/>
      <c r="E309" s="245"/>
      <c r="G309" s="283"/>
      <c r="H309" s="283"/>
      <c r="I309" s="276"/>
      <c r="J309" s="276"/>
      <c r="K309" s="245"/>
      <c r="Q309" s="244">
        <v>0</v>
      </c>
      <c r="R309" s="244">
        <v>0</v>
      </c>
    </row>
    <row r="310" spans="1:18" ht="12" hidden="1" customHeight="1" x14ac:dyDescent="0.2">
      <c r="A310" s="245"/>
      <c r="B310" s="245"/>
      <c r="C310" s="245"/>
      <c r="D310" s="278"/>
      <c r="E310" s="278"/>
      <c r="G310" s="247"/>
      <c r="H310" s="247"/>
      <c r="I310" s="277"/>
      <c r="J310" s="277"/>
      <c r="K310" s="247"/>
      <c r="Q310" s="244">
        <v>0</v>
      </c>
      <c r="R310" s="244">
        <v>0</v>
      </c>
    </row>
    <row r="311" spans="1:18" ht="12" hidden="1" customHeight="1" x14ac:dyDescent="0.2">
      <c r="A311" s="274">
        <v>3</v>
      </c>
      <c r="B311" s="278" t="s">
        <v>949</v>
      </c>
      <c r="C311" s="245"/>
      <c r="D311" s="278"/>
      <c r="E311" s="278"/>
      <c r="G311" s="283">
        <v>3</v>
      </c>
      <c r="H311" s="283"/>
      <c r="I311" s="276">
        <v>4</v>
      </c>
      <c r="J311" s="276"/>
      <c r="K311" s="284" t="s">
        <v>950</v>
      </c>
      <c r="Q311" s="244">
        <v>0</v>
      </c>
      <c r="R311" s="244">
        <v>0</v>
      </c>
    </row>
    <row r="312" spans="1:18" ht="12" hidden="1" customHeight="1" x14ac:dyDescent="0.2">
      <c r="A312" s="245"/>
      <c r="B312" s="278" t="s">
        <v>382</v>
      </c>
      <c r="C312" s="278"/>
      <c r="D312" s="245"/>
      <c r="E312" s="245"/>
      <c r="G312" s="247"/>
      <c r="H312" s="247"/>
      <c r="I312" s="277"/>
      <c r="J312" s="277"/>
      <c r="K312" s="247"/>
      <c r="Q312" s="244">
        <v>0</v>
      </c>
      <c r="R312" s="244">
        <v>0</v>
      </c>
    </row>
    <row r="313" spans="1:18" ht="12" hidden="1" customHeight="1" x14ac:dyDescent="0.2">
      <c r="A313" s="245"/>
      <c r="B313" s="274" t="s">
        <v>951</v>
      </c>
      <c r="C313" s="290" t="s">
        <v>952</v>
      </c>
      <c r="D313" s="245"/>
      <c r="G313" s="276" t="s">
        <v>951</v>
      </c>
      <c r="H313" s="276"/>
      <c r="I313" s="276" t="s">
        <v>953</v>
      </c>
      <c r="J313" s="276"/>
      <c r="K313" s="284" t="s">
        <v>954</v>
      </c>
      <c r="Q313" s="244">
        <v>0</v>
      </c>
      <c r="R313" s="244">
        <v>0</v>
      </c>
    </row>
    <row r="314" spans="1:18" ht="12" hidden="1" customHeight="1" x14ac:dyDescent="0.2">
      <c r="A314" s="245"/>
      <c r="B314" s="241"/>
      <c r="C314" s="245"/>
      <c r="D314" s="245"/>
      <c r="E314" s="245"/>
      <c r="G314" s="277" t="s">
        <v>951</v>
      </c>
      <c r="H314" s="277"/>
      <c r="I314" s="277" t="s">
        <v>955</v>
      </c>
      <c r="J314" s="277"/>
      <c r="K314" s="247" t="s">
        <v>956</v>
      </c>
      <c r="Q314" s="244">
        <v>0</v>
      </c>
      <c r="R314" s="244">
        <v>0</v>
      </c>
    </row>
    <row r="315" spans="1:18" ht="12" hidden="1" customHeight="1" x14ac:dyDescent="0.2">
      <c r="A315" s="245"/>
      <c r="E315" s="245"/>
      <c r="G315" s="277" t="s">
        <v>951</v>
      </c>
      <c r="H315" s="277"/>
      <c r="I315" s="277" t="s">
        <v>957</v>
      </c>
      <c r="J315" s="277"/>
      <c r="K315" s="247" t="s">
        <v>958</v>
      </c>
      <c r="Q315" s="244">
        <v>0</v>
      </c>
      <c r="R315" s="244">
        <v>0</v>
      </c>
    </row>
    <row r="316" spans="1:18" ht="12" hidden="1" customHeight="1" x14ac:dyDescent="0.2">
      <c r="A316" s="245"/>
      <c r="B316" s="241"/>
      <c r="C316" s="245"/>
      <c r="D316" s="245"/>
      <c r="E316" s="245"/>
      <c r="G316" s="277" t="s">
        <v>951</v>
      </c>
      <c r="H316" s="277"/>
      <c r="I316" s="277" t="s">
        <v>959</v>
      </c>
      <c r="J316" s="277"/>
      <c r="K316" s="247" t="s">
        <v>960</v>
      </c>
      <c r="Q316" s="244">
        <v>0</v>
      </c>
      <c r="R316" s="244">
        <v>0</v>
      </c>
    </row>
    <row r="317" spans="1:18" ht="12" hidden="1" customHeight="1" x14ac:dyDescent="0.2">
      <c r="A317" s="245"/>
      <c r="B317" s="241"/>
      <c r="C317" s="245"/>
      <c r="D317" s="245"/>
      <c r="E317" s="245"/>
      <c r="G317" s="277" t="s">
        <v>951</v>
      </c>
      <c r="H317" s="277"/>
      <c r="I317" s="277" t="s">
        <v>961</v>
      </c>
      <c r="J317" s="277"/>
      <c r="K317" s="247" t="s">
        <v>962</v>
      </c>
      <c r="Q317" s="244">
        <v>0</v>
      </c>
      <c r="R317" s="244">
        <v>0</v>
      </c>
    </row>
    <row r="318" spans="1:18" ht="12" hidden="1" customHeight="1" x14ac:dyDescent="0.2">
      <c r="A318" s="245"/>
      <c r="B318" s="241"/>
      <c r="C318" s="245"/>
      <c r="D318" s="245"/>
      <c r="E318" s="245"/>
      <c r="G318" s="277" t="s">
        <v>951</v>
      </c>
      <c r="H318" s="277"/>
      <c r="I318" s="277" t="s">
        <v>963</v>
      </c>
      <c r="J318" s="277"/>
      <c r="K318" s="247" t="s">
        <v>964</v>
      </c>
      <c r="Q318" s="244">
        <v>0</v>
      </c>
      <c r="R318" s="244">
        <v>0</v>
      </c>
    </row>
    <row r="319" spans="1:18" ht="12" hidden="1" customHeight="1" x14ac:dyDescent="0.2">
      <c r="A319" s="245"/>
      <c r="B319" s="241"/>
      <c r="C319" s="245"/>
      <c r="D319" s="245"/>
      <c r="E319" s="245"/>
      <c r="G319" s="277" t="s">
        <v>951</v>
      </c>
      <c r="H319" s="277"/>
      <c r="I319" s="277" t="s">
        <v>965</v>
      </c>
      <c r="J319" s="277"/>
      <c r="K319" s="247" t="s">
        <v>966</v>
      </c>
      <c r="Q319" s="244">
        <v>0</v>
      </c>
      <c r="R319" s="244">
        <v>0</v>
      </c>
    </row>
    <row r="320" spans="1:18" ht="12" hidden="1" customHeight="1" x14ac:dyDescent="0.2">
      <c r="A320" s="245"/>
      <c r="B320" s="241"/>
      <c r="C320" s="245"/>
      <c r="D320" s="245"/>
      <c r="E320" s="245"/>
      <c r="G320" s="277" t="s">
        <v>951</v>
      </c>
      <c r="H320" s="277"/>
      <c r="I320" s="277" t="s">
        <v>967</v>
      </c>
      <c r="J320" s="277"/>
      <c r="K320" s="247" t="s">
        <v>968</v>
      </c>
      <c r="Q320" s="244">
        <v>0</v>
      </c>
      <c r="R320" s="244">
        <v>0</v>
      </c>
    </row>
    <row r="321" spans="1:18" ht="12" hidden="1" customHeight="1" x14ac:dyDescent="0.2">
      <c r="A321" s="245"/>
      <c r="B321" s="241"/>
      <c r="C321" s="245"/>
      <c r="D321" s="245"/>
      <c r="E321" s="245"/>
      <c r="G321" s="277" t="s">
        <v>951</v>
      </c>
      <c r="H321" s="277"/>
      <c r="I321" s="277" t="s">
        <v>969</v>
      </c>
      <c r="J321" s="277"/>
      <c r="K321" s="247" t="s">
        <v>970</v>
      </c>
      <c r="Q321" s="244">
        <v>0</v>
      </c>
      <c r="R321" s="244">
        <v>0</v>
      </c>
    </row>
    <row r="322" spans="1:18" ht="12" hidden="1" customHeight="1" x14ac:dyDescent="0.2">
      <c r="A322" s="245"/>
      <c r="B322" s="241"/>
      <c r="C322" s="245"/>
      <c r="D322" s="278"/>
      <c r="E322" s="278"/>
      <c r="G322" s="247"/>
      <c r="H322" s="247"/>
      <c r="I322" s="277"/>
      <c r="J322" s="277"/>
      <c r="K322" s="245"/>
      <c r="Q322" s="244">
        <v>0</v>
      </c>
      <c r="R322" s="244">
        <v>0</v>
      </c>
    </row>
    <row r="323" spans="1:18" ht="12" hidden="1" customHeight="1" x14ac:dyDescent="0.2">
      <c r="A323" s="245"/>
      <c r="B323" s="239" t="s">
        <v>971</v>
      </c>
      <c r="C323" s="278" t="s">
        <v>972</v>
      </c>
      <c r="E323" s="245"/>
      <c r="G323" s="276" t="s">
        <v>971</v>
      </c>
      <c r="H323" s="276"/>
      <c r="I323" s="276" t="s">
        <v>973</v>
      </c>
      <c r="J323" s="276"/>
      <c r="K323" s="284" t="s">
        <v>972</v>
      </c>
      <c r="Q323" s="244">
        <v>0</v>
      </c>
      <c r="R323" s="244">
        <v>0</v>
      </c>
    </row>
    <row r="324" spans="1:18" ht="12" hidden="1" customHeight="1" x14ac:dyDescent="0.2">
      <c r="A324" s="245"/>
      <c r="B324" s="245"/>
      <c r="C324" s="245"/>
      <c r="D324" s="245"/>
      <c r="E324" s="245"/>
      <c r="G324" s="277" t="s">
        <v>971</v>
      </c>
      <c r="H324" s="277"/>
      <c r="I324" s="277" t="s">
        <v>974</v>
      </c>
      <c r="J324" s="277"/>
      <c r="K324" s="247" t="s">
        <v>975</v>
      </c>
      <c r="Q324" s="244">
        <v>0</v>
      </c>
      <c r="R324" s="244">
        <v>0</v>
      </c>
    </row>
    <row r="325" spans="1:18" ht="12" hidden="1" customHeight="1" x14ac:dyDescent="0.2">
      <c r="A325" s="245"/>
      <c r="B325" s="245"/>
      <c r="C325" s="245"/>
      <c r="D325" s="245"/>
      <c r="E325" s="245"/>
      <c r="G325" s="277" t="s">
        <v>971</v>
      </c>
      <c r="H325" s="277"/>
      <c r="I325" s="277" t="s">
        <v>976</v>
      </c>
      <c r="J325" s="277"/>
      <c r="K325" s="247" t="s">
        <v>977</v>
      </c>
      <c r="Q325" s="244">
        <v>0</v>
      </c>
      <c r="R325" s="244">
        <v>0</v>
      </c>
    </row>
    <row r="326" spans="1:18" ht="12" hidden="1" customHeight="1" x14ac:dyDescent="0.2">
      <c r="A326" s="245"/>
      <c r="B326" s="245"/>
      <c r="C326" s="245"/>
      <c r="D326" s="245"/>
      <c r="E326" s="245"/>
      <c r="G326" s="277" t="s">
        <v>971</v>
      </c>
      <c r="H326" s="277"/>
      <c r="I326" s="277" t="s">
        <v>978</v>
      </c>
      <c r="J326" s="277"/>
      <c r="K326" s="247" t="s">
        <v>979</v>
      </c>
      <c r="Q326" s="244">
        <v>0</v>
      </c>
      <c r="R326" s="244">
        <v>0</v>
      </c>
    </row>
    <row r="327" spans="1:18" ht="12" hidden="1" customHeight="1" x14ac:dyDescent="0.2">
      <c r="A327" s="245"/>
      <c r="B327" s="245"/>
      <c r="C327" s="245"/>
      <c r="D327" s="245"/>
      <c r="E327" s="245"/>
      <c r="G327" s="277" t="s">
        <v>971</v>
      </c>
      <c r="H327" s="277"/>
      <c r="I327" s="277" t="s">
        <v>980</v>
      </c>
      <c r="J327" s="277"/>
      <c r="K327" s="247" t="s">
        <v>981</v>
      </c>
      <c r="Q327" s="244">
        <v>0</v>
      </c>
      <c r="R327" s="244">
        <v>0</v>
      </c>
    </row>
    <row r="328" spans="1:18" ht="12" hidden="1" customHeight="1" x14ac:dyDescent="0.2">
      <c r="A328" s="245"/>
      <c r="B328" s="245"/>
      <c r="C328" s="245"/>
      <c r="D328" s="245"/>
      <c r="E328" s="245"/>
      <c r="G328" s="277" t="s">
        <v>971</v>
      </c>
      <c r="H328" s="277"/>
      <c r="I328" s="277" t="s">
        <v>982</v>
      </c>
      <c r="J328" s="277"/>
      <c r="K328" s="247" t="s">
        <v>983</v>
      </c>
      <c r="Q328" s="244">
        <v>0</v>
      </c>
      <c r="R328" s="244">
        <v>0</v>
      </c>
    </row>
    <row r="329" spans="1:18" ht="12" hidden="1" customHeight="1" x14ac:dyDescent="0.2">
      <c r="A329" s="245"/>
      <c r="B329" s="245"/>
      <c r="C329" s="245"/>
      <c r="D329" s="245"/>
      <c r="E329" s="245"/>
      <c r="G329" s="277" t="s">
        <v>971</v>
      </c>
      <c r="H329" s="277"/>
      <c r="I329" s="277" t="s">
        <v>984</v>
      </c>
      <c r="J329" s="277"/>
      <c r="K329" s="247" t="s">
        <v>985</v>
      </c>
      <c r="Q329" s="244">
        <v>0</v>
      </c>
      <c r="R329" s="244">
        <v>0</v>
      </c>
    </row>
    <row r="330" spans="1:18" ht="12" hidden="1" customHeight="1" x14ac:dyDescent="0.2">
      <c r="A330" s="245"/>
      <c r="B330" s="245"/>
      <c r="C330" s="245"/>
      <c r="D330" s="245"/>
      <c r="E330" s="245"/>
      <c r="G330" s="277" t="s">
        <v>971</v>
      </c>
      <c r="H330" s="277"/>
      <c r="I330" s="277" t="s">
        <v>986</v>
      </c>
      <c r="J330" s="277"/>
      <c r="K330" s="247" t="s">
        <v>987</v>
      </c>
      <c r="Q330" s="244">
        <v>0</v>
      </c>
      <c r="R330" s="244">
        <v>0</v>
      </c>
    </row>
    <row r="331" spans="1:18" ht="12" hidden="1" customHeight="1" x14ac:dyDescent="0.2">
      <c r="A331" s="245"/>
      <c r="B331" s="245"/>
      <c r="C331" s="245"/>
      <c r="D331" s="245"/>
      <c r="E331" s="245"/>
      <c r="G331" s="277" t="s">
        <v>971</v>
      </c>
      <c r="H331" s="277"/>
      <c r="I331" s="277" t="s">
        <v>988</v>
      </c>
      <c r="J331" s="277"/>
      <c r="K331" s="247" t="s">
        <v>989</v>
      </c>
      <c r="Q331" s="244">
        <v>0</v>
      </c>
      <c r="R331" s="244">
        <v>0</v>
      </c>
    </row>
    <row r="332" spans="1:18" ht="12" hidden="1" customHeight="1" x14ac:dyDescent="0.2">
      <c r="A332" s="245"/>
      <c r="B332" s="245"/>
      <c r="C332" s="245"/>
      <c r="D332" s="245"/>
      <c r="E332" s="245"/>
      <c r="G332" s="247"/>
      <c r="H332" s="247"/>
      <c r="I332" s="277"/>
      <c r="J332" s="277"/>
      <c r="K332" s="245"/>
      <c r="Q332" s="244">
        <v>0</v>
      </c>
      <c r="R332" s="244">
        <v>0</v>
      </c>
    </row>
    <row r="333" spans="1:18" ht="12" hidden="1" customHeight="1" x14ac:dyDescent="0.2">
      <c r="A333" s="245"/>
      <c r="B333" s="274" t="s">
        <v>990</v>
      </c>
      <c r="C333" s="278" t="s">
        <v>991</v>
      </c>
      <c r="D333" s="245"/>
      <c r="E333" s="245"/>
      <c r="G333" s="276" t="s">
        <v>990</v>
      </c>
      <c r="H333" s="276"/>
      <c r="I333" s="276">
        <v>8</v>
      </c>
      <c r="J333" s="276"/>
      <c r="K333" s="284" t="s">
        <v>992</v>
      </c>
      <c r="Q333" s="244">
        <v>0</v>
      </c>
      <c r="R333" s="244">
        <v>0</v>
      </c>
    </row>
    <row r="334" spans="1:18" ht="12" hidden="1" customHeight="1" x14ac:dyDescent="0.2">
      <c r="A334" s="245"/>
      <c r="B334" s="245"/>
      <c r="C334" s="245"/>
      <c r="D334" s="245"/>
      <c r="E334" s="245"/>
      <c r="G334" s="247"/>
      <c r="H334" s="247"/>
      <c r="I334" s="277"/>
      <c r="J334" s="277"/>
      <c r="K334" s="245"/>
      <c r="Q334" s="244">
        <v>0</v>
      </c>
      <c r="R334" s="244">
        <v>0</v>
      </c>
    </row>
    <row r="335" spans="1:18" ht="12" hidden="1" customHeight="1" x14ac:dyDescent="0.2">
      <c r="A335" s="245"/>
      <c r="B335" s="245"/>
      <c r="C335" s="273" t="s">
        <v>993</v>
      </c>
      <c r="D335" s="245" t="s">
        <v>994</v>
      </c>
      <c r="E335" s="245"/>
      <c r="G335" s="247"/>
      <c r="H335" s="247"/>
      <c r="I335" s="245"/>
      <c r="J335" s="245"/>
      <c r="K335" s="245"/>
      <c r="Q335" s="244">
        <v>0</v>
      </c>
      <c r="R335" s="244">
        <v>0</v>
      </c>
    </row>
    <row r="336" spans="1:18" ht="12" hidden="1" customHeight="1" x14ac:dyDescent="0.2">
      <c r="A336" s="245"/>
      <c r="B336" s="245"/>
      <c r="C336" s="245"/>
      <c r="D336" s="245"/>
      <c r="E336" s="245"/>
      <c r="G336" s="276" t="s">
        <v>993</v>
      </c>
      <c r="H336" s="276"/>
      <c r="I336" s="276" t="s">
        <v>995</v>
      </c>
      <c r="J336" s="276"/>
      <c r="K336" s="284" t="s">
        <v>996</v>
      </c>
      <c r="Q336" s="244">
        <v>0</v>
      </c>
      <c r="R336" s="244">
        <v>0</v>
      </c>
    </row>
    <row r="337" spans="1:18" ht="12" hidden="1" customHeight="1" x14ac:dyDescent="0.2">
      <c r="A337" s="245"/>
      <c r="B337" s="245"/>
      <c r="C337" s="245"/>
      <c r="D337" s="245"/>
      <c r="E337" s="245"/>
      <c r="G337" s="277" t="s">
        <v>993</v>
      </c>
      <c r="H337" s="277"/>
      <c r="I337" s="277" t="s">
        <v>997</v>
      </c>
      <c r="J337" s="277"/>
      <c r="K337" s="247" t="s">
        <v>998</v>
      </c>
      <c r="Q337" s="244">
        <v>0</v>
      </c>
      <c r="R337" s="244">
        <v>0</v>
      </c>
    </row>
    <row r="338" spans="1:18" ht="12" hidden="1" customHeight="1" x14ac:dyDescent="0.2">
      <c r="A338" s="245"/>
      <c r="B338" s="245"/>
      <c r="C338" s="245"/>
      <c r="D338" s="245"/>
      <c r="E338" s="245"/>
      <c r="G338" s="277" t="s">
        <v>993</v>
      </c>
      <c r="H338" s="277"/>
      <c r="I338" s="277" t="s">
        <v>999</v>
      </c>
      <c r="J338" s="277"/>
      <c r="K338" s="247" t="s">
        <v>1000</v>
      </c>
      <c r="Q338" s="244">
        <v>0</v>
      </c>
      <c r="R338" s="244">
        <v>0</v>
      </c>
    </row>
    <row r="339" spans="1:18" ht="12" hidden="1" customHeight="1" x14ac:dyDescent="0.2">
      <c r="A339" s="245"/>
      <c r="B339" s="245"/>
      <c r="C339" s="245"/>
      <c r="D339" s="245"/>
      <c r="E339" s="245"/>
      <c r="G339" s="276" t="s">
        <v>993</v>
      </c>
      <c r="H339" s="276"/>
      <c r="I339" s="276" t="s">
        <v>1001</v>
      </c>
      <c r="J339" s="276"/>
      <c r="K339" s="284" t="s">
        <v>1002</v>
      </c>
      <c r="Q339" s="244">
        <v>0</v>
      </c>
      <c r="R339" s="244">
        <v>0</v>
      </c>
    </row>
    <row r="340" spans="1:18" ht="12" hidden="1" customHeight="1" x14ac:dyDescent="0.2">
      <c r="A340" s="245"/>
      <c r="B340" s="245"/>
      <c r="C340" s="245"/>
      <c r="D340" s="245"/>
      <c r="E340" s="245"/>
      <c r="G340" s="277" t="s">
        <v>993</v>
      </c>
      <c r="H340" s="277"/>
      <c r="I340" s="277" t="s">
        <v>1003</v>
      </c>
      <c r="J340" s="277"/>
      <c r="K340" s="247" t="s">
        <v>1004</v>
      </c>
      <c r="Q340" s="244">
        <v>0</v>
      </c>
      <c r="R340" s="244">
        <v>0</v>
      </c>
    </row>
    <row r="341" spans="1:18" ht="12" hidden="1" customHeight="1" x14ac:dyDescent="0.2">
      <c r="A341" s="245"/>
      <c r="B341" s="245"/>
      <c r="C341" s="245"/>
      <c r="D341" s="245"/>
      <c r="E341" s="245"/>
      <c r="G341" s="277" t="s">
        <v>993</v>
      </c>
      <c r="H341" s="277"/>
      <c r="I341" s="277" t="s">
        <v>1005</v>
      </c>
      <c r="J341" s="277"/>
      <c r="K341" s="247" t="s">
        <v>1006</v>
      </c>
      <c r="Q341" s="244">
        <v>0</v>
      </c>
      <c r="R341" s="244">
        <v>0</v>
      </c>
    </row>
    <row r="342" spans="1:18" ht="12" hidden="1" customHeight="1" x14ac:dyDescent="0.2">
      <c r="A342" s="245"/>
      <c r="B342" s="245"/>
      <c r="C342" s="245"/>
      <c r="D342" s="245"/>
      <c r="E342" s="245"/>
      <c r="G342" s="277" t="s">
        <v>993</v>
      </c>
      <c r="H342" s="277"/>
      <c r="I342" s="277" t="s">
        <v>1007</v>
      </c>
      <c r="J342" s="277"/>
      <c r="K342" s="247" t="s">
        <v>1008</v>
      </c>
      <c r="Q342" s="244">
        <v>0</v>
      </c>
      <c r="R342" s="244">
        <v>0</v>
      </c>
    </row>
    <row r="343" spans="1:18" ht="12" hidden="1" customHeight="1" x14ac:dyDescent="0.2">
      <c r="A343" s="245"/>
      <c r="B343" s="245"/>
      <c r="C343" s="245"/>
      <c r="D343" s="245"/>
      <c r="E343" s="245"/>
      <c r="G343" s="277" t="s">
        <v>993</v>
      </c>
      <c r="H343" s="277"/>
      <c r="I343" s="277" t="s">
        <v>1009</v>
      </c>
      <c r="J343" s="277"/>
      <c r="K343" s="247" t="s">
        <v>1010</v>
      </c>
      <c r="L343" s="291"/>
      <c r="M343" s="291"/>
      <c r="N343" s="291"/>
      <c r="O343" s="291"/>
      <c r="P343" s="291"/>
      <c r="Q343" s="244">
        <v>0</v>
      </c>
      <c r="R343" s="244">
        <v>0</v>
      </c>
    </row>
    <row r="344" spans="1:18" ht="12" hidden="1" customHeight="1" x14ac:dyDescent="0.2">
      <c r="A344" s="245"/>
      <c r="B344" s="245"/>
      <c r="C344" s="245"/>
      <c r="D344" s="245"/>
      <c r="E344" s="245"/>
      <c r="G344" s="277" t="s">
        <v>993</v>
      </c>
      <c r="H344" s="277"/>
      <c r="I344" s="277" t="s">
        <v>1011</v>
      </c>
      <c r="J344" s="277"/>
      <c r="K344" s="247" t="s">
        <v>1012</v>
      </c>
      <c r="Q344" s="244">
        <v>0</v>
      </c>
      <c r="R344" s="244">
        <v>0</v>
      </c>
    </row>
    <row r="345" spans="1:18" ht="12" hidden="1" customHeight="1" x14ac:dyDescent="0.2">
      <c r="A345" s="245"/>
      <c r="B345" s="245"/>
      <c r="C345" s="245"/>
      <c r="D345" s="245"/>
      <c r="E345" s="245"/>
      <c r="G345" s="277" t="s">
        <v>993</v>
      </c>
      <c r="H345" s="277"/>
      <c r="I345" s="277" t="s">
        <v>1013</v>
      </c>
      <c r="J345" s="277"/>
      <c r="K345" s="247" t="s">
        <v>1014</v>
      </c>
      <c r="Q345" s="244">
        <v>0</v>
      </c>
      <c r="R345" s="244">
        <v>0</v>
      </c>
    </row>
    <row r="346" spans="1:18" ht="12" hidden="1" customHeight="1" x14ac:dyDescent="0.2">
      <c r="A346" s="245"/>
      <c r="B346" s="245"/>
      <c r="C346" s="245"/>
      <c r="D346" s="245"/>
      <c r="E346" s="245"/>
      <c r="G346" s="277" t="s">
        <v>993</v>
      </c>
      <c r="H346" s="277"/>
      <c r="I346" s="277" t="s">
        <v>1015</v>
      </c>
      <c r="J346" s="277"/>
      <c r="K346" s="247" t="s">
        <v>1016</v>
      </c>
      <c r="Q346" s="244">
        <v>0</v>
      </c>
      <c r="R346" s="244">
        <v>0</v>
      </c>
    </row>
    <row r="347" spans="1:18" ht="12" hidden="1" customHeight="1" x14ac:dyDescent="0.2">
      <c r="A347" s="245"/>
      <c r="B347" s="245"/>
      <c r="C347" s="245"/>
      <c r="D347" s="245"/>
      <c r="E347" s="245"/>
      <c r="F347" s="292"/>
      <c r="G347" s="276" t="s">
        <v>993</v>
      </c>
      <c r="H347" s="276"/>
      <c r="I347" s="276" t="s">
        <v>1017</v>
      </c>
      <c r="J347" s="276"/>
      <c r="K347" s="284" t="s">
        <v>1018</v>
      </c>
      <c r="Q347" s="244">
        <v>0</v>
      </c>
      <c r="R347" s="244">
        <v>0</v>
      </c>
    </row>
    <row r="348" spans="1:18" ht="12" hidden="1" customHeight="1" x14ac:dyDescent="0.2">
      <c r="A348" s="245"/>
      <c r="B348" s="245"/>
      <c r="C348" s="245"/>
      <c r="D348" s="245"/>
      <c r="E348" s="245"/>
      <c r="G348" s="277" t="s">
        <v>993</v>
      </c>
      <c r="H348" s="277"/>
      <c r="I348" s="277" t="s">
        <v>1019</v>
      </c>
      <c r="J348" s="277"/>
      <c r="K348" s="247" t="s">
        <v>1020</v>
      </c>
      <c r="Q348" s="244">
        <v>0</v>
      </c>
      <c r="R348" s="244">
        <v>0</v>
      </c>
    </row>
    <row r="349" spans="1:18" ht="12" hidden="1" customHeight="1" x14ac:dyDescent="0.2">
      <c r="A349" s="245"/>
      <c r="B349" s="245"/>
      <c r="C349" s="245"/>
      <c r="D349" s="245"/>
      <c r="E349" s="245"/>
      <c r="G349" s="277"/>
      <c r="H349" s="277"/>
      <c r="I349" s="277"/>
      <c r="J349" s="277"/>
      <c r="K349" s="247"/>
      <c r="Q349" s="244">
        <v>0</v>
      </c>
      <c r="R349" s="244">
        <v>0</v>
      </c>
    </row>
    <row r="350" spans="1:18" ht="12" hidden="1" customHeight="1" x14ac:dyDescent="0.2">
      <c r="A350" s="245"/>
      <c r="B350" s="245"/>
      <c r="C350" s="273" t="s">
        <v>1021</v>
      </c>
      <c r="D350" s="245" t="s">
        <v>1022</v>
      </c>
      <c r="E350" s="245"/>
      <c r="G350" s="247"/>
      <c r="H350" s="247"/>
      <c r="I350" s="277"/>
      <c r="J350" s="277"/>
      <c r="K350" s="245"/>
      <c r="Q350" s="244">
        <v>0</v>
      </c>
      <c r="R350" s="244">
        <v>0</v>
      </c>
    </row>
    <row r="351" spans="1:18" ht="12" hidden="1" customHeight="1" x14ac:dyDescent="0.2">
      <c r="A351" s="245"/>
      <c r="B351" s="245"/>
      <c r="C351" s="245"/>
      <c r="D351" s="245"/>
      <c r="E351" s="245"/>
      <c r="G351" s="276" t="s">
        <v>1021</v>
      </c>
      <c r="H351" s="276"/>
      <c r="I351" s="276" t="s">
        <v>995</v>
      </c>
      <c r="J351" s="276"/>
      <c r="K351" s="284" t="s">
        <v>996</v>
      </c>
      <c r="Q351" s="244">
        <v>0</v>
      </c>
      <c r="R351" s="244">
        <v>0</v>
      </c>
    </row>
    <row r="352" spans="1:18" ht="12" hidden="1" customHeight="1" x14ac:dyDescent="0.2">
      <c r="A352" s="245"/>
      <c r="B352" s="245"/>
      <c r="C352" s="245"/>
      <c r="D352" s="245"/>
      <c r="E352" s="245"/>
      <c r="F352" s="246"/>
      <c r="G352" s="277" t="s">
        <v>1021</v>
      </c>
      <c r="H352" s="277"/>
      <c r="I352" s="277" t="s">
        <v>1023</v>
      </c>
      <c r="J352" s="277"/>
      <c r="K352" s="247" t="s">
        <v>1024</v>
      </c>
      <c r="Q352" s="244">
        <v>0</v>
      </c>
      <c r="R352" s="244">
        <v>0</v>
      </c>
    </row>
    <row r="353" spans="1:18" ht="12" hidden="1" customHeight="1" x14ac:dyDescent="0.2">
      <c r="A353" s="245"/>
      <c r="B353" s="245"/>
      <c r="C353" s="245"/>
      <c r="D353" s="245"/>
      <c r="E353" s="245"/>
      <c r="F353" s="246"/>
      <c r="G353" s="277" t="s">
        <v>1021</v>
      </c>
      <c r="H353" s="277"/>
      <c r="I353" s="277" t="s">
        <v>1025</v>
      </c>
      <c r="J353" s="277"/>
      <c r="K353" s="247" t="s">
        <v>1026</v>
      </c>
      <c r="Q353" s="244">
        <v>0</v>
      </c>
      <c r="R353" s="244">
        <v>0</v>
      </c>
    </row>
    <row r="354" spans="1:18" ht="12" hidden="1" customHeight="1" x14ac:dyDescent="0.2">
      <c r="A354" s="245"/>
      <c r="B354" s="245"/>
      <c r="C354" s="245"/>
      <c r="D354" s="245"/>
      <c r="E354" s="245"/>
      <c r="F354" s="246"/>
      <c r="G354" s="276" t="s">
        <v>1021</v>
      </c>
      <c r="H354" s="276"/>
      <c r="I354" s="276" t="s">
        <v>1001</v>
      </c>
      <c r="J354" s="276"/>
      <c r="K354" s="284" t="s">
        <v>1002</v>
      </c>
      <c r="Q354" s="244">
        <v>0</v>
      </c>
      <c r="R354" s="244">
        <v>0</v>
      </c>
    </row>
    <row r="355" spans="1:18" ht="12" hidden="1" customHeight="1" x14ac:dyDescent="0.2">
      <c r="A355" s="245"/>
      <c r="B355" s="245"/>
      <c r="C355" s="245"/>
      <c r="D355" s="245"/>
      <c r="E355" s="245"/>
      <c r="F355" s="246"/>
      <c r="G355" s="277" t="s">
        <v>1021</v>
      </c>
      <c r="H355" s="277"/>
      <c r="I355" s="277" t="s">
        <v>1027</v>
      </c>
      <c r="J355" s="277"/>
      <c r="K355" s="247" t="s">
        <v>1028</v>
      </c>
      <c r="Q355" s="244">
        <v>0</v>
      </c>
      <c r="R355" s="244">
        <v>0</v>
      </c>
    </row>
    <row r="356" spans="1:18" ht="12" hidden="1" customHeight="1" x14ac:dyDescent="0.2">
      <c r="A356" s="245"/>
      <c r="B356" s="245"/>
      <c r="C356" s="245"/>
      <c r="D356" s="245"/>
      <c r="E356" s="245"/>
      <c r="F356" s="246"/>
      <c r="G356" s="247"/>
      <c r="H356" s="247"/>
      <c r="I356" s="277"/>
      <c r="J356" s="277"/>
      <c r="K356" s="245"/>
      <c r="Q356" s="244">
        <v>0</v>
      </c>
      <c r="R356" s="244">
        <v>0</v>
      </c>
    </row>
    <row r="357" spans="1:18" ht="12" hidden="1" customHeight="1" x14ac:dyDescent="0.2">
      <c r="A357" s="245"/>
      <c r="B357" s="274" t="s">
        <v>1029</v>
      </c>
      <c r="C357" s="278" t="s">
        <v>1030</v>
      </c>
      <c r="D357" s="278"/>
      <c r="E357" s="283"/>
      <c r="F357" s="293"/>
      <c r="G357" s="276" t="s">
        <v>1029</v>
      </c>
      <c r="H357" s="276"/>
      <c r="I357" s="276" t="s">
        <v>1031</v>
      </c>
      <c r="J357" s="276"/>
      <c r="K357" s="284" t="s">
        <v>1030</v>
      </c>
      <c r="Q357" s="244">
        <v>0</v>
      </c>
      <c r="R357" s="244">
        <v>0</v>
      </c>
    </row>
    <row r="358" spans="1:18" ht="12" hidden="1" customHeight="1" x14ac:dyDescent="0.2">
      <c r="A358" s="245"/>
      <c r="B358" s="245"/>
      <c r="C358" s="245"/>
      <c r="D358" s="245"/>
      <c r="E358" s="245"/>
      <c r="F358" s="246"/>
      <c r="G358" s="277" t="s">
        <v>1029</v>
      </c>
      <c r="H358" s="277"/>
      <c r="I358" s="277" t="s">
        <v>1032</v>
      </c>
      <c r="J358" s="277"/>
      <c r="K358" s="247" t="s">
        <v>1033</v>
      </c>
      <c r="Q358" s="244">
        <v>0</v>
      </c>
      <c r="R358" s="244">
        <v>0</v>
      </c>
    </row>
    <row r="359" spans="1:18" ht="12" hidden="1" customHeight="1" x14ac:dyDescent="0.2">
      <c r="A359" s="245"/>
      <c r="B359" s="245"/>
      <c r="C359" s="245"/>
      <c r="D359" s="245"/>
      <c r="E359" s="245" t="s">
        <v>382</v>
      </c>
      <c r="F359" s="246"/>
      <c r="G359" s="277" t="s">
        <v>1029</v>
      </c>
      <c r="H359" s="277"/>
      <c r="I359" s="277" t="s">
        <v>1034</v>
      </c>
      <c r="J359" s="277"/>
      <c r="K359" s="247" t="s">
        <v>1035</v>
      </c>
      <c r="Q359" s="244">
        <v>0</v>
      </c>
      <c r="R359" s="244">
        <v>0</v>
      </c>
    </row>
    <row r="360" spans="1:18" ht="12" customHeight="1" x14ac:dyDescent="0.2">
      <c r="A360" s="245"/>
      <c r="B360" s="245"/>
      <c r="C360" s="245"/>
      <c r="D360" s="245"/>
      <c r="E360" s="245"/>
      <c r="F360" s="246"/>
      <c r="G360" s="247"/>
      <c r="H360" s="247"/>
      <c r="I360" s="277"/>
      <c r="J360" s="277"/>
      <c r="K360" s="247"/>
    </row>
    <row r="361" spans="1:18" ht="12" customHeight="1" x14ac:dyDescent="0.2">
      <c r="D361" s="283"/>
      <c r="E361" s="278"/>
      <c r="F361" s="294"/>
      <c r="G361" s="277" t="s">
        <v>382</v>
      </c>
      <c r="H361" s="277"/>
      <c r="I361" s="276">
        <v>9</v>
      </c>
      <c r="J361" s="276"/>
      <c r="K361" s="284" t="s">
        <v>58</v>
      </c>
    </row>
    <row r="362" spans="1:18" s="253" customFormat="1" ht="20.100000000000001" customHeight="1" x14ac:dyDescent="0.2">
      <c r="A362" s="309">
        <v>4</v>
      </c>
      <c r="B362" s="1575" t="s">
        <v>1036</v>
      </c>
      <c r="C362" s="1575"/>
      <c r="D362" s="313"/>
      <c r="E362" s="313"/>
      <c r="F362" s="314"/>
      <c r="G362" s="313" t="s">
        <v>382</v>
      </c>
      <c r="H362" s="313"/>
      <c r="I362" s="313" t="s">
        <v>268</v>
      </c>
      <c r="J362" s="315"/>
      <c r="K362" s="313" t="s">
        <v>1037</v>
      </c>
      <c r="L362" s="325">
        <f>+L364</f>
        <v>328800</v>
      </c>
      <c r="M362" s="325">
        <f>+M364</f>
        <v>0</v>
      </c>
      <c r="N362" s="325">
        <f>+N364</f>
        <v>0</v>
      </c>
      <c r="O362" s="325">
        <f>+O364</f>
        <v>0</v>
      </c>
      <c r="P362" s="325">
        <f>+P364</f>
        <v>0</v>
      </c>
      <c r="Q362" s="325">
        <v>420617200</v>
      </c>
      <c r="R362" s="325">
        <v>0</v>
      </c>
    </row>
    <row r="363" spans="1:18" ht="12" hidden="1" customHeight="1" x14ac:dyDescent="0.2">
      <c r="A363" s="245"/>
      <c r="B363" s="245"/>
      <c r="C363" s="245"/>
      <c r="D363" s="245"/>
      <c r="E363" s="245"/>
      <c r="F363" s="246"/>
      <c r="G363" s="277">
        <v>4</v>
      </c>
      <c r="H363" s="277"/>
      <c r="I363" s="277" t="s">
        <v>270</v>
      </c>
      <c r="J363" s="277"/>
      <c r="K363" s="247" t="s">
        <v>1038</v>
      </c>
    </row>
    <row r="364" spans="1:18" ht="12" customHeight="1" x14ac:dyDescent="0.2">
      <c r="A364" s="245"/>
      <c r="B364" s="245"/>
      <c r="C364" s="245"/>
      <c r="D364" s="245"/>
      <c r="E364" s="245"/>
      <c r="F364" s="246"/>
      <c r="G364" s="277">
        <v>4</v>
      </c>
      <c r="H364" s="277"/>
      <c r="I364" s="277" t="s">
        <v>271</v>
      </c>
      <c r="J364" s="277"/>
      <c r="K364" s="247" t="s">
        <v>1039</v>
      </c>
      <c r="L364" s="244">
        <v>328800</v>
      </c>
      <c r="M364" s="244">
        <v>0</v>
      </c>
      <c r="N364" s="244">
        <v>0</v>
      </c>
      <c r="O364" s="244">
        <v>0</v>
      </c>
      <c r="P364" s="244">
        <v>0</v>
      </c>
      <c r="Q364" s="244">
        <v>420617200</v>
      </c>
      <c r="R364" s="244">
        <v>0</v>
      </c>
    </row>
    <row r="365" spans="1:18" ht="12" hidden="1" customHeight="1" x14ac:dyDescent="0.2">
      <c r="Q365" s="280"/>
      <c r="R365" s="280"/>
    </row>
    <row r="366" spans="1:18" ht="7.5" customHeight="1" thickBot="1" x14ac:dyDescent="0.25">
      <c r="A366" s="279"/>
      <c r="B366" s="279"/>
      <c r="C366" s="279"/>
      <c r="D366" s="279"/>
      <c r="E366" s="279" t="s">
        <v>382</v>
      </c>
      <c r="F366" s="280"/>
      <c r="G366" s="289"/>
      <c r="H366" s="289"/>
      <c r="I366" s="281"/>
      <c r="J366" s="281"/>
      <c r="K366" s="279"/>
      <c r="L366" s="280"/>
      <c r="M366" s="280"/>
      <c r="N366" s="280"/>
      <c r="O366" s="280"/>
      <c r="P366" s="280"/>
      <c r="Q366" s="280"/>
      <c r="R366" s="280"/>
    </row>
    <row r="367" spans="1:18" x14ac:dyDescent="0.2">
      <c r="G367" s="259"/>
      <c r="H367" s="259"/>
      <c r="I367" s="259"/>
      <c r="J367" s="259"/>
    </row>
    <row r="368" spans="1:18" s="316" customFormat="1" ht="21.9" customHeight="1" x14ac:dyDescent="0.25">
      <c r="A368" s="1565" t="s">
        <v>21</v>
      </c>
      <c r="B368" s="1565"/>
      <c r="C368" s="1565"/>
      <c r="D368" s="1565"/>
      <c r="E368" s="318"/>
      <c r="F368" s="319"/>
      <c r="G368" s="318"/>
      <c r="H368" s="318"/>
      <c r="I368" s="318"/>
      <c r="J368" s="318"/>
      <c r="K368" s="318"/>
      <c r="L368" s="319" t="e">
        <f>+L362+L10+L243</f>
        <v>#REF!</v>
      </c>
      <c r="M368" s="319" t="e">
        <f>+M362+M10+M243</f>
        <v>#REF!</v>
      </c>
      <c r="N368" s="319" t="e">
        <f>+N362+N10+N243</f>
        <v>#REF!</v>
      </c>
      <c r="O368" s="319" t="e">
        <f>+O362+O10+O243</f>
        <v>#REF!</v>
      </c>
      <c r="P368" s="319" t="e">
        <f>+P362+P10+P243</f>
        <v>#REF!</v>
      </c>
      <c r="Q368" s="319">
        <v>9464903668.1720867</v>
      </c>
      <c r="R368" s="319">
        <v>8885262093.6599998</v>
      </c>
    </row>
  </sheetData>
  <mergeCells count="20">
    <mergeCell ref="Q7:Q8"/>
    <mergeCell ref="R7:R8"/>
    <mergeCell ref="A1:R1"/>
    <mergeCell ref="A2:R2"/>
    <mergeCell ref="A3:R3"/>
    <mergeCell ref="A4:R4"/>
    <mergeCell ref="O7:O8"/>
    <mergeCell ref="P7:P8"/>
    <mergeCell ref="A5:L5"/>
    <mergeCell ref="A7:F8"/>
    <mergeCell ref="N7:N8"/>
    <mergeCell ref="L7:L8"/>
    <mergeCell ref="B362:C362"/>
    <mergeCell ref="A368:D368"/>
    <mergeCell ref="M7:M8"/>
    <mergeCell ref="B10:D10"/>
    <mergeCell ref="D200:E200"/>
    <mergeCell ref="D216:E216"/>
    <mergeCell ref="B243:C243"/>
    <mergeCell ref="K7:K8"/>
  </mergeCells>
  <printOptions horizontalCentered="1"/>
  <pageMargins left="0.59055118110236227" right="0.59055118110236227" top="0.78740157480314965" bottom="0.78740157480314965" header="0.59055118110236227" footer="0.59055118110236227"/>
  <pageSetup scale="55" firstPageNumber="56" orientation="landscape" useFirstPageNumber="1" r:id="rId1"/>
  <headerFooter>
    <oddFooter>&amp;C&amp;P</oddFooter>
  </headerFooter>
  <ignoredErrors>
    <ignoredError sqref="I373:P374 I23:K372 R373:R374" numberStoredAsText="1"/>
    <ignoredError sqref="L369:P372 L23:P23 R369:R372 L29:P29 L24 L25 L26:N26 P26 L27 N27 P27 L28 N28 P28 L35:P36 L30 L31 L32 L33 L34 L38:P39 L37 L45:P45 L40 L41 L42 L43 L44 L49:P54 L46 L47 L48 L60:P60 L55 L56 N56 P56 L57:N57 P57 L58:N58 P58 L59 N59:O59 L66:P66 L61 L62 L63 L64 L65 L74:P74 L67 L68 L69 L70 L71:M71 L72 P72 L73 L82:P83 L75 L76 L77 L78 L79 L80 L81 L88:P88 L84 L85 N85 L86 L87 L90:P92 L89 L96:P96 L93 L94 L95 L107:P108 L97 L98:M98 O98:P98 L99 L100 L101 L102 L103 L104 L105 L106 N106:P106 L110:P111 L109 O109:P109 L114:P117 L112 P112 L113 P113 L123:P125 L118 L119 L120:M120 O120 L121 L122:M122 L127:P128 L126 L136:P136 L129 L130:M130 O130:P130 L131 L132 L133 L134 L135 L139:P144 L137 L138 L153:P200 L145 L146 L147 L148 L149 L150 L151 L152 L203:P213 L201 L202 L215:P221 L214 N214 P214 L223:P235 L222 L237:P240 L236 N236:P236 L242:P260 L241:O241 L267:P276 L261 L262 L263 L264 P264 L265 P265 L266 P266 L278:P363 L277 L365:P368" numberStoredAsText="1" formula="1"/>
  </ignoredError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6"/>
  <dimension ref="A1:U381"/>
  <sheetViews>
    <sheetView showGridLines="0" topLeftCell="C1" zoomScaleNormal="100" workbookViewId="0">
      <selection activeCell="E32" sqref="E32"/>
    </sheetView>
  </sheetViews>
  <sheetFormatPr baseColWidth="10" defaultColWidth="11.44140625" defaultRowHeight="11.4" x14ac:dyDescent="0.2"/>
  <cols>
    <col min="1" max="1" width="2.6640625" style="240" customWidth="1"/>
    <col min="2" max="2" width="16.6640625" style="240" customWidth="1"/>
    <col min="3" max="3" width="20.109375" style="240" customWidth="1"/>
    <col min="4" max="4" width="23.88671875" style="240" customWidth="1"/>
    <col min="5" max="5" width="19" style="240" customWidth="1"/>
    <col min="6" max="6" width="15.5546875" style="244" bestFit="1" customWidth="1"/>
    <col min="7" max="7" width="8.6640625" style="240" customWidth="1"/>
    <col min="8" max="8" width="4.5546875" style="240" hidden="1" customWidth="1"/>
    <col min="9" max="9" width="8.6640625" style="240" customWidth="1"/>
    <col min="10" max="10" width="4.88671875" style="240" hidden="1" customWidth="1"/>
    <col min="11" max="11" width="67.44140625" style="240" customWidth="1"/>
    <col min="12" max="12" width="13.6640625" style="244" customWidth="1"/>
    <col min="13" max="13" width="5.33203125" style="328" hidden="1" customWidth="1"/>
    <col min="14" max="14" width="11.44140625" style="240" hidden="1" customWidth="1"/>
    <col min="15" max="15" width="12.33203125" style="240" hidden="1" customWidth="1"/>
    <col min="16" max="19" width="11.44140625" style="240" hidden="1" customWidth="1"/>
    <col min="20" max="26" width="0" style="240" hidden="1" customWidth="1"/>
    <col min="27" max="16384" width="11.44140625" style="240"/>
  </cols>
  <sheetData>
    <row r="1" spans="1:19" x14ac:dyDescent="0.2">
      <c r="A1" s="1576" t="s">
        <v>572</v>
      </c>
      <c r="B1" s="1576"/>
      <c r="C1" s="1576"/>
      <c r="D1" s="1576"/>
      <c r="E1" s="1576"/>
      <c r="F1" s="1576"/>
      <c r="G1" s="1576"/>
      <c r="H1" s="1576"/>
      <c r="I1" s="1576"/>
      <c r="J1" s="1576"/>
      <c r="K1" s="1576"/>
      <c r="L1" s="1576"/>
      <c r="M1" s="326"/>
      <c r="N1" s="240" t="s">
        <v>1040</v>
      </c>
    </row>
    <row r="2" spans="1:19" x14ac:dyDescent="0.2">
      <c r="A2" s="1576" t="s">
        <v>285</v>
      </c>
      <c r="B2" s="1576"/>
      <c r="C2" s="1576"/>
      <c r="D2" s="1576"/>
      <c r="E2" s="1576"/>
      <c r="F2" s="1576"/>
      <c r="G2" s="1576"/>
      <c r="H2" s="1576"/>
      <c r="I2" s="1576"/>
      <c r="J2" s="1576"/>
      <c r="K2" s="1576"/>
      <c r="L2" s="1576"/>
      <c r="M2" s="326"/>
    </row>
    <row r="3" spans="1:19" x14ac:dyDescent="0.2">
      <c r="A3" s="1576" t="s">
        <v>573</v>
      </c>
      <c r="B3" s="1576"/>
      <c r="C3" s="1576"/>
      <c r="D3" s="1576"/>
      <c r="E3" s="1576"/>
      <c r="F3" s="1576"/>
      <c r="G3" s="1576"/>
      <c r="H3" s="1576"/>
      <c r="I3" s="1576"/>
      <c r="J3" s="1576"/>
      <c r="K3" s="1576"/>
      <c r="L3" s="1576"/>
      <c r="M3" s="326"/>
    </row>
    <row r="4" spans="1:19" x14ac:dyDescent="0.2">
      <c r="A4" s="1577" t="s">
        <v>1085</v>
      </c>
      <c r="B4" s="1577"/>
      <c r="C4" s="1577"/>
      <c r="D4" s="1577"/>
      <c r="E4" s="1577"/>
      <c r="F4" s="1577"/>
      <c r="G4" s="1577"/>
      <c r="H4" s="1577"/>
      <c r="I4" s="1577"/>
      <c r="J4" s="1577"/>
      <c r="K4" s="1577"/>
      <c r="L4" s="1577"/>
      <c r="M4" s="327"/>
    </row>
    <row r="5" spans="1:19" x14ac:dyDescent="0.2">
      <c r="A5" s="1577" t="s">
        <v>1086</v>
      </c>
      <c r="B5" s="1577"/>
      <c r="C5" s="1577"/>
      <c r="D5" s="1577"/>
      <c r="E5" s="1577"/>
      <c r="F5" s="1577"/>
      <c r="G5" s="1577"/>
      <c r="H5" s="1577"/>
      <c r="I5" s="1577"/>
      <c r="J5" s="1577"/>
      <c r="K5" s="1577"/>
      <c r="L5" s="1577"/>
      <c r="M5" s="327"/>
    </row>
    <row r="6" spans="1:19" ht="22.5" customHeight="1" thickBot="1" x14ac:dyDescent="0.25">
      <c r="A6" s="241"/>
      <c r="B6" s="241" t="s">
        <v>382</v>
      </c>
      <c r="C6" s="242"/>
      <c r="D6" s="242"/>
      <c r="E6" s="242"/>
      <c r="F6" s="243" t="s">
        <v>382</v>
      </c>
      <c r="G6" s="242"/>
      <c r="H6" s="242"/>
      <c r="N6" s="1590" t="s">
        <v>574</v>
      </c>
      <c r="O6" s="1591"/>
      <c r="P6" s="1583" t="s">
        <v>575</v>
      </c>
      <c r="Q6" s="1584"/>
      <c r="R6" s="1585" t="s">
        <v>576</v>
      </c>
      <c r="S6" s="1586"/>
    </row>
    <row r="7" spans="1:19" ht="36" customHeight="1" x14ac:dyDescent="0.2">
      <c r="A7" s="1566" t="s">
        <v>573</v>
      </c>
      <c r="B7" s="1567"/>
      <c r="C7" s="1567"/>
      <c r="D7" s="1567"/>
      <c r="E7" s="1567"/>
      <c r="F7" s="1568"/>
      <c r="G7" s="300" t="s">
        <v>577</v>
      </c>
      <c r="H7" s="301"/>
      <c r="I7" s="300" t="s">
        <v>577</v>
      </c>
      <c r="J7" s="302"/>
      <c r="K7" s="1572" t="s">
        <v>578</v>
      </c>
      <c r="L7" s="1572" t="s">
        <v>1084</v>
      </c>
      <c r="M7" s="329"/>
      <c r="N7" s="1588">
        <f>9432298993*1.0467</f>
        <v>9872787355.9730988</v>
      </c>
      <c r="O7" s="1589"/>
      <c r="P7" s="1578" t="e">
        <f>+F10</f>
        <v>#REF!</v>
      </c>
      <c r="Q7" s="1579"/>
      <c r="R7" s="1580" t="e">
        <f>+N7-P7</f>
        <v>#REF!</v>
      </c>
      <c r="S7" s="1581"/>
    </row>
    <row r="8" spans="1:19" ht="12" thickBot="1" x14ac:dyDescent="0.25">
      <c r="A8" s="1569"/>
      <c r="B8" s="1570"/>
      <c r="C8" s="1570"/>
      <c r="D8" s="1570"/>
      <c r="E8" s="1570"/>
      <c r="F8" s="1571"/>
      <c r="G8" s="300" t="s">
        <v>579</v>
      </c>
      <c r="H8" s="303"/>
      <c r="I8" s="304" t="s">
        <v>580</v>
      </c>
      <c r="J8" s="305"/>
      <c r="K8" s="1573"/>
      <c r="L8" s="1573"/>
      <c r="M8" s="329"/>
      <c r="O8" s="244" t="s">
        <v>382</v>
      </c>
    </row>
    <row r="9" spans="1:19" ht="12" customHeight="1" x14ac:dyDescent="0.2">
      <c r="A9" s="245"/>
      <c r="B9" s="245"/>
      <c r="C9" s="245"/>
      <c r="D9" s="245"/>
      <c r="E9" s="245"/>
      <c r="F9" s="246"/>
      <c r="G9" s="246"/>
      <c r="H9" s="247"/>
      <c r="I9" s="247"/>
      <c r="J9" s="247"/>
      <c r="K9" s="245"/>
    </row>
    <row r="10" spans="1:19" s="308" customFormat="1" ht="20.100000000000001" customHeight="1" x14ac:dyDescent="0.25">
      <c r="A10" s="309">
        <v>1</v>
      </c>
      <c r="B10" s="309" t="s">
        <v>581</v>
      </c>
      <c r="C10" s="309"/>
      <c r="D10" s="309"/>
      <c r="E10" s="309"/>
      <c r="F10" s="310" t="e">
        <f>+F14+F52+F168+F198</f>
        <v>#REF!</v>
      </c>
      <c r="G10" s="311"/>
      <c r="H10" s="311"/>
      <c r="I10" s="311"/>
      <c r="J10" s="311"/>
      <c r="K10" s="311"/>
      <c r="L10" s="312"/>
      <c r="M10" s="330"/>
    </row>
    <row r="11" spans="1:19" ht="8.1" customHeight="1" x14ac:dyDescent="0.2">
      <c r="A11" s="245"/>
      <c r="B11" s="245"/>
      <c r="C11" s="245"/>
      <c r="D11" s="245"/>
      <c r="E11" s="245"/>
      <c r="F11" s="246"/>
      <c r="G11" s="247"/>
      <c r="H11" s="247"/>
      <c r="I11" s="247"/>
      <c r="J11" s="247"/>
      <c r="K11" s="245"/>
    </row>
    <row r="12" spans="1:19" s="259" customFormat="1" ht="12" customHeight="1" x14ac:dyDescent="0.2">
      <c r="A12" s="254"/>
      <c r="B12" s="255" t="s">
        <v>582</v>
      </c>
      <c r="C12" s="256" t="s">
        <v>583</v>
      </c>
      <c r="D12" s="256"/>
      <c r="E12" s="256"/>
      <c r="F12" s="257" t="e">
        <f>+F16+F38+F52</f>
        <v>#REF!</v>
      </c>
      <c r="G12" s="254"/>
      <c r="H12" s="254"/>
      <c r="I12" s="254"/>
      <c r="J12" s="254"/>
      <c r="K12" s="254"/>
      <c r="L12" s="258"/>
      <c r="M12" s="328"/>
    </row>
    <row r="13" spans="1:19" ht="12" customHeight="1" x14ac:dyDescent="0.2">
      <c r="A13" s="245"/>
      <c r="B13" s="245"/>
      <c r="C13" s="245"/>
      <c r="D13" s="245"/>
      <c r="E13" s="245"/>
      <c r="F13" s="246"/>
      <c r="G13" s="247"/>
      <c r="H13" s="247"/>
      <c r="I13" s="247"/>
      <c r="J13" s="247"/>
      <c r="K13" s="245"/>
    </row>
    <row r="14" spans="1:19" ht="12" customHeight="1" x14ac:dyDescent="0.2">
      <c r="A14" s="260"/>
      <c r="B14" s="260"/>
      <c r="C14" s="261" t="s">
        <v>584</v>
      </c>
      <c r="D14" s="262" t="s">
        <v>53</v>
      </c>
      <c r="E14" s="262"/>
      <c r="F14" s="263" t="e">
        <f>+F16+F38</f>
        <v>#REF!</v>
      </c>
      <c r="G14" s="261" t="s">
        <v>584</v>
      </c>
      <c r="H14" s="261"/>
      <c r="I14" s="261">
        <v>0</v>
      </c>
      <c r="J14" s="261"/>
      <c r="K14" s="264" t="s">
        <v>53</v>
      </c>
      <c r="L14" s="263" t="e">
        <f>+L17+L23+L29+L39+L35+L45</f>
        <v>#REF!</v>
      </c>
      <c r="M14" s="331"/>
    </row>
    <row r="15" spans="1:19" ht="12" customHeight="1" x14ac:dyDescent="0.2">
      <c r="A15" s="245"/>
      <c r="B15" s="245"/>
      <c r="C15" s="245"/>
      <c r="D15" s="245"/>
      <c r="E15" s="245"/>
      <c r="G15" s="247"/>
      <c r="H15" s="247"/>
      <c r="I15" s="247"/>
      <c r="J15" s="247"/>
      <c r="K15" s="245"/>
    </row>
    <row r="16" spans="1:19" s="269" customFormat="1" ht="12" customHeight="1" x14ac:dyDescent="0.2">
      <c r="A16" s="265"/>
      <c r="B16" s="265"/>
      <c r="C16" s="265"/>
      <c r="D16" s="266" t="s">
        <v>585</v>
      </c>
      <c r="E16" s="265" t="s">
        <v>586</v>
      </c>
      <c r="F16" s="267" t="e">
        <f>+L17+L23+L29+L35</f>
        <v>#REF!</v>
      </c>
      <c r="G16" s="265"/>
      <c r="H16" s="265"/>
      <c r="I16" s="265"/>
      <c r="J16" s="265"/>
      <c r="K16" s="265"/>
      <c r="L16" s="267"/>
      <c r="M16" s="331"/>
    </row>
    <row r="17" spans="1:13" ht="12" customHeight="1" x14ac:dyDescent="0.2">
      <c r="A17" s="245"/>
      <c r="B17" s="245"/>
      <c r="C17" s="245"/>
      <c r="D17" s="245"/>
      <c r="E17" s="245"/>
      <c r="G17" s="270" t="s">
        <v>585</v>
      </c>
      <c r="H17" s="270"/>
      <c r="I17" s="270" t="s">
        <v>587</v>
      </c>
      <c r="J17" s="270"/>
      <c r="K17" s="271" t="s">
        <v>588</v>
      </c>
      <c r="L17" s="272" t="e">
        <f>+L18+L20+L22</f>
        <v>#REF!</v>
      </c>
      <c r="M17" s="332"/>
    </row>
    <row r="18" spans="1:13" ht="12" hidden="1" customHeight="1" x14ac:dyDescent="0.2">
      <c r="A18" s="245"/>
      <c r="B18" s="245"/>
      <c r="C18" s="245"/>
      <c r="D18" s="245"/>
      <c r="E18" s="245"/>
      <c r="G18" s="273" t="s">
        <v>585</v>
      </c>
      <c r="H18" s="273"/>
      <c r="I18" s="273" t="s">
        <v>72</v>
      </c>
      <c r="J18" s="273"/>
      <c r="K18" s="245" t="s">
        <v>589</v>
      </c>
      <c r="L18" s="244">
        <v>0</v>
      </c>
    </row>
    <row r="19" spans="1:13" ht="12" hidden="1" customHeight="1" x14ac:dyDescent="0.2">
      <c r="A19" s="245"/>
      <c r="B19" s="245"/>
      <c r="C19" s="245"/>
      <c r="D19" s="245"/>
      <c r="E19" s="245"/>
      <c r="G19" s="273" t="s">
        <v>585</v>
      </c>
      <c r="H19" s="273"/>
      <c r="I19" s="273" t="s">
        <v>590</v>
      </c>
      <c r="J19" s="273"/>
      <c r="K19" s="245" t="s">
        <v>591</v>
      </c>
      <c r="L19" s="244">
        <v>0</v>
      </c>
    </row>
    <row r="20" spans="1:13" ht="12" customHeight="1" x14ac:dyDescent="0.2">
      <c r="A20" s="245"/>
      <c r="B20" s="245"/>
      <c r="C20" s="245"/>
      <c r="D20" s="245"/>
      <c r="E20" s="245"/>
      <c r="G20" s="273" t="s">
        <v>585</v>
      </c>
      <c r="H20" s="273"/>
      <c r="I20" s="273" t="s">
        <v>73</v>
      </c>
      <c r="J20" s="273"/>
      <c r="K20" s="245" t="s">
        <v>592</v>
      </c>
      <c r="L20" s="244" t="e">
        <v>#REF!</v>
      </c>
    </row>
    <row r="21" spans="1:13" ht="12" hidden="1" customHeight="1" x14ac:dyDescent="0.2">
      <c r="A21" s="245"/>
      <c r="B21" s="245"/>
      <c r="C21" s="245"/>
      <c r="D21" s="245"/>
      <c r="E21" s="245"/>
      <c r="G21" s="273" t="s">
        <v>585</v>
      </c>
      <c r="H21" s="273"/>
      <c r="I21" s="273" t="s">
        <v>593</v>
      </c>
      <c r="J21" s="273"/>
      <c r="K21" s="245" t="s">
        <v>594</v>
      </c>
      <c r="L21" s="244">
        <v>0</v>
      </c>
    </row>
    <row r="22" spans="1:13" ht="12" hidden="1" customHeight="1" x14ac:dyDescent="0.2">
      <c r="A22" s="245"/>
      <c r="B22" s="245"/>
      <c r="C22" s="245"/>
      <c r="D22" s="245"/>
      <c r="E22" s="245"/>
      <c r="G22" s="273" t="s">
        <v>585</v>
      </c>
      <c r="H22" s="273"/>
      <c r="I22" s="273" t="s">
        <v>391</v>
      </c>
      <c r="J22" s="273"/>
      <c r="K22" s="245" t="s">
        <v>595</v>
      </c>
      <c r="L22" s="244">
        <v>0</v>
      </c>
    </row>
    <row r="23" spans="1:13" ht="12" customHeight="1" x14ac:dyDescent="0.2">
      <c r="A23" s="245"/>
      <c r="B23" s="245"/>
      <c r="C23" s="245"/>
      <c r="D23" s="245"/>
      <c r="E23" s="245"/>
      <c r="G23" s="274" t="s">
        <v>585</v>
      </c>
      <c r="H23" s="274"/>
      <c r="I23" s="274" t="s">
        <v>74</v>
      </c>
      <c r="J23" s="274"/>
      <c r="K23" s="271" t="s">
        <v>75</v>
      </c>
      <c r="L23" s="272" t="e">
        <f>+L24+L25+L26+L27+L28</f>
        <v>#REF!</v>
      </c>
      <c r="M23" s="332"/>
    </row>
    <row r="24" spans="1:13" ht="12" customHeight="1" x14ac:dyDescent="0.2">
      <c r="A24" s="245"/>
      <c r="B24" s="245"/>
      <c r="C24" s="245"/>
      <c r="D24" s="245"/>
      <c r="E24" s="245"/>
      <c r="G24" s="273" t="s">
        <v>585</v>
      </c>
      <c r="H24" s="273"/>
      <c r="I24" s="273" t="s">
        <v>76</v>
      </c>
      <c r="J24" s="273"/>
      <c r="K24" s="245" t="s">
        <v>596</v>
      </c>
      <c r="L24" s="244" t="e">
        <v>#REF!</v>
      </c>
    </row>
    <row r="25" spans="1:13" hidden="1" x14ac:dyDescent="0.2">
      <c r="A25" s="245"/>
      <c r="B25" s="245"/>
      <c r="C25" s="245"/>
      <c r="D25" s="245"/>
      <c r="E25" s="245"/>
      <c r="G25" s="273" t="s">
        <v>585</v>
      </c>
      <c r="H25" s="273"/>
      <c r="I25" s="273" t="s">
        <v>567</v>
      </c>
      <c r="J25" s="273"/>
      <c r="K25" s="245" t="s">
        <v>568</v>
      </c>
      <c r="L25" s="244" t="e">
        <v>#REF!</v>
      </c>
    </row>
    <row r="26" spans="1:13" hidden="1" x14ac:dyDescent="0.2">
      <c r="A26" s="245"/>
      <c r="B26" s="245"/>
      <c r="C26" s="245"/>
      <c r="D26" s="245"/>
      <c r="E26" s="245"/>
      <c r="G26" s="273" t="s">
        <v>585</v>
      </c>
      <c r="H26" s="273"/>
      <c r="I26" s="273" t="s">
        <v>571</v>
      </c>
      <c r="J26" s="273"/>
      <c r="K26" s="245" t="s">
        <v>597</v>
      </c>
      <c r="L26" s="244">
        <v>0</v>
      </c>
    </row>
    <row r="27" spans="1:13" hidden="1" x14ac:dyDescent="0.2">
      <c r="A27" s="245"/>
      <c r="B27" s="245"/>
      <c r="C27" s="245"/>
      <c r="D27" s="245"/>
      <c r="E27" s="245"/>
      <c r="G27" s="273" t="s">
        <v>585</v>
      </c>
      <c r="H27" s="273"/>
      <c r="I27" s="273" t="s">
        <v>598</v>
      </c>
      <c r="J27" s="273"/>
      <c r="K27" s="245" t="s">
        <v>599</v>
      </c>
      <c r="L27" s="244">
        <v>0</v>
      </c>
    </row>
    <row r="28" spans="1:13" ht="12" hidden="1" customHeight="1" x14ac:dyDescent="0.2">
      <c r="A28" s="245"/>
      <c r="B28" s="245"/>
      <c r="C28" s="245"/>
      <c r="D28" s="245"/>
      <c r="E28" s="245"/>
      <c r="G28" s="273" t="s">
        <v>585</v>
      </c>
      <c r="H28" s="273"/>
      <c r="I28" s="273" t="s">
        <v>77</v>
      </c>
      <c r="J28" s="273"/>
      <c r="K28" s="245" t="s">
        <v>17</v>
      </c>
      <c r="L28" s="244">
        <v>0</v>
      </c>
    </row>
    <row r="29" spans="1:13" ht="12" customHeight="1" x14ac:dyDescent="0.2">
      <c r="A29" s="245"/>
      <c r="B29" s="245"/>
      <c r="C29" s="245"/>
      <c r="D29" s="245"/>
      <c r="E29" s="245"/>
      <c r="G29" s="274" t="s">
        <v>585</v>
      </c>
      <c r="H29" s="274"/>
      <c r="I29" s="274" t="s">
        <v>78</v>
      </c>
      <c r="J29" s="274"/>
      <c r="K29" s="271" t="s">
        <v>79</v>
      </c>
      <c r="L29" s="272" t="e">
        <f>+L30+L31+L32+L33+L34</f>
        <v>#REF!</v>
      </c>
      <c r="M29" s="332"/>
    </row>
    <row r="30" spans="1:13" ht="12" customHeight="1" x14ac:dyDescent="0.2">
      <c r="A30" s="245"/>
      <c r="B30" s="245"/>
      <c r="C30" s="245"/>
      <c r="D30" s="245"/>
      <c r="E30" s="245"/>
      <c r="G30" s="273" t="s">
        <v>585</v>
      </c>
      <c r="H30" s="273"/>
      <c r="I30" s="273" t="s">
        <v>80</v>
      </c>
      <c r="J30" s="273"/>
      <c r="K30" s="245" t="s">
        <v>443</v>
      </c>
      <c r="L30" s="244" t="e">
        <v>#REF!</v>
      </c>
    </row>
    <row r="31" spans="1:13" ht="12" customHeight="1" x14ac:dyDescent="0.2">
      <c r="A31" s="245"/>
      <c r="B31" s="245"/>
      <c r="C31" s="245"/>
      <c r="D31" s="245"/>
      <c r="E31" s="245"/>
      <c r="G31" s="273" t="s">
        <v>585</v>
      </c>
      <c r="H31" s="273"/>
      <c r="I31" s="273" t="s">
        <v>82</v>
      </c>
      <c r="J31" s="273"/>
      <c r="K31" s="245" t="s">
        <v>444</v>
      </c>
      <c r="L31" s="244" t="e">
        <v>#REF!</v>
      </c>
    </row>
    <row r="32" spans="1:13" ht="12" customHeight="1" x14ac:dyDescent="0.2">
      <c r="A32" s="245"/>
      <c r="B32" s="245"/>
      <c r="C32" s="245"/>
      <c r="D32" s="245"/>
      <c r="E32" s="245"/>
      <c r="G32" s="273" t="s">
        <v>585</v>
      </c>
      <c r="H32" s="273"/>
      <c r="I32" s="273" t="s">
        <v>84</v>
      </c>
      <c r="J32" s="273"/>
      <c r="K32" s="245" t="s">
        <v>14</v>
      </c>
      <c r="L32" s="244" t="e">
        <v>#REF!</v>
      </c>
    </row>
    <row r="33" spans="1:13" ht="12" customHeight="1" x14ac:dyDescent="0.2">
      <c r="A33" s="245"/>
      <c r="B33" s="245"/>
      <c r="C33" s="245"/>
      <c r="D33" s="245"/>
      <c r="E33" s="245"/>
      <c r="G33" s="273" t="s">
        <v>585</v>
      </c>
      <c r="H33" s="273"/>
      <c r="I33" s="273" t="s">
        <v>86</v>
      </c>
      <c r="J33" s="273"/>
      <c r="K33" s="245" t="s">
        <v>445</v>
      </c>
      <c r="L33" s="244" t="e">
        <v>#REF!</v>
      </c>
    </row>
    <row r="34" spans="1:13" ht="12" customHeight="1" x14ac:dyDescent="0.2">
      <c r="A34" s="245"/>
      <c r="B34" s="245"/>
      <c r="C34" s="245"/>
      <c r="D34" s="245"/>
      <c r="E34" s="245"/>
      <c r="G34" s="273" t="s">
        <v>585</v>
      </c>
      <c r="H34" s="273"/>
      <c r="I34" s="273" t="s">
        <v>87</v>
      </c>
      <c r="J34" s="273"/>
      <c r="K34" s="245" t="s">
        <v>600</v>
      </c>
      <c r="L34" s="244" t="e">
        <v>#REF!</v>
      </c>
    </row>
    <row r="35" spans="1:13" ht="12" hidden="1" customHeight="1" x14ac:dyDescent="0.2">
      <c r="A35" s="245"/>
      <c r="B35" s="245"/>
      <c r="C35" s="245"/>
      <c r="D35" s="245"/>
      <c r="E35" s="245"/>
      <c r="G35" s="274" t="s">
        <v>585</v>
      </c>
      <c r="H35" s="274"/>
      <c r="I35" s="270" t="s">
        <v>393</v>
      </c>
      <c r="J35" s="270"/>
      <c r="K35" s="271" t="s">
        <v>394</v>
      </c>
      <c r="L35" s="272">
        <f>+L36+L37</f>
        <v>0</v>
      </c>
      <c r="M35" s="332"/>
    </row>
    <row r="36" spans="1:13" ht="12" hidden="1" customHeight="1" x14ac:dyDescent="0.2">
      <c r="A36" s="245"/>
      <c r="B36" s="245"/>
      <c r="C36" s="245"/>
      <c r="D36" s="245"/>
      <c r="E36" s="245"/>
      <c r="G36" s="273" t="s">
        <v>585</v>
      </c>
      <c r="H36" s="273"/>
      <c r="I36" s="273" t="s">
        <v>601</v>
      </c>
      <c r="J36" s="273"/>
      <c r="K36" s="245" t="s">
        <v>602</v>
      </c>
      <c r="L36" s="244">
        <v>0</v>
      </c>
    </row>
    <row r="37" spans="1:13" ht="12" hidden="1" customHeight="1" x14ac:dyDescent="0.2">
      <c r="A37" s="245"/>
      <c r="B37" s="245"/>
      <c r="C37" s="245"/>
      <c r="D37" s="245"/>
      <c r="E37" s="245"/>
      <c r="G37" s="273" t="s">
        <v>585</v>
      </c>
      <c r="H37" s="273"/>
      <c r="I37" s="273" t="s">
        <v>395</v>
      </c>
      <c r="J37" s="273"/>
      <c r="K37" s="245" t="s">
        <v>396</v>
      </c>
      <c r="L37" s="244">
        <v>0</v>
      </c>
    </row>
    <row r="38" spans="1:13" s="269" customFormat="1" ht="12" customHeight="1" x14ac:dyDescent="0.2">
      <c r="A38" s="268"/>
      <c r="B38" s="265"/>
      <c r="C38" s="265"/>
      <c r="D38" s="266" t="s">
        <v>603</v>
      </c>
      <c r="E38" s="266" t="s">
        <v>604</v>
      </c>
      <c r="F38" s="265" t="e">
        <f>+L39+L45</f>
        <v>#REF!</v>
      </c>
      <c r="G38" s="267" t="s">
        <v>382</v>
      </c>
      <c r="H38" s="265"/>
      <c r="I38" s="265"/>
      <c r="J38" s="265"/>
      <c r="K38" s="265"/>
      <c r="L38" s="275"/>
      <c r="M38" s="333"/>
    </row>
    <row r="39" spans="1:13" ht="12" customHeight="1" x14ac:dyDescent="0.2">
      <c r="A39" s="245"/>
      <c r="B39" s="245"/>
      <c r="C39" s="245"/>
      <c r="D39" s="245"/>
      <c r="E39" s="273"/>
      <c r="G39" s="276" t="s">
        <v>603</v>
      </c>
      <c r="H39" s="276"/>
      <c r="I39" s="276" t="s">
        <v>89</v>
      </c>
      <c r="J39" s="276"/>
      <c r="K39" s="271" t="s">
        <v>605</v>
      </c>
      <c r="L39" s="272" t="e">
        <f>SUM(L40:L44)</f>
        <v>#REF!</v>
      </c>
      <c r="M39" s="332"/>
    </row>
    <row r="40" spans="1:13" ht="12" customHeight="1" x14ac:dyDescent="0.2">
      <c r="A40" s="245"/>
      <c r="B40" s="245"/>
      <c r="C40" s="245"/>
      <c r="D40" s="245"/>
      <c r="E40" s="273"/>
      <c r="G40" s="277" t="s">
        <v>603</v>
      </c>
      <c r="H40" s="277"/>
      <c r="I40" s="277" t="s">
        <v>90</v>
      </c>
      <c r="J40" s="277"/>
      <c r="K40" s="245" t="s">
        <v>606</v>
      </c>
      <c r="L40" s="244" t="e">
        <v>#REF!</v>
      </c>
    </row>
    <row r="41" spans="1:13" ht="12" customHeight="1" x14ac:dyDescent="0.2">
      <c r="A41" s="245"/>
      <c r="B41" s="245"/>
      <c r="C41" s="245"/>
      <c r="D41" s="245"/>
      <c r="E41" s="273"/>
      <c r="G41" s="277" t="s">
        <v>603</v>
      </c>
      <c r="H41" s="277"/>
      <c r="I41" s="277" t="s">
        <v>92</v>
      </c>
      <c r="J41" s="277"/>
      <c r="K41" s="245" t="s">
        <v>607</v>
      </c>
      <c r="L41" s="244" t="e">
        <v>#REF!</v>
      </c>
    </row>
    <row r="42" spans="1:13" ht="12" customHeight="1" x14ac:dyDescent="0.2">
      <c r="A42" s="245"/>
      <c r="B42" s="245"/>
      <c r="C42" s="245"/>
      <c r="D42" s="245"/>
      <c r="E42" s="273"/>
      <c r="G42" s="277" t="s">
        <v>603</v>
      </c>
      <c r="H42" s="277"/>
      <c r="I42" s="277" t="s">
        <v>93</v>
      </c>
      <c r="J42" s="277"/>
      <c r="K42" s="245" t="s">
        <v>608</v>
      </c>
      <c r="L42" s="244" t="e">
        <v>#REF!</v>
      </c>
    </row>
    <row r="43" spans="1:13" ht="12" customHeight="1" x14ac:dyDescent="0.2">
      <c r="A43" s="245"/>
      <c r="B43" s="245"/>
      <c r="C43" s="245"/>
      <c r="D43" s="245"/>
      <c r="E43" s="273"/>
      <c r="G43" s="277" t="s">
        <v>603</v>
      </c>
      <c r="H43" s="277"/>
      <c r="I43" s="277" t="s">
        <v>94</v>
      </c>
      <c r="J43" s="277"/>
      <c r="K43" s="245" t="s">
        <v>609</v>
      </c>
      <c r="L43" s="244" t="e">
        <v>#REF!</v>
      </c>
    </row>
    <row r="44" spans="1:13" ht="12" customHeight="1" x14ac:dyDescent="0.2">
      <c r="A44" s="245"/>
      <c r="B44" s="245"/>
      <c r="C44" s="245"/>
      <c r="D44" s="245"/>
      <c r="E44" s="273"/>
      <c r="G44" s="277" t="s">
        <v>603</v>
      </c>
      <c r="H44" s="277"/>
      <c r="I44" s="277" t="s">
        <v>96</v>
      </c>
      <c r="J44" s="277"/>
      <c r="K44" s="245" t="s">
        <v>610</v>
      </c>
      <c r="L44" s="244" t="e">
        <v>#REF!</v>
      </c>
    </row>
    <row r="45" spans="1:13" ht="12" customHeight="1" x14ac:dyDescent="0.2">
      <c r="A45" s="245"/>
      <c r="B45" s="245"/>
      <c r="C45" s="245"/>
      <c r="D45" s="245"/>
      <c r="E45" s="273"/>
      <c r="G45" s="276" t="s">
        <v>603</v>
      </c>
      <c r="H45" s="276"/>
      <c r="I45" s="276" t="s">
        <v>98</v>
      </c>
      <c r="J45" s="276"/>
      <c r="K45" s="271" t="s">
        <v>1073</v>
      </c>
      <c r="L45" s="272" t="e">
        <f>SUM(L46:L50)</f>
        <v>#REF!</v>
      </c>
      <c r="M45" s="332"/>
    </row>
    <row r="46" spans="1:13" ht="12" customHeight="1" x14ac:dyDescent="0.2">
      <c r="A46" s="245"/>
      <c r="B46" s="245"/>
      <c r="C46" s="245"/>
      <c r="D46" s="245"/>
      <c r="E46" s="273"/>
      <c r="G46" s="277" t="s">
        <v>603</v>
      </c>
      <c r="H46" s="277"/>
      <c r="I46" s="277" t="s">
        <v>510</v>
      </c>
      <c r="J46" s="277"/>
      <c r="K46" s="245" t="s">
        <v>611</v>
      </c>
      <c r="L46" s="244" t="e">
        <v>#REF!</v>
      </c>
    </row>
    <row r="47" spans="1:13" ht="12" customHeight="1" x14ac:dyDescent="0.2">
      <c r="A47" s="245"/>
      <c r="B47" s="245"/>
      <c r="C47" s="245"/>
      <c r="D47" s="245"/>
      <c r="E47" s="273"/>
      <c r="G47" s="277" t="s">
        <v>603</v>
      </c>
      <c r="H47" s="277"/>
      <c r="I47" s="277" t="s">
        <v>100</v>
      </c>
      <c r="J47" s="277"/>
      <c r="K47" s="245" t="s">
        <v>612</v>
      </c>
      <c r="L47" s="244" t="e">
        <v>#REF!</v>
      </c>
    </row>
    <row r="48" spans="1:13" ht="12" customHeight="1" x14ac:dyDescent="0.2">
      <c r="A48" s="245"/>
      <c r="B48" s="245"/>
      <c r="C48" s="245"/>
      <c r="D48" s="245"/>
      <c r="E48" s="273"/>
      <c r="G48" s="277" t="s">
        <v>603</v>
      </c>
      <c r="H48" s="277"/>
      <c r="I48" s="277" t="s">
        <v>101</v>
      </c>
      <c r="J48" s="277"/>
      <c r="K48" s="245" t="s">
        <v>613</v>
      </c>
      <c r="L48" s="244" t="e">
        <v>#REF!</v>
      </c>
    </row>
    <row r="49" spans="1:21" ht="12" hidden="1" customHeight="1" x14ac:dyDescent="0.2">
      <c r="A49" s="245"/>
      <c r="B49" s="245"/>
      <c r="C49" s="245"/>
      <c r="D49" s="245"/>
      <c r="E49" s="245"/>
      <c r="G49" s="277" t="s">
        <v>603</v>
      </c>
      <c r="H49" s="277"/>
      <c r="I49" s="277" t="s">
        <v>614</v>
      </c>
      <c r="J49" s="277"/>
      <c r="K49" s="245" t="s">
        <v>615</v>
      </c>
      <c r="L49" s="244">
        <v>0</v>
      </c>
    </row>
    <row r="50" spans="1:21" ht="12" hidden="1" customHeight="1" x14ac:dyDescent="0.2">
      <c r="A50" s="245"/>
      <c r="B50" s="245"/>
      <c r="C50" s="245"/>
      <c r="D50" s="245"/>
      <c r="E50" s="245"/>
      <c r="G50" s="277" t="s">
        <v>603</v>
      </c>
      <c r="H50" s="277"/>
      <c r="I50" s="277" t="s">
        <v>616</v>
      </c>
      <c r="J50" s="277"/>
      <c r="K50" s="245" t="s">
        <v>617</v>
      </c>
      <c r="L50" s="244">
        <v>0</v>
      </c>
    </row>
    <row r="51" spans="1:21" ht="12" customHeight="1" x14ac:dyDescent="0.2">
      <c r="A51" s="245"/>
      <c r="B51" s="245"/>
      <c r="E51" s="278"/>
      <c r="G51" s="273" t="s">
        <v>382</v>
      </c>
      <c r="H51" s="273"/>
      <c r="I51" s="247"/>
      <c r="J51" s="247"/>
      <c r="K51" s="245"/>
    </row>
    <row r="52" spans="1:21" ht="12.75" customHeight="1" x14ac:dyDescent="0.2">
      <c r="A52" s="260"/>
      <c r="B52" s="260"/>
      <c r="C52" s="261" t="s">
        <v>618</v>
      </c>
      <c r="D52" s="262" t="s">
        <v>619</v>
      </c>
      <c r="E52" s="262"/>
      <c r="F52" s="263" t="e">
        <f>+L52+L115</f>
        <v>#REF!</v>
      </c>
      <c r="G52" s="261" t="s">
        <v>618</v>
      </c>
      <c r="H52" s="261"/>
      <c r="I52" s="261">
        <v>1</v>
      </c>
      <c r="J52" s="261"/>
      <c r="K52" s="264" t="s">
        <v>61</v>
      </c>
      <c r="L52" s="263" t="e">
        <f>+L54+L60+L66+L74+L83+L88+L92+L96+L107</f>
        <v>#REF!</v>
      </c>
      <c r="M52" s="331"/>
      <c r="T52" s="244" t="e">
        <v>#REF!</v>
      </c>
      <c r="U52" s="244" t="e">
        <f>+L52-T52</f>
        <v>#REF!</v>
      </c>
    </row>
    <row r="53" spans="1:21" ht="12" customHeight="1" x14ac:dyDescent="0.2">
      <c r="A53" s="245"/>
      <c r="B53" s="245"/>
      <c r="C53" s="245"/>
      <c r="D53" s="245" t="s">
        <v>382</v>
      </c>
      <c r="E53" s="245"/>
      <c r="G53" s="273" t="s">
        <v>382</v>
      </c>
      <c r="H53" s="273"/>
      <c r="I53" s="274"/>
      <c r="J53" s="274"/>
      <c r="K53" s="278"/>
    </row>
    <row r="54" spans="1:21" ht="12" customHeight="1" x14ac:dyDescent="0.2">
      <c r="A54" s="245"/>
      <c r="B54" s="245"/>
      <c r="C54" s="245"/>
      <c r="D54" s="245"/>
      <c r="E54" s="245"/>
      <c r="G54" s="274" t="s">
        <v>618</v>
      </c>
      <c r="H54" s="274"/>
      <c r="I54" s="274" t="s">
        <v>104</v>
      </c>
      <c r="J54" s="274"/>
      <c r="K54" s="271" t="s">
        <v>620</v>
      </c>
      <c r="L54" s="272" t="e">
        <f>+L55+L56+L57+L58+L59</f>
        <v>#REF!</v>
      </c>
      <c r="M54" s="332"/>
    </row>
    <row r="55" spans="1:21" ht="12" customHeight="1" x14ac:dyDescent="0.2">
      <c r="A55" s="245"/>
      <c r="B55" s="245"/>
      <c r="C55" s="245"/>
      <c r="D55" s="245"/>
      <c r="E55" s="245"/>
      <c r="G55" s="273" t="s">
        <v>618</v>
      </c>
      <c r="H55" s="273"/>
      <c r="I55" s="273" t="s">
        <v>106</v>
      </c>
      <c r="J55" s="273"/>
      <c r="K55" s="245" t="s">
        <v>621</v>
      </c>
      <c r="L55" s="244" t="e">
        <v>#REF!</v>
      </c>
    </row>
    <row r="56" spans="1:21" ht="12" customHeight="1" x14ac:dyDescent="0.2">
      <c r="A56" s="245"/>
      <c r="B56" s="245"/>
      <c r="C56" s="245"/>
      <c r="D56" s="245"/>
      <c r="E56" s="245"/>
      <c r="G56" s="273" t="s">
        <v>618</v>
      </c>
      <c r="H56" s="273"/>
      <c r="I56" s="273" t="s">
        <v>108</v>
      </c>
      <c r="J56" s="273"/>
      <c r="K56" s="245" t="s">
        <v>622</v>
      </c>
      <c r="L56" s="244" t="e">
        <v>#REF!</v>
      </c>
    </row>
    <row r="57" spans="1:21" ht="12" hidden="1" customHeight="1" x14ac:dyDescent="0.2">
      <c r="A57" s="245"/>
      <c r="B57" s="245"/>
      <c r="C57" s="245"/>
      <c r="D57" s="245"/>
      <c r="E57" s="245"/>
      <c r="G57" s="273" t="s">
        <v>618</v>
      </c>
      <c r="H57" s="273"/>
      <c r="I57" s="273" t="s">
        <v>110</v>
      </c>
      <c r="J57" s="273"/>
      <c r="K57" s="245" t="s">
        <v>623</v>
      </c>
      <c r="L57" s="244" t="e">
        <v>#REF!</v>
      </c>
    </row>
    <row r="58" spans="1:21" ht="12" hidden="1" customHeight="1" x14ac:dyDescent="0.2">
      <c r="A58" s="245"/>
      <c r="B58" s="245"/>
      <c r="C58" s="245"/>
      <c r="D58" s="245"/>
      <c r="E58" s="245"/>
      <c r="G58" s="273" t="s">
        <v>618</v>
      </c>
      <c r="H58" s="273"/>
      <c r="I58" s="273" t="s">
        <v>624</v>
      </c>
      <c r="J58" s="273"/>
      <c r="K58" s="245" t="s">
        <v>625</v>
      </c>
      <c r="L58" s="244">
        <v>0</v>
      </c>
    </row>
    <row r="59" spans="1:21" ht="12" hidden="1" customHeight="1" x14ac:dyDescent="0.2">
      <c r="A59" s="245"/>
      <c r="B59" s="245"/>
      <c r="C59" s="245"/>
      <c r="D59" s="245"/>
      <c r="E59" s="245"/>
      <c r="G59" s="273" t="s">
        <v>618</v>
      </c>
      <c r="H59" s="273"/>
      <c r="I59" s="273" t="s">
        <v>112</v>
      </c>
      <c r="J59" s="273"/>
      <c r="K59" s="245" t="s">
        <v>626</v>
      </c>
      <c r="L59" s="244">
        <v>0</v>
      </c>
    </row>
    <row r="60" spans="1:21" ht="12" customHeight="1" x14ac:dyDescent="0.2">
      <c r="A60" s="245"/>
      <c r="B60" s="245"/>
      <c r="C60" s="245"/>
      <c r="D60" s="245"/>
      <c r="E60" s="245"/>
      <c r="G60" s="274" t="s">
        <v>618</v>
      </c>
      <c r="H60" s="274"/>
      <c r="I60" s="274" t="s">
        <v>114</v>
      </c>
      <c r="J60" s="274"/>
      <c r="K60" s="271" t="s">
        <v>627</v>
      </c>
      <c r="L60" s="272" t="e">
        <f>SUM(L61:L65)</f>
        <v>#REF!</v>
      </c>
      <c r="M60" s="332"/>
    </row>
    <row r="61" spans="1:21" ht="12" customHeight="1" x14ac:dyDescent="0.2">
      <c r="A61" s="245"/>
      <c r="B61" s="245"/>
      <c r="C61" s="245"/>
      <c r="D61" s="245"/>
      <c r="E61" s="245"/>
      <c r="G61" s="273" t="s">
        <v>618</v>
      </c>
      <c r="H61" s="273"/>
      <c r="I61" s="273" t="s">
        <v>116</v>
      </c>
      <c r="J61" s="273"/>
      <c r="K61" s="245" t="s">
        <v>628</v>
      </c>
      <c r="L61" s="244" t="e">
        <v>#REF!</v>
      </c>
    </row>
    <row r="62" spans="1:21" ht="12" customHeight="1" x14ac:dyDescent="0.2">
      <c r="A62" s="245"/>
      <c r="B62" s="245"/>
      <c r="C62" s="245"/>
      <c r="D62" s="245"/>
      <c r="E62" s="245"/>
      <c r="G62" s="273" t="s">
        <v>618</v>
      </c>
      <c r="H62" s="273"/>
      <c r="I62" s="273" t="s">
        <v>118</v>
      </c>
      <c r="J62" s="273"/>
      <c r="K62" s="245" t="s">
        <v>629</v>
      </c>
      <c r="L62" s="244" t="e">
        <v>#REF!</v>
      </c>
    </row>
    <row r="63" spans="1:21" ht="12" customHeight="1" x14ac:dyDescent="0.2">
      <c r="A63" s="245"/>
      <c r="B63" s="245"/>
      <c r="C63" s="245"/>
      <c r="D63" s="245"/>
      <c r="E63" s="245"/>
      <c r="G63" s="273" t="s">
        <v>618</v>
      </c>
      <c r="H63" s="273"/>
      <c r="I63" s="273" t="s">
        <v>120</v>
      </c>
      <c r="J63" s="273"/>
      <c r="K63" s="245" t="s">
        <v>630</v>
      </c>
      <c r="L63" s="244" t="e">
        <v>#REF!</v>
      </c>
    </row>
    <row r="64" spans="1:21" ht="12" customHeight="1" x14ac:dyDescent="0.2">
      <c r="A64" s="245"/>
      <c r="B64" s="245"/>
      <c r="C64" s="245"/>
      <c r="D64" s="245"/>
      <c r="E64" s="245"/>
      <c r="G64" s="273" t="s">
        <v>618</v>
      </c>
      <c r="H64" s="273"/>
      <c r="I64" s="273" t="s">
        <v>326</v>
      </c>
      <c r="J64" s="273"/>
      <c r="K64" s="245" t="s">
        <v>631</v>
      </c>
      <c r="L64" s="244" t="e">
        <v>#REF!</v>
      </c>
    </row>
    <row r="65" spans="1:13" ht="12" hidden="1" customHeight="1" x14ac:dyDescent="0.2">
      <c r="A65" s="245"/>
      <c r="B65" s="245"/>
      <c r="C65" s="245"/>
      <c r="D65" s="245"/>
      <c r="E65" s="245"/>
      <c r="G65" s="273" t="s">
        <v>618</v>
      </c>
      <c r="H65" s="273"/>
      <c r="I65" s="273" t="s">
        <v>123</v>
      </c>
      <c r="J65" s="273"/>
      <c r="K65" s="245" t="s">
        <v>632</v>
      </c>
      <c r="L65" s="244" t="e">
        <v>#REF!</v>
      </c>
    </row>
    <row r="66" spans="1:13" ht="12" customHeight="1" x14ac:dyDescent="0.2">
      <c r="A66" s="245"/>
      <c r="B66" s="245"/>
      <c r="C66" s="245"/>
      <c r="D66" s="245"/>
      <c r="E66" s="245"/>
      <c r="G66" s="274" t="s">
        <v>618</v>
      </c>
      <c r="H66" s="274"/>
      <c r="I66" s="274" t="s">
        <v>125</v>
      </c>
      <c r="J66" s="274"/>
      <c r="K66" s="271" t="s">
        <v>126</v>
      </c>
      <c r="L66" s="272" t="e">
        <f>SUM(L67:L73)</f>
        <v>#REF!</v>
      </c>
      <c r="M66" s="332"/>
    </row>
    <row r="67" spans="1:13" ht="12" hidden="1" customHeight="1" x14ac:dyDescent="0.2">
      <c r="A67" s="245"/>
      <c r="B67" s="245"/>
      <c r="C67" s="245"/>
      <c r="D67" s="245"/>
      <c r="E67" s="245"/>
      <c r="G67" s="273" t="s">
        <v>618</v>
      </c>
      <c r="H67" s="273"/>
      <c r="I67" s="273" t="s">
        <v>127</v>
      </c>
      <c r="J67" s="273"/>
      <c r="K67" s="245" t="s">
        <v>633</v>
      </c>
      <c r="L67" s="244" t="e">
        <v>#REF!</v>
      </c>
    </row>
    <row r="68" spans="1:13" ht="12" customHeight="1" x14ac:dyDescent="0.2">
      <c r="A68" s="245"/>
      <c r="B68" s="245"/>
      <c r="C68" s="245"/>
      <c r="D68" s="245"/>
      <c r="E68" s="245"/>
      <c r="G68" s="273" t="s">
        <v>618</v>
      </c>
      <c r="H68" s="273"/>
      <c r="I68" s="273" t="s">
        <v>129</v>
      </c>
      <c r="J68" s="273"/>
      <c r="K68" s="245" t="s">
        <v>634</v>
      </c>
      <c r="L68" s="244" t="e">
        <v>#REF!</v>
      </c>
    </row>
    <row r="69" spans="1:13" ht="12" customHeight="1" x14ac:dyDescent="0.2">
      <c r="A69" s="245"/>
      <c r="B69" s="245"/>
      <c r="C69" s="245"/>
      <c r="D69" s="245"/>
      <c r="E69" s="245"/>
      <c r="G69" s="273" t="s">
        <v>618</v>
      </c>
      <c r="H69" s="273"/>
      <c r="I69" s="273" t="s">
        <v>131</v>
      </c>
      <c r="J69" s="273"/>
      <c r="K69" s="245" t="s">
        <v>635</v>
      </c>
      <c r="L69" s="244" t="e">
        <v>#REF!</v>
      </c>
    </row>
    <row r="70" spans="1:13" ht="12" customHeight="1" x14ac:dyDescent="0.2">
      <c r="A70" s="245"/>
      <c r="B70" s="245"/>
      <c r="C70" s="245"/>
      <c r="D70" s="245"/>
      <c r="E70" s="245"/>
      <c r="G70" s="273" t="s">
        <v>618</v>
      </c>
      <c r="H70" s="273"/>
      <c r="I70" s="273" t="s">
        <v>133</v>
      </c>
      <c r="J70" s="273"/>
      <c r="K70" s="245" t="s">
        <v>636</v>
      </c>
      <c r="L70" s="244" t="e">
        <v>#REF!</v>
      </c>
    </row>
    <row r="71" spans="1:13" ht="12" hidden="1" customHeight="1" x14ac:dyDescent="0.2">
      <c r="A71" s="245"/>
      <c r="B71" s="245"/>
      <c r="C71" s="245"/>
      <c r="D71" s="245"/>
      <c r="E71" s="245"/>
      <c r="G71" s="273" t="s">
        <v>618</v>
      </c>
      <c r="H71" s="273"/>
      <c r="I71" s="273" t="s">
        <v>135</v>
      </c>
      <c r="J71" s="273"/>
      <c r="K71" s="245" t="s">
        <v>637</v>
      </c>
      <c r="L71" s="244">
        <v>0</v>
      </c>
    </row>
    <row r="72" spans="1:13" ht="12" hidden="1" customHeight="1" x14ac:dyDescent="0.2">
      <c r="A72" s="245"/>
      <c r="B72" s="245"/>
      <c r="C72" s="245"/>
      <c r="D72" s="245"/>
      <c r="E72" s="245"/>
      <c r="G72" s="273" t="s">
        <v>618</v>
      </c>
      <c r="H72" s="273"/>
      <c r="I72" s="273" t="s">
        <v>137</v>
      </c>
      <c r="J72" s="273"/>
      <c r="K72" s="245" t="s">
        <v>638</v>
      </c>
      <c r="L72" s="244" t="e">
        <v>#REF!</v>
      </c>
    </row>
    <row r="73" spans="1:13" ht="12" hidden="1" customHeight="1" x14ac:dyDescent="0.2">
      <c r="A73" s="245"/>
      <c r="B73" s="245"/>
      <c r="C73" s="245"/>
      <c r="D73" s="245"/>
      <c r="E73" s="245"/>
      <c r="G73" s="273" t="s">
        <v>618</v>
      </c>
      <c r="H73" s="273"/>
      <c r="I73" s="273" t="s">
        <v>397</v>
      </c>
      <c r="J73" s="273"/>
      <c r="K73" s="245" t="s">
        <v>639</v>
      </c>
      <c r="L73" s="244">
        <v>0</v>
      </c>
    </row>
    <row r="74" spans="1:13" ht="12" customHeight="1" x14ac:dyDescent="0.2">
      <c r="A74" s="245"/>
      <c r="B74" s="245"/>
      <c r="C74" s="245"/>
      <c r="D74" s="245"/>
      <c r="E74" s="245"/>
      <c r="G74" s="274" t="s">
        <v>618</v>
      </c>
      <c r="H74" s="274"/>
      <c r="I74" s="274" t="s">
        <v>139</v>
      </c>
      <c r="J74" s="274"/>
      <c r="K74" s="271" t="s">
        <v>640</v>
      </c>
      <c r="L74" s="272" t="e">
        <f>SUM(L75:L81)</f>
        <v>#REF!</v>
      </c>
      <c r="M74" s="332"/>
    </row>
    <row r="75" spans="1:13" ht="12" hidden="1" customHeight="1" x14ac:dyDescent="0.2">
      <c r="A75" s="245"/>
      <c r="B75" s="245"/>
      <c r="C75" s="245"/>
      <c r="D75" s="245"/>
      <c r="E75" s="245"/>
      <c r="G75" s="273" t="s">
        <v>618</v>
      </c>
      <c r="H75" s="273"/>
      <c r="I75" s="273" t="s">
        <v>569</v>
      </c>
      <c r="J75" s="273"/>
      <c r="K75" s="245" t="s">
        <v>641</v>
      </c>
      <c r="L75" s="244" t="e">
        <v>#REF!</v>
      </c>
    </row>
    <row r="76" spans="1:13" ht="12" customHeight="1" x14ac:dyDescent="0.2">
      <c r="A76" s="245"/>
      <c r="B76" s="245"/>
      <c r="C76" s="245"/>
      <c r="D76" s="245"/>
      <c r="E76" s="245"/>
      <c r="G76" s="273" t="s">
        <v>618</v>
      </c>
      <c r="H76" s="273"/>
      <c r="I76" s="273" t="s">
        <v>399</v>
      </c>
      <c r="J76" s="273"/>
      <c r="K76" s="245" t="s">
        <v>642</v>
      </c>
      <c r="L76" s="244" t="e">
        <v>#REF!</v>
      </c>
    </row>
    <row r="77" spans="1:13" ht="12" hidden="1" customHeight="1" x14ac:dyDescent="0.2">
      <c r="A77" s="245"/>
      <c r="B77" s="245"/>
      <c r="C77" s="245"/>
      <c r="D77" s="245"/>
      <c r="E77" s="245"/>
      <c r="G77" s="273" t="s">
        <v>618</v>
      </c>
      <c r="H77" s="273"/>
      <c r="I77" s="273" t="s">
        <v>343</v>
      </c>
      <c r="J77" s="273"/>
      <c r="K77" s="245" t="s">
        <v>643</v>
      </c>
      <c r="L77" s="244" t="e">
        <v>#REF!</v>
      </c>
    </row>
    <row r="78" spans="1:13" ht="12" hidden="1" customHeight="1" x14ac:dyDescent="0.2">
      <c r="A78" s="245"/>
      <c r="B78" s="245"/>
      <c r="C78" s="245"/>
      <c r="D78" s="245"/>
      <c r="E78" s="245"/>
      <c r="G78" s="273" t="s">
        <v>618</v>
      </c>
      <c r="H78" s="273"/>
      <c r="I78" s="273" t="s">
        <v>141</v>
      </c>
      <c r="J78" s="273"/>
      <c r="K78" s="245" t="s">
        <v>644</v>
      </c>
      <c r="L78" s="244" t="e">
        <v>#REF!</v>
      </c>
    </row>
    <row r="79" spans="1:13" hidden="1" x14ac:dyDescent="0.2">
      <c r="A79" s="245"/>
      <c r="B79" s="245"/>
      <c r="C79" s="245"/>
      <c r="D79" s="245"/>
      <c r="E79" s="245"/>
      <c r="G79" s="273" t="s">
        <v>618</v>
      </c>
      <c r="H79" s="273"/>
      <c r="I79" s="273" t="s">
        <v>143</v>
      </c>
      <c r="J79" s="273"/>
      <c r="K79" s="245" t="s">
        <v>645</v>
      </c>
      <c r="L79" s="244" t="e">
        <v>#REF!</v>
      </c>
    </row>
    <row r="80" spans="1:13" ht="12" customHeight="1" x14ac:dyDescent="0.2">
      <c r="A80" s="245"/>
      <c r="B80" s="245"/>
      <c r="C80" s="245"/>
      <c r="D80" s="245"/>
      <c r="E80" s="245"/>
      <c r="G80" s="273" t="s">
        <v>618</v>
      </c>
      <c r="H80" s="273"/>
      <c r="I80" s="273" t="s">
        <v>145</v>
      </c>
      <c r="J80" s="273"/>
      <c r="K80" s="245" t="s">
        <v>646</v>
      </c>
      <c r="L80" s="244" t="e">
        <v>#REF!</v>
      </c>
    </row>
    <row r="81" spans="1:13" ht="12" customHeight="1" x14ac:dyDescent="0.2">
      <c r="A81" s="245"/>
      <c r="B81" s="245"/>
      <c r="C81" s="245"/>
      <c r="D81" s="245"/>
      <c r="E81" s="245"/>
      <c r="F81" s="246"/>
      <c r="G81" s="273" t="s">
        <v>618</v>
      </c>
      <c r="H81" s="273"/>
      <c r="I81" s="273" t="s">
        <v>147</v>
      </c>
      <c r="J81" s="273"/>
      <c r="K81" s="245" t="s">
        <v>647</v>
      </c>
      <c r="L81" s="244" t="e">
        <v>#REF!</v>
      </c>
    </row>
    <row r="82" spans="1:13" ht="12" hidden="1" customHeight="1" x14ac:dyDescent="0.2">
      <c r="A82" s="245"/>
      <c r="B82" s="245"/>
      <c r="C82" s="245"/>
      <c r="D82" s="245"/>
      <c r="E82" s="245"/>
      <c r="F82" s="246"/>
      <c r="G82" s="273"/>
      <c r="H82" s="273"/>
      <c r="I82" s="273"/>
      <c r="J82" s="273"/>
      <c r="K82" s="245"/>
      <c r="L82" s="244">
        <v>0</v>
      </c>
    </row>
    <row r="83" spans="1:13" ht="12" customHeight="1" x14ac:dyDescent="0.2">
      <c r="A83" s="245"/>
      <c r="B83" s="245"/>
      <c r="C83" s="245"/>
      <c r="D83" s="245"/>
      <c r="E83" s="245"/>
      <c r="F83" s="246"/>
      <c r="G83" s="274" t="s">
        <v>618</v>
      </c>
      <c r="H83" s="274"/>
      <c r="I83" s="274" t="s">
        <v>149</v>
      </c>
      <c r="J83" s="274"/>
      <c r="K83" s="271" t="s">
        <v>150</v>
      </c>
      <c r="L83" s="272" t="e">
        <f>SUM(L84:L87)</f>
        <v>#REF!</v>
      </c>
      <c r="M83" s="332"/>
    </row>
    <row r="84" spans="1:13" ht="12" customHeight="1" x14ac:dyDescent="0.2">
      <c r="A84" s="245"/>
      <c r="B84" s="245"/>
      <c r="C84" s="245"/>
      <c r="D84" s="245"/>
      <c r="E84" s="245"/>
      <c r="F84" s="246"/>
      <c r="G84" s="273" t="s">
        <v>618</v>
      </c>
      <c r="H84" s="273"/>
      <c r="I84" s="273" t="s">
        <v>151</v>
      </c>
      <c r="J84" s="273"/>
      <c r="K84" s="245" t="s">
        <v>648</v>
      </c>
      <c r="L84" s="244" t="e">
        <v>#REF!</v>
      </c>
    </row>
    <row r="85" spans="1:13" ht="12" customHeight="1" x14ac:dyDescent="0.2">
      <c r="A85" s="245"/>
      <c r="B85" s="245"/>
      <c r="C85" s="245"/>
      <c r="D85" s="245"/>
      <c r="E85" s="245"/>
      <c r="F85" s="246"/>
      <c r="G85" s="273" t="s">
        <v>618</v>
      </c>
      <c r="H85" s="273"/>
      <c r="I85" s="273" t="s">
        <v>153</v>
      </c>
      <c r="J85" s="273"/>
      <c r="K85" s="245" t="s">
        <v>649</v>
      </c>
      <c r="L85" s="244" t="e">
        <v>#REF!</v>
      </c>
    </row>
    <row r="86" spans="1:13" ht="12" customHeight="1" x14ac:dyDescent="0.2">
      <c r="A86" s="245"/>
      <c r="B86" s="245"/>
      <c r="C86" s="245"/>
      <c r="D86" s="245"/>
      <c r="E86" s="245"/>
      <c r="G86" s="273" t="s">
        <v>618</v>
      </c>
      <c r="H86" s="273"/>
      <c r="I86" s="273" t="s">
        <v>155</v>
      </c>
      <c r="J86" s="273"/>
      <c r="K86" s="245" t="s">
        <v>650</v>
      </c>
      <c r="L86" s="244" t="e">
        <v>#REF!</v>
      </c>
    </row>
    <row r="87" spans="1:13" ht="12" customHeight="1" x14ac:dyDescent="0.2">
      <c r="A87" s="245"/>
      <c r="B87" s="245"/>
      <c r="C87" s="245"/>
      <c r="D87" s="245"/>
      <c r="E87" s="245"/>
      <c r="G87" s="273" t="s">
        <v>618</v>
      </c>
      <c r="H87" s="273"/>
      <c r="I87" s="273" t="s">
        <v>157</v>
      </c>
      <c r="J87" s="273"/>
      <c r="K87" s="245" t="s">
        <v>651</v>
      </c>
      <c r="L87" s="244" t="e">
        <v>#REF!</v>
      </c>
    </row>
    <row r="88" spans="1:13" ht="12" customHeight="1" x14ac:dyDescent="0.2">
      <c r="A88" s="245"/>
      <c r="B88" s="245"/>
      <c r="C88" s="245"/>
      <c r="D88" s="245"/>
      <c r="E88" s="245"/>
      <c r="G88" s="274" t="s">
        <v>618</v>
      </c>
      <c r="H88" s="274"/>
      <c r="I88" s="274" t="s">
        <v>159</v>
      </c>
      <c r="J88" s="274"/>
      <c r="K88" s="271" t="s">
        <v>275</v>
      </c>
      <c r="L88" s="272" t="e">
        <f>SUM(L89:L91)</f>
        <v>#REF!</v>
      </c>
      <c r="M88" s="332"/>
    </row>
    <row r="89" spans="1:13" ht="12" customHeight="1" x14ac:dyDescent="0.2">
      <c r="A89" s="245"/>
      <c r="B89" s="245"/>
      <c r="C89" s="245"/>
      <c r="D89" s="245"/>
      <c r="E89" s="245"/>
      <c r="G89" s="273" t="s">
        <v>618</v>
      </c>
      <c r="H89" s="273"/>
      <c r="I89" s="273" t="s">
        <v>160</v>
      </c>
      <c r="J89" s="273"/>
      <c r="K89" s="245" t="s">
        <v>161</v>
      </c>
      <c r="L89" s="244" t="e">
        <v>#REF!</v>
      </c>
    </row>
    <row r="90" spans="1:13" ht="12" hidden="1" customHeight="1" x14ac:dyDescent="0.2">
      <c r="A90" s="245"/>
      <c r="B90" s="245"/>
      <c r="C90" s="245"/>
      <c r="D90" s="245"/>
      <c r="E90" s="245"/>
      <c r="G90" s="273" t="s">
        <v>618</v>
      </c>
      <c r="H90" s="273"/>
      <c r="I90" s="273" t="s">
        <v>652</v>
      </c>
      <c r="J90" s="273"/>
      <c r="K90" s="245" t="s">
        <v>653</v>
      </c>
      <c r="L90" s="244">
        <v>0</v>
      </c>
    </row>
    <row r="91" spans="1:13" ht="12" hidden="1" customHeight="1" x14ac:dyDescent="0.2">
      <c r="A91" s="245"/>
      <c r="B91" s="245"/>
      <c r="C91" s="245"/>
      <c r="D91" s="245"/>
      <c r="E91" s="245"/>
      <c r="G91" s="273" t="s">
        <v>618</v>
      </c>
      <c r="H91" s="273"/>
      <c r="I91" s="273" t="s">
        <v>654</v>
      </c>
      <c r="J91" s="273"/>
      <c r="K91" s="245" t="s">
        <v>655</v>
      </c>
      <c r="L91" s="244">
        <v>0</v>
      </c>
    </row>
    <row r="92" spans="1:13" ht="12" customHeight="1" x14ac:dyDescent="0.2">
      <c r="A92" s="245"/>
      <c r="B92" s="245"/>
      <c r="C92" s="245"/>
      <c r="D92" s="245"/>
      <c r="E92" s="245"/>
      <c r="G92" s="274" t="s">
        <v>618</v>
      </c>
      <c r="H92" s="274"/>
      <c r="I92" s="274" t="s">
        <v>162</v>
      </c>
      <c r="J92" s="274"/>
      <c r="K92" s="271" t="s">
        <v>656</v>
      </c>
      <c r="L92" s="272" t="e">
        <f>SUM(L93:L95)</f>
        <v>#REF!</v>
      </c>
      <c r="M92" s="332"/>
    </row>
    <row r="93" spans="1:13" ht="12" customHeight="1" x14ac:dyDescent="0.2">
      <c r="A93" s="245"/>
      <c r="B93" s="245"/>
      <c r="C93" s="245"/>
      <c r="D93" s="245"/>
      <c r="E93" s="245"/>
      <c r="G93" s="273" t="s">
        <v>618</v>
      </c>
      <c r="H93" s="273"/>
      <c r="I93" s="273" t="s">
        <v>164</v>
      </c>
      <c r="J93" s="273"/>
      <c r="K93" s="245" t="s">
        <v>657</v>
      </c>
      <c r="L93" s="244" t="e">
        <v>#REF!</v>
      </c>
    </row>
    <row r="94" spans="1:13" ht="12" hidden="1" customHeight="1" x14ac:dyDescent="0.2">
      <c r="A94" s="245"/>
      <c r="B94" s="245"/>
      <c r="C94" s="245"/>
      <c r="D94" s="245"/>
      <c r="E94" s="245"/>
      <c r="G94" s="273" t="s">
        <v>618</v>
      </c>
      <c r="H94" s="273"/>
      <c r="I94" s="273" t="s">
        <v>166</v>
      </c>
      <c r="J94" s="273"/>
      <c r="K94" s="245" t="s">
        <v>658</v>
      </c>
      <c r="L94" s="244">
        <v>0</v>
      </c>
    </row>
    <row r="95" spans="1:13" ht="12" hidden="1" customHeight="1" x14ac:dyDescent="0.2">
      <c r="A95" s="245"/>
      <c r="B95" s="245"/>
      <c r="C95" s="245"/>
      <c r="D95" s="245"/>
      <c r="E95" s="245"/>
      <c r="G95" s="273" t="s">
        <v>618</v>
      </c>
      <c r="H95" s="273"/>
      <c r="I95" s="273" t="s">
        <v>168</v>
      </c>
      <c r="J95" s="273"/>
      <c r="K95" s="245" t="s">
        <v>659</v>
      </c>
      <c r="L95" s="244">
        <v>0</v>
      </c>
    </row>
    <row r="96" spans="1:13" ht="12" customHeight="1" x14ac:dyDescent="0.2">
      <c r="A96" s="245"/>
      <c r="B96" s="245"/>
      <c r="C96" s="245"/>
      <c r="D96" s="245"/>
      <c r="E96" s="245"/>
      <c r="G96" s="274" t="s">
        <v>618</v>
      </c>
      <c r="H96" s="274"/>
      <c r="I96" s="274" t="s">
        <v>170</v>
      </c>
      <c r="J96" s="274"/>
      <c r="K96" s="271" t="s">
        <v>660</v>
      </c>
      <c r="L96" s="272" t="e">
        <f>SUM(L97:L105)</f>
        <v>#REF!</v>
      </c>
      <c r="M96" s="332"/>
    </row>
    <row r="97" spans="1:13" ht="12" hidden="1" customHeight="1" x14ac:dyDescent="0.2">
      <c r="A97" s="245"/>
      <c r="B97" s="245"/>
      <c r="C97" s="245"/>
      <c r="D97" s="245"/>
      <c r="E97" s="245"/>
      <c r="G97" s="273" t="s">
        <v>618</v>
      </c>
      <c r="H97" s="273"/>
      <c r="I97" s="273" t="s">
        <v>172</v>
      </c>
      <c r="J97" s="273"/>
      <c r="K97" s="245" t="s">
        <v>661</v>
      </c>
      <c r="L97" s="244" t="e">
        <v>#REF!</v>
      </c>
    </row>
    <row r="98" spans="1:13" ht="12" hidden="1" customHeight="1" x14ac:dyDescent="0.2">
      <c r="A98" s="245"/>
      <c r="B98" s="245"/>
      <c r="C98" s="245"/>
      <c r="D98" s="245"/>
      <c r="E98" s="245"/>
      <c r="G98" s="273" t="s">
        <v>618</v>
      </c>
      <c r="H98" s="273"/>
      <c r="I98" s="273" t="s">
        <v>662</v>
      </c>
      <c r="J98" s="273"/>
      <c r="K98" s="245" t="s">
        <v>663</v>
      </c>
      <c r="L98" s="244">
        <v>0</v>
      </c>
    </row>
    <row r="99" spans="1:13" ht="12" hidden="1" customHeight="1" x14ac:dyDescent="0.2">
      <c r="A99" s="245"/>
      <c r="B99" s="245"/>
      <c r="C99" s="245"/>
      <c r="D99" s="245"/>
      <c r="E99" s="245"/>
      <c r="G99" s="273" t="s">
        <v>618</v>
      </c>
      <c r="H99" s="273"/>
      <c r="I99" s="273" t="s">
        <v>174</v>
      </c>
      <c r="J99" s="273"/>
      <c r="K99" s="245" t="s">
        <v>664</v>
      </c>
      <c r="L99" s="244">
        <v>0</v>
      </c>
    </row>
    <row r="100" spans="1:13" ht="12" hidden="1" customHeight="1" x14ac:dyDescent="0.2">
      <c r="A100" s="245"/>
      <c r="B100" s="245"/>
      <c r="C100" s="245"/>
      <c r="D100" s="245"/>
      <c r="E100" s="245"/>
      <c r="G100" s="273" t="s">
        <v>618</v>
      </c>
      <c r="H100" s="273"/>
      <c r="I100" s="273" t="s">
        <v>402</v>
      </c>
      <c r="J100" s="273"/>
      <c r="K100" s="245" t="s">
        <v>665</v>
      </c>
      <c r="L100" s="244">
        <v>0</v>
      </c>
    </row>
    <row r="101" spans="1:13" ht="12" customHeight="1" x14ac:dyDescent="0.2">
      <c r="A101" s="245"/>
      <c r="B101" s="245"/>
      <c r="C101" s="245"/>
      <c r="D101" s="245"/>
      <c r="E101" s="245"/>
      <c r="G101" s="273" t="s">
        <v>618</v>
      </c>
      <c r="H101" s="273"/>
      <c r="I101" s="273" t="s">
        <v>176</v>
      </c>
      <c r="J101" s="273"/>
      <c r="K101" s="245" t="s">
        <v>666</v>
      </c>
      <c r="L101" s="244" t="e">
        <v>#REF!</v>
      </c>
    </row>
    <row r="102" spans="1:13" ht="12" hidden="1" customHeight="1" x14ac:dyDescent="0.2">
      <c r="A102" s="245"/>
      <c r="B102" s="245"/>
      <c r="C102" s="245"/>
      <c r="D102" s="245"/>
      <c r="E102" s="245"/>
      <c r="G102" s="273" t="s">
        <v>618</v>
      </c>
      <c r="H102" s="273"/>
      <c r="I102" s="273" t="s">
        <v>178</v>
      </c>
      <c r="J102" s="273"/>
      <c r="K102" s="245" t="s">
        <v>667</v>
      </c>
      <c r="L102" s="244">
        <v>0</v>
      </c>
    </row>
    <row r="103" spans="1:13" ht="12" hidden="1" customHeight="1" x14ac:dyDescent="0.2">
      <c r="A103" s="245"/>
      <c r="B103" s="245"/>
      <c r="C103" s="245"/>
      <c r="D103" s="245"/>
      <c r="E103" s="245"/>
      <c r="G103" s="273" t="s">
        <v>618</v>
      </c>
      <c r="H103" s="273"/>
      <c r="I103" s="273" t="s">
        <v>180</v>
      </c>
      <c r="J103" s="273"/>
      <c r="K103" s="245" t="s">
        <v>668</v>
      </c>
      <c r="L103" s="244">
        <v>0</v>
      </c>
    </row>
    <row r="104" spans="1:13" ht="12" hidden="1" customHeight="1" x14ac:dyDescent="0.2">
      <c r="A104" s="245"/>
      <c r="B104" s="245"/>
      <c r="C104" s="245"/>
      <c r="D104" s="245"/>
      <c r="E104" s="245"/>
      <c r="G104" s="273" t="s">
        <v>618</v>
      </c>
      <c r="H104" s="273"/>
      <c r="I104" s="273" t="s">
        <v>182</v>
      </c>
      <c r="J104" s="273"/>
      <c r="K104" s="245" t="s">
        <v>669</v>
      </c>
      <c r="L104" s="244">
        <v>0</v>
      </c>
    </row>
    <row r="105" spans="1:13" ht="12" customHeight="1" x14ac:dyDescent="0.2">
      <c r="A105" s="245"/>
      <c r="B105" s="245"/>
      <c r="C105" s="245"/>
      <c r="D105" s="245"/>
      <c r="E105" s="245"/>
      <c r="G105" s="273" t="s">
        <v>618</v>
      </c>
      <c r="H105" s="273"/>
      <c r="I105" s="273" t="s">
        <v>183</v>
      </c>
      <c r="J105" s="273"/>
      <c r="K105" s="245" t="s">
        <v>670</v>
      </c>
      <c r="L105" s="244" t="e">
        <v>#REF!</v>
      </c>
    </row>
    <row r="106" spans="1:13" ht="12" hidden="1" customHeight="1" x14ac:dyDescent="0.2">
      <c r="G106" s="259"/>
      <c r="H106" s="259"/>
      <c r="I106" s="259"/>
      <c r="J106" s="259"/>
      <c r="L106" s="244">
        <v>0</v>
      </c>
    </row>
    <row r="107" spans="1:13" ht="12" customHeight="1" x14ac:dyDescent="0.2">
      <c r="A107" s="245"/>
      <c r="B107" s="245"/>
      <c r="C107" s="245"/>
      <c r="D107" s="245"/>
      <c r="E107" s="245"/>
      <c r="G107" s="274" t="s">
        <v>618</v>
      </c>
      <c r="H107" s="274"/>
      <c r="I107" s="274" t="s">
        <v>185</v>
      </c>
      <c r="J107" s="274"/>
      <c r="K107" s="271" t="s">
        <v>186</v>
      </c>
      <c r="L107" s="272" t="e">
        <f>SUM(L108:L113)</f>
        <v>#REF!</v>
      </c>
      <c r="M107" s="332"/>
    </row>
    <row r="108" spans="1:13" ht="12" hidden="1" customHeight="1" x14ac:dyDescent="0.2">
      <c r="A108" s="245"/>
      <c r="B108" s="245"/>
      <c r="C108" s="245"/>
      <c r="D108" s="245"/>
      <c r="E108" s="245"/>
      <c r="G108" s="273" t="s">
        <v>618</v>
      </c>
      <c r="H108" s="273"/>
      <c r="I108" s="273" t="s">
        <v>671</v>
      </c>
      <c r="J108" s="273"/>
      <c r="K108" s="245" t="s">
        <v>672</v>
      </c>
      <c r="L108" s="244">
        <v>0</v>
      </c>
    </row>
    <row r="109" spans="1:13" ht="12" hidden="1" customHeight="1" x14ac:dyDescent="0.2">
      <c r="A109" s="245"/>
      <c r="B109" s="245"/>
      <c r="C109" s="245"/>
      <c r="D109" s="245"/>
      <c r="E109" s="245"/>
      <c r="G109" s="273" t="s">
        <v>618</v>
      </c>
      <c r="H109" s="273"/>
      <c r="I109" s="273" t="s">
        <v>408</v>
      </c>
      <c r="J109" s="273"/>
      <c r="K109" s="245" t="s">
        <v>409</v>
      </c>
      <c r="L109" s="244">
        <v>0</v>
      </c>
    </row>
    <row r="110" spans="1:13" ht="12" hidden="1" customHeight="1" x14ac:dyDescent="0.2">
      <c r="A110" s="245"/>
      <c r="B110" s="245"/>
      <c r="C110" s="245"/>
      <c r="D110" s="245"/>
      <c r="E110" s="245"/>
      <c r="G110" s="273" t="s">
        <v>618</v>
      </c>
      <c r="H110" s="273"/>
      <c r="I110" s="273" t="s">
        <v>673</v>
      </c>
      <c r="J110" s="273"/>
      <c r="K110" s="245" t="s">
        <v>674</v>
      </c>
      <c r="L110" s="244">
        <v>0</v>
      </c>
    </row>
    <row r="111" spans="1:13" ht="12" hidden="1" customHeight="1" x14ac:dyDescent="0.2">
      <c r="A111" s="245"/>
      <c r="B111" s="245"/>
      <c r="C111" s="245"/>
      <c r="D111" s="245"/>
      <c r="E111" s="245"/>
      <c r="G111" s="273" t="s">
        <v>618</v>
      </c>
      <c r="H111" s="273"/>
      <c r="I111" s="273" t="s">
        <v>675</v>
      </c>
      <c r="J111" s="273"/>
      <c r="K111" s="245" t="s">
        <v>676</v>
      </c>
      <c r="L111" s="244">
        <v>0</v>
      </c>
    </row>
    <row r="112" spans="1:13" ht="12" customHeight="1" x14ac:dyDescent="0.2">
      <c r="A112" s="245"/>
      <c r="B112" s="245"/>
      <c r="C112" s="245"/>
      <c r="D112" s="245"/>
      <c r="E112" s="245"/>
      <c r="G112" s="273" t="s">
        <v>618</v>
      </c>
      <c r="H112" s="273"/>
      <c r="I112" s="273" t="s">
        <v>187</v>
      </c>
      <c r="J112" s="273"/>
      <c r="K112" s="245" t="s">
        <v>188</v>
      </c>
      <c r="L112" s="244" t="e">
        <v>#REF!</v>
      </c>
    </row>
    <row r="113" spans="1:21" ht="12" customHeight="1" x14ac:dyDescent="0.2">
      <c r="A113" s="245"/>
      <c r="B113" s="245"/>
      <c r="C113" s="245"/>
      <c r="D113" s="245"/>
      <c r="E113" s="245"/>
      <c r="G113" s="273" t="s">
        <v>618</v>
      </c>
      <c r="H113" s="273"/>
      <c r="I113" s="273" t="s">
        <v>189</v>
      </c>
      <c r="J113" s="273"/>
      <c r="K113" s="245" t="s">
        <v>677</v>
      </c>
      <c r="L113" s="244" t="e">
        <v>#REF!</v>
      </c>
    </row>
    <row r="114" spans="1:21" ht="6.9" customHeight="1" x14ac:dyDescent="0.2">
      <c r="A114" s="245"/>
      <c r="B114" s="245"/>
      <c r="C114" s="245"/>
      <c r="D114" s="245"/>
      <c r="E114" s="245"/>
      <c r="G114" s="273" t="s">
        <v>382</v>
      </c>
      <c r="H114" s="273"/>
      <c r="I114" s="247"/>
      <c r="J114" s="247"/>
      <c r="K114" s="245"/>
    </row>
    <row r="115" spans="1:21" ht="12.75" customHeight="1" x14ac:dyDescent="0.2">
      <c r="A115" s="260"/>
      <c r="B115" s="260"/>
      <c r="C115" s="261"/>
      <c r="D115" s="262"/>
      <c r="E115" s="262"/>
      <c r="F115" s="263"/>
      <c r="G115" s="261" t="s">
        <v>618</v>
      </c>
      <c r="H115" s="261"/>
      <c r="I115" s="261">
        <v>2</v>
      </c>
      <c r="J115" s="261"/>
      <c r="K115" s="264" t="s">
        <v>22</v>
      </c>
      <c r="L115" s="263" t="e">
        <f>+L117+L123+L128+L136+L144+L139</f>
        <v>#REF!</v>
      </c>
      <c r="M115" s="331"/>
      <c r="T115" s="244" t="e">
        <v>#REF!</v>
      </c>
      <c r="U115" s="244" t="e">
        <f>+T115-L115</f>
        <v>#REF!</v>
      </c>
    </row>
    <row r="116" spans="1:21" ht="12" customHeight="1" x14ac:dyDescent="0.2">
      <c r="A116" s="245"/>
      <c r="B116" s="245"/>
      <c r="C116" s="245"/>
      <c r="D116" s="245"/>
      <c r="E116" s="245"/>
      <c r="G116" s="273" t="s">
        <v>382</v>
      </c>
      <c r="H116" s="273"/>
      <c r="I116" s="274"/>
      <c r="J116" s="274"/>
      <c r="K116" s="271"/>
    </row>
    <row r="117" spans="1:21" ht="12" customHeight="1" x14ac:dyDescent="0.2">
      <c r="A117" s="245"/>
      <c r="B117" s="245"/>
      <c r="C117" s="245"/>
      <c r="D117" s="245"/>
      <c r="E117" s="245"/>
      <c r="G117" s="274" t="s">
        <v>618</v>
      </c>
      <c r="H117" s="274"/>
      <c r="I117" s="274" t="s">
        <v>191</v>
      </c>
      <c r="J117" s="274"/>
      <c r="K117" s="271" t="s">
        <v>678</v>
      </c>
      <c r="L117" s="272" t="e">
        <f>SUM(L118:L122)</f>
        <v>#REF!</v>
      </c>
      <c r="M117" s="332"/>
    </row>
    <row r="118" spans="1:21" ht="12" customHeight="1" x14ac:dyDescent="0.2">
      <c r="A118" s="245"/>
      <c r="B118" s="245"/>
      <c r="C118" s="245"/>
      <c r="D118" s="245"/>
      <c r="E118" s="245"/>
      <c r="G118" s="273" t="s">
        <v>618</v>
      </c>
      <c r="H118" s="273"/>
      <c r="I118" s="273" t="s">
        <v>193</v>
      </c>
      <c r="J118" s="273"/>
      <c r="K118" s="245" t="s">
        <v>679</v>
      </c>
      <c r="L118" s="244" t="e">
        <v>#REF!</v>
      </c>
    </row>
    <row r="119" spans="1:21" ht="12" customHeight="1" x14ac:dyDescent="0.2">
      <c r="A119" s="245"/>
      <c r="B119" s="245"/>
      <c r="C119" s="245"/>
      <c r="D119" s="245"/>
      <c r="E119" s="245"/>
      <c r="G119" s="273" t="s">
        <v>618</v>
      </c>
      <c r="H119" s="273"/>
      <c r="I119" s="273" t="s">
        <v>195</v>
      </c>
      <c r="J119" s="273"/>
      <c r="K119" s="245" t="s">
        <v>680</v>
      </c>
      <c r="L119" s="244" t="e">
        <v>#REF!</v>
      </c>
    </row>
    <row r="120" spans="1:21" ht="12" hidden="1" customHeight="1" x14ac:dyDescent="0.2">
      <c r="A120" s="245"/>
      <c r="B120" s="245"/>
      <c r="C120" s="245"/>
      <c r="D120" s="245"/>
      <c r="E120" s="245"/>
      <c r="G120" s="273" t="s">
        <v>618</v>
      </c>
      <c r="H120" s="273"/>
      <c r="I120" s="273" t="s">
        <v>681</v>
      </c>
      <c r="J120" s="273"/>
      <c r="K120" s="245" t="s">
        <v>682</v>
      </c>
      <c r="L120" s="244">
        <v>0</v>
      </c>
    </row>
    <row r="121" spans="1:21" ht="12" customHeight="1" x14ac:dyDescent="0.2">
      <c r="A121" s="245"/>
      <c r="B121" s="245"/>
      <c r="C121" s="245"/>
      <c r="D121" s="245"/>
      <c r="E121" s="245"/>
      <c r="G121" s="273" t="s">
        <v>618</v>
      </c>
      <c r="H121" s="273"/>
      <c r="I121" s="273" t="s">
        <v>197</v>
      </c>
      <c r="J121" s="273"/>
      <c r="K121" s="245" t="s">
        <v>683</v>
      </c>
      <c r="L121" s="244" t="e">
        <v>#REF!</v>
      </c>
    </row>
    <row r="122" spans="1:21" ht="12" hidden="1" customHeight="1" x14ac:dyDescent="0.2">
      <c r="A122" s="245"/>
      <c r="B122" s="245"/>
      <c r="C122" s="245"/>
      <c r="D122" s="245"/>
      <c r="E122" s="245"/>
      <c r="G122" s="273" t="s">
        <v>618</v>
      </c>
      <c r="H122" s="273"/>
      <c r="I122" s="273" t="s">
        <v>199</v>
      </c>
      <c r="J122" s="273"/>
      <c r="K122" s="245" t="s">
        <v>684</v>
      </c>
      <c r="L122" s="244">
        <v>0</v>
      </c>
    </row>
    <row r="123" spans="1:21" x14ac:dyDescent="0.2">
      <c r="A123" s="245"/>
      <c r="B123" s="245"/>
      <c r="C123" s="245"/>
      <c r="D123" s="245"/>
      <c r="E123" s="245"/>
      <c r="G123" s="274" t="s">
        <v>618</v>
      </c>
      <c r="H123" s="274"/>
      <c r="I123" s="274" t="s">
        <v>349</v>
      </c>
      <c r="J123" s="274"/>
      <c r="K123" s="271" t="s">
        <v>350</v>
      </c>
      <c r="L123" s="272" t="e">
        <f>SUM(L124:L127)</f>
        <v>#REF!</v>
      </c>
      <c r="M123" s="332"/>
    </row>
    <row r="124" spans="1:21" ht="12" hidden="1" customHeight="1" x14ac:dyDescent="0.2">
      <c r="A124" s="245"/>
      <c r="B124" s="245"/>
      <c r="C124" s="245"/>
      <c r="D124" s="245"/>
      <c r="E124" s="245"/>
      <c r="G124" s="273" t="s">
        <v>618</v>
      </c>
      <c r="H124" s="273"/>
      <c r="I124" s="273" t="s">
        <v>685</v>
      </c>
      <c r="J124" s="273"/>
      <c r="K124" s="245" t="s">
        <v>686</v>
      </c>
      <c r="L124" s="244">
        <v>0</v>
      </c>
    </row>
    <row r="125" spans="1:21" ht="12" hidden="1" customHeight="1" x14ac:dyDescent="0.2">
      <c r="A125" s="245"/>
      <c r="B125" s="245"/>
      <c r="C125" s="245"/>
      <c r="D125" s="245"/>
      <c r="E125" s="245"/>
      <c r="G125" s="273" t="s">
        <v>618</v>
      </c>
      <c r="H125" s="273"/>
      <c r="I125" s="273" t="s">
        <v>687</v>
      </c>
      <c r="J125" s="273"/>
      <c r="K125" s="245" t="s">
        <v>688</v>
      </c>
      <c r="L125" s="244">
        <v>0</v>
      </c>
    </row>
    <row r="126" spans="1:21" ht="12" customHeight="1" x14ac:dyDescent="0.2">
      <c r="A126" s="245"/>
      <c r="B126" s="245"/>
      <c r="C126" s="245"/>
      <c r="D126" s="245"/>
      <c r="E126" s="245"/>
      <c r="G126" s="273" t="s">
        <v>618</v>
      </c>
      <c r="H126" s="273"/>
      <c r="I126" s="273" t="s">
        <v>351</v>
      </c>
      <c r="J126" s="273"/>
      <c r="K126" s="245" t="s">
        <v>362</v>
      </c>
      <c r="L126" s="244" t="e">
        <v>#REF!</v>
      </c>
    </row>
    <row r="127" spans="1:21" ht="12" hidden="1" customHeight="1" x14ac:dyDescent="0.2">
      <c r="A127" s="245"/>
      <c r="B127" s="245"/>
      <c r="C127" s="245"/>
      <c r="D127" s="245"/>
      <c r="E127" s="245"/>
      <c r="G127" s="273" t="s">
        <v>618</v>
      </c>
      <c r="H127" s="273"/>
      <c r="I127" s="273" t="s">
        <v>689</v>
      </c>
      <c r="J127" s="273"/>
      <c r="K127" s="245" t="s">
        <v>690</v>
      </c>
      <c r="L127" s="244">
        <v>0</v>
      </c>
    </row>
    <row r="128" spans="1:21" ht="12" customHeight="1" x14ac:dyDescent="0.2">
      <c r="A128" s="245"/>
      <c r="B128" s="245"/>
      <c r="C128" s="245"/>
      <c r="D128" s="245"/>
      <c r="E128" s="245"/>
      <c r="G128" s="274" t="s">
        <v>618</v>
      </c>
      <c r="H128" s="274"/>
      <c r="I128" s="274" t="s">
        <v>201</v>
      </c>
      <c r="J128" s="274"/>
      <c r="K128" s="271" t="s">
        <v>691</v>
      </c>
      <c r="L128" s="272" t="e">
        <f>SUM(L129:L135)</f>
        <v>#REF!</v>
      </c>
      <c r="M128" s="332"/>
    </row>
    <row r="129" spans="1:15" ht="12" hidden="1" customHeight="1" x14ac:dyDescent="0.2">
      <c r="A129" s="245"/>
      <c r="B129" s="245"/>
      <c r="C129" s="245"/>
      <c r="D129" s="245"/>
      <c r="E129" s="245"/>
      <c r="G129" s="273" t="s">
        <v>618</v>
      </c>
      <c r="H129" s="273"/>
      <c r="I129" s="273" t="s">
        <v>202</v>
      </c>
      <c r="J129" s="273"/>
      <c r="K129" s="245" t="s">
        <v>692</v>
      </c>
      <c r="L129" s="244">
        <v>0</v>
      </c>
    </row>
    <row r="130" spans="1:15" ht="12" hidden="1" customHeight="1" x14ac:dyDescent="0.2">
      <c r="A130" s="245"/>
      <c r="B130" s="245"/>
      <c r="C130" s="245"/>
      <c r="D130" s="245"/>
      <c r="E130" s="245"/>
      <c r="G130" s="273" t="s">
        <v>618</v>
      </c>
      <c r="H130" s="273"/>
      <c r="I130" s="273" t="s">
        <v>693</v>
      </c>
      <c r="J130" s="273"/>
      <c r="K130" s="245" t="s">
        <v>694</v>
      </c>
      <c r="L130" s="244">
        <v>0</v>
      </c>
    </row>
    <row r="131" spans="1:15" ht="12" hidden="1" customHeight="1" x14ac:dyDescent="0.2">
      <c r="A131" s="245"/>
      <c r="B131" s="245"/>
      <c r="C131" s="245"/>
      <c r="D131" s="245"/>
      <c r="E131" s="245"/>
      <c r="G131" s="273" t="s">
        <v>618</v>
      </c>
      <c r="H131" s="273"/>
      <c r="I131" s="273" t="s">
        <v>204</v>
      </c>
      <c r="J131" s="273"/>
      <c r="K131" s="245" t="s">
        <v>205</v>
      </c>
      <c r="L131" s="244">
        <v>0</v>
      </c>
    </row>
    <row r="132" spans="1:15" ht="12" customHeight="1" x14ac:dyDescent="0.2">
      <c r="A132" s="245"/>
      <c r="B132" s="245"/>
      <c r="C132" s="245"/>
      <c r="D132" s="245"/>
      <c r="E132" s="245"/>
      <c r="G132" s="273" t="s">
        <v>618</v>
      </c>
      <c r="H132" s="273"/>
      <c r="I132" s="273" t="s">
        <v>206</v>
      </c>
      <c r="J132" s="273"/>
      <c r="K132" s="245" t="s">
        <v>695</v>
      </c>
      <c r="L132" s="244" t="e">
        <v>#REF!</v>
      </c>
    </row>
    <row r="133" spans="1:15" ht="12" hidden="1" customHeight="1" x14ac:dyDescent="0.2">
      <c r="A133" s="245"/>
      <c r="B133" s="245"/>
      <c r="C133" s="245"/>
      <c r="D133" s="245"/>
      <c r="E133" s="245"/>
      <c r="G133" s="273" t="s">
        <v>618</v>
      </c>
      <c r="H133" s="273"/>
      <c r="I133" s="273" t="s">
        <v>208</v>
      </c>
      <c r="J133" s="273"/>
      <c r="K133" s="245" t="s">
        <v>696</v>
      </c>
      <c r="L133" s="244">
        <v>0</v>
      </c>
    </row>
    <row r="134" spans="1:15" ht="12" hidden="1" customHeight="1" x14ac:dyDescent="0.2">
      <c r="A134" s="245"/>
      <c r="B134" s="245"/>
      <c r="C134" s="245"/>
      <c r="D134" s="245"/>
      <c r="E134" s="245"/>
      <c r="G134" s="273" t="s">
        <v>618</v>
      </c>
      <c r="H134" s="273"/>
      <c r="I134" s="273" t="s">
        <v>210</v>
      </c>
      <c r="J134" s="273"/>
      <c r="K134" s="245" t="s">
        <v>697</v>
      </c>
      <c r="L134" s="244">
        <v>0</v>
      </c>
      <c r="O134" s="244"/>
    </row>
    <row r="135" spans="1:15" ht="12" hidden="1" customHeight="1" x14ac:dyDescent="0.2">
      <c r="A135" s="245"/>
      <c r="B135" s="245"/>
      <c r="C135" s="245"/>
      <c r="D135" s="245"/>
      <c r="E135" s="245"/>
      <c r="G135" s="273" t="s">
        <v>618</v>
      </c>
      <c r="H135" s="273"/>
      <c r="I135" s="273" t="s">
        <v>212</v>
      </c>
      <c r="J135" s="273"/>
      <c r="K135" s="245" t="s">
        <v>698</v>
      </c>
      <c r="L135" s="244">
        <v>0</v>
      </c>
      <c r="O135" s="244"/>
    </row>
    <row r="136" spans="1:15" ht="12" customHeight="1" x14ac:dyDescent="0.2">
      <c r="A136" s="245"/>
      <c r="B136" s="245"/>
      <c r="C136" s="245"/>
      <c r="D136" s="245"/>
      <c r="E136" s="245"/>
      <c r="G136" s="274" t="s">
        <v>618</v>
      </c>
      <c r="H136" s="274"/>
      <c r="I136" s="274" t="s">
        <v>214</v>
      </c>
      <c r="J136" s="274"/>
      <c r="K136" s="271" t="s">
        <v>215</v>
      </c>
      <c r="L136" s="272" t="e">
        <f>SUM(L137:L138)</f>
        <v>#REF!</v>
      </c>
      <c r="M136" s="332"/>
    </row>
    <row r="137" spans="1:15" ht="12" hidden="1" customHeight="1" x14ac:dyDescent="0.2">
      <c r="A137" s="245"/>
      <c r="B137" s="245"/>
      <c r="C137" s="245"/>
      <c r="D137" s="245"/>
      <c r="E137" s="245"/>
      <c r="G137" s="273" t="s">
        <v>618</v>
      </c>
      <c r="H137" s="273"/>
      <c r="I137" s="273" t="s">
        <v>216</v>
      </c>
      <c r="J137" s="273"/>
      <c r="K137" s="245" t="s">
        <v>699</v>
      </c>
      <c r="L137" s="244">
        <v>0</v>
      </c>
    </row>
    <row r="138" spans="1:15" ht="12" customHeight="1" x14ac:dyDescent="0.2">
      <c r="A138" s="245"/>
      <c r="B138" s="245"/>
      <c r="C138" s="245"/>
      <c r="D138" s="245"/>
      <c r="E138" s="245"/>
      <c r="G138" s="273" t="s">
        <v>618</v>
      </c>
      <c r="H138" s="273"/>
      <c r="I138" s="273" t="s">
        <v>218</v>
      </c>
      <c r="J138" s="273"/>
      <c r="K138" s="245" t="s">
        <v>700</v>
      </c>
      <c r="L138" s="244" t="e">
        <v>#REF!</v>
      </c>
    </row>
    <row r="139" spans="1:15" ht="12" hidden="1" customHeight="1" x14ac:dyDescent="0.2">
      <c r="A139" s="245"/>
      <c r="B139" s="245"/>
      <c r="C139" s="245"/>
      <c r="D139" s="245"/>
      <c r="E139" s="245"/>
      <c r="G139" s="274" t="s">
        <v>618</v>
      </c>
      <c r="H139" s="274"/>
      <c r="I139" s="274" t="s">
        <v>701</v>
      </c>
      <c r="J139" s="274"/>
      <c r="K139" s="271" t="s">
        <v>702</v>
      </c>
      <c r="L139" s="272">
        <f>SUM(L140:L143)</f>
        <v>0</v>
      </c>
      <c r="M139" s="332"/>
    </row>
    <row r="140" spans="1:15" ht="12" hidden="1" customHeight="1" x14ac:dyDescent="0.2">
      <c r="A140" s="245"/>
      <c r="B140" s="245"/>
      <c r="C140" s="245"/>
      <c r="D140" s="245"/>
      <c r="E140" s="245"/>
      <c r="G140" s="273" t="s">
        <v>618</v>
      </c>
      <c r="H140" s="273"/>
      <c r="I140" s="273" t="s">
        <v>703</v>
      </c>
      <c r="J140" s="273"/>
      <c r="K140" s="245" t="s">
        <v>704</v>
      </c>
      <c r="L140" s="244">
        <v>0</v>
      </c>
    </row>
    <row r="141" spans="1:15" ht="12" hidden="1" customHeight="1" x14ac:dyDescent="0.2">
      <c r="A141" s="245"/>
      <c r="B141" s="245"/>
      <c r="C141" s="245"/>
      <c r="D141" s="245"/>
      <c r="E141" s="245"/>
      <c r="G141" s="273" t="s">
        <v>618</v>
      </c>
      <c r="H141" s="273"/>
      <c r="I141" s="273" t="s">
        <v>705</v>
      </c>
      <c r="J141" s="273"/>
      <c r="K141" s="245" t="s">
        <v>706</v>
      </c>
      <c r="L141" s="244">
        <v>0</v>
      </c>
    </row>
    <row r="142" spans="1:15" ht="12" hidden="1" customHeight="1" x14ac:dyDescent="0.2">
      <c r="A142" s="245"/>
      <c r="B142" s="245"/>
      <c r="C142" s="245"/>
      <c r="D142" s="245"/>
      <c r="E142" s="245"/>
      <c r="G142" s="273" t="s">
        <v>618</v>
      </c>
      <c r="H142" s="273"/>
      <c r="I142" s="273" t="s">
        <v>707</v>
      </c>
      <c r="J142" s="273"/>
      <c r="K142" s="245" t="s">
        <v>708</v>
      </c>
      <c r="L142" s="244">
        <v>0</v>
      </c>
    </row>
    <row r="143" spans="1:15" ht="12" hidden="1" customHeight="1" x14ac:dyDescent="0.2">
      <c r="A143" s="245"/>
      <c r="B143" s="245"/>
      <c r="C143" s="245"/>
      <c r="D143" s="245"/>
      <c r="E143" s="245"/>
      <c r="G143" s="273" t="s">
        <v>618</v>
      </c>
      <c r="H143" s="273"/>
      <c r="I143" s="273" t="s">
        <v>709</v>
      </c>
      <c r="J143" s="273"/>
      <c r="K143" s="245" t="s">
        <v>710</v>
      </c>
      <c r="L143" s="244">
        <v>0</v>
      </c>
    </row>
    <row r="144" spans="1:15" ht="12" customHeight="1" x14ac:dyDescent="0.2">
      <c r="A144" s="245"/>
      <c r="B144" s="245"/>
      <c r="C144" s="245"/>
      <c r="D144" s="245"/>
      <c r="E144" s="245"/>
      <c r="G144" s="274" t="s">
        <v>618</v>
      </c>
      <c r="H144" s="274"/>
      <c r="I144" s="274" t="s">
        <v>220</v>
      </c>
      <c r="J144" s="274"/>
      <c r="K144" s="271" t="s">
        <v>711</v>
      </c>
      <c r="L144" s="272" t="e">
        <f>SUM(L145:L152)</f>
        <v>#REF!</v>
      </c>
      <c r="M144" s="332"/>
    </row>
    <row r="145" spans="1:12" ht="12" customHeight="1" x14ac:dyDescent="0.2">
      <c r="A145" s="245"/>
      <c r="B145" s="245"/>
      <c r="C145" s="245"/>
      <c r="D145" s="245"/>
      <c r="E145" s="245"/>
      <c r="G145" s="273" t="s">
        <v>618</v>
      </c>
      <c r="H145" s="273"/>
      <c r="I145" s="273" t="s">
        <v>221</v>
      </c>
      <c r="J145" s="273"/>
      <c r="K145" s="245" t="s">
        <v>712</v>
      </c>
      <c r="L145" s="244" t="e">
        <v>#REF!</v>
      </c>
    </row>
    <row r="146" spans="1:12" ht="12" customHeight="1" x14ac:dyDescent="0.2">
      <c r="A146" s="245"/>
      <c r="B146" s="245"/>
      <c r="C146" s="245"/>
      <c r="D146" s="245"/>
      <c r="E146" s="245"/>
      <c r="G146" s="273" t="s">
        <v>618</v>
      </c>
      <c r="H146" s="273"/>
      <c r="I146" s="273" t="s">
        <v>223</v>
      </c>
      <c r="J146" s="273"/>
      <c r="K146" s="245" t="s">
        <v>713</v>
      </c>
      <c r="L146" s="244" t="e">
        <v>#REF!</v>
      </c>
    </row>
    <row r="147" spans="1:12" ht="12" customHeight="1" x14ac:dyDescent="0.2">
      <c r="A147" s="245"/>
      <c r="B147" s="245"/>
      <c r="C147" s="245"/>
      <c r="D147" s="245"/>
      <c r="E147" s="245"/>
      <c r="G147" s="273" t="s">
        <v>618</v>
      </c>
      <c r="H147" s="273"/>
      <c r="I147" s="273" t="s">
        <v>224</v>
      </c>
      <c r="J147" s="273"/>
      <c r="K147" s="245" t="s">
        <v>714</v>
      </c>
      <c r="L147" s="244" t="e">
        <v>#REF!</v>
      </c>
    </row>
    <row r="148" spans="1:12" ht="12.75" customHeight="1" x14ac:dyDescent="0.2">
      <c r="A148" s="245"/>
      <c r="B148" s="245"/>
      <c r="C148" s="245"/>
      <c r="D148" s="245"/>
      <c r="E148" s="245"/>
      <c r="G148" s="273" t="s">
        <v>618</v>
      </c>
      <c r="H148" s="273"/>
      <c r="I148" s="273" t="s">
        <v>226</v>
      </c>
      <c r="J148" s="273"/>
      <c r="K148" s="245" t="s">
        <v>715</v>
      </c>
      <c r="L148" s="244">
        <v>33567700</v>
      </c>
    </row>
    <row r="149" spans="1:12" ht="12" customHeight="1" x14ac:dyDescent="0.2">
      <c r="A149" s="245"/>
      <c r="B149" s="245"/>
      <c r="C149" s="245"/>
      <c r="D149" s="245"/>
      <c r="E149" s="245"/>
      <c r="G149" s="273" t="s">
        <v>618</v>
      </c>
      <c r="H149" s="273"/>
      <c r="I149" s="273" t="s">
        <v>228</v>
      </c>
      <c r="J149" s="273"/>
      <c r="K149" s="245" t="s">
        <v>716</v>
      </c>
      <c r="L149" s="244">
        <v>0</v>
      </c>
    </row>
    <row r="150" spans="1:12" ht="12" hidden="1" customHeight="1" x14ac:dyDescent="0.2">
      <c r="A150" s="245"/>
      <c r="B150" s="245"/>
      <c r="C150" s="245"/>
      <c r="D150" s="245"/>
      <c r="E150" s="245"/>
      <c r="G150" s="273" t="s">
        <v>618</v>
      </c>
      <c r="H150" s="273"/>
      <c r="I150" s="273" t="s">
        <v>230</v>
      </c>
      <c r="J150" s="273"/>
      <c r="K150" s="245" t="s">
        <v>717</v>
      </c>
      <c r="L150" s="244">
        <v>0</v>
      </c>
    </row>
    <row r="151" spans="1:12" ht="12" hidden="1" customHeight="1" x14ac:dyDescent="0.2">
      <c r="A151" s="245"/>
      <c r="B151" s="245"/>
      <c r="C151" s="245"/>
      <c r="D151" s="245"/>
      <c r="E151" s="245"/>
      <c r="G151" s="277" t="s">
        <v>618</v>
      </c>
      <c r="H151" s="277"/>
      <c r="I151" s="273" t="s">
        <v>366</v>
      </c>
      <c r="J151" s="273"/>
      <c r="K151" s="245" t="s">
        <v>410</v>
      </c>
      <c r="L151" s="244">
        <v>0</v>
      </c>
    </row>
    <row r="152" spans="1:12" ht="12" hidden="1" customHeight="1" x14ac:dyDescent="0.2">
      <c r="A152" s="245"/>
      <c r="B152" s="245"/>
      <c r="C152" s="245"/>
      <c r="D152" s="245"/>
      <c r="E152" s="245"/>
      <c r="G152" s="277" t="s">
        <v>618</v>
      </c>
      <c r="H152" s="277"/>
      <c r="I152" s="273" t="s">
        <v>232</v>
      </c>
      <c r="J152" s="273"/>
      <c r="K152" s="245" t="s">
        <v>718</v>
      </c>
      <c r="L152" s="244">
        <v>0</v>
      </c>
    </row>
    <row r="153" spans="1:12" ht="12" hidden="1" customHeight="1" x14ac:dyDescent="0.2">
      <c r="A153" s="245"/>
      <c r="B153" s="245"/>
      <c r="C153" s="245"/>
      <c r="D153" s="245"/>
      <c r="E153" s="245"/>
      <c r="G153" s="277"/>
      <c r="H153" s="277"/>
      <c r="I153" s="273"/>
      <c r="J153" s="273"/>
      <c r="K153" s="245"/>
    </row>
    <row r="154" spans="1:12" ht="12" hidden="1" customHeight="1" x14ac:dyDescent="0.2">
      <c r="A154" s="245"/>
      <c r="B154" s="245"/>
      <c r="C154" s="245"/>
      <c r="D154" s="245"/>
      <c r="E154" s="245"/>
      <c r="G154" s="277"/>
      <c r="H154" s="277"/>
      <c r="I154" s="273"/>
      <c r="J154" s="273"/>
      <c r="K154" s="245"/>
    </row>
    <row r="155" spans="1:12" ht="12" hidden="1" customHeight="1" x14ac:dyDescent="0.2"/>
    <row r="156" spans="1:12" ht="12" hidden="1" customHeight="1" thickBot="1" x14ac:dyDescent="0.25">
      <c r="A156" s="279"/>
      <c r="B156" s="279"/>
      <c r="C156" s="279"/>
      <c r="D156" s="279"/>
      <c r="E156" s="279"/>
      <c r="F156" s="280"/>
      <c r="G156" s="281"/>
      <c r="H156" s="281"/>
      <c r="I156" s="282"/>
      <c r="J156" s="282"/>
      <c r="K156" s="279"/>
    </row>
    <row r="157" spans="1:12" ht="12" hidden="1" customHeight="1" x14ac:dyDescent="0.2">
      <c r="A157" s="245"/>
      <c r="B157" s="245"/>
      <c r="C157" s="245"/>
      <c r="D157" s="245"/>
      <c r="E157" s="245"/>
      <c r="G157" s="277"/>
      <c r="H157" s="277"/>
      <c r="I157" s="274">
        <v>3</v>
      </c>
      <c r="J157" s="274"/>
      <c r="K157" s="271" t="s">
        <v>719</v>
      </c>
    </row>
    <row r="158" spans="1:12" ht="12" hidden="1" customHeight="1" x14ac:dyDescent="0.2">
      <c r="A158" s="245"/>
      <c r="B158" s="245"/>
      <c r="C158" s="245"/>
      <c r="D158" s="245"/>
      <c r="E158" s="245"/>
      <c r="G158" s="277" t="s">
        <v>618</v>
      </c>
      <c r="H158" s="277"/>
      <c r="I158" s="274" t="s">
        <v>720</v>
      </c>
      <c r="J158" s="274"/>
      <c r="K158" s="271" t="s">
        <v>721</v>
      </c>
    </row>
    <row r="159" spans="1:12" ht="12" hidden="1" customHeight="1" x14ac:dyDescent="0.2">
      <c r="A159" s="245"/>
      <c r="B159" s="245"/>
      <c r="C159" s="245"/>
      <c r="D159" s="245"/>
      <c r="E159" s="245"/>
      <c r="G159" s="277" t="s">
        <v>618</v>
      </c>
      <c r="H159" s="277"/>
      <c r="I159" s="273" t="s">
        <v>722</v>
      </c>
      <c r="J159" s="273"/>
      <c r="K159" s="247" t="s">
        <v>723</v>
      </c>
      <c r="L159" s="244">
        <v>0</v>
      </c>
    </row>
    <row r="160" spans="1:12" ht="12" hidden="1" customHeight="1" x14ac:dyDescent="0.2">
      <c r="A160" s="245"/>
      <c r="B160" s="245"/>
      <c r="C160" s="245"/>
      <c r="D160" s="245"/>
      <c r="E160" s="245"/>
      <c r="G160" s="277" t="s">
        <v>618</v>
      </c>
      <c r="H160" s="277"/>
      <c r="I160" s="273" t="s">
        <v>724</v>
      </c>
      <c r="J160" s="273"/>
      <c r="K160" s="245" t="s">
        <v>725</v>
      </c>
      <c r="L160" s="244">
        <v>0</v>
      </c>
    </row>
    <row r="161" spans="1:13" ht="12" hidden="1" customHeight="1" x14ac:dyDescent="0.2">
      <c r="A161" s="245"/>
      <c r="B161" s="245"/>
      <c r="C161" s="245"/>
      <c r="D161" s="245"/>
      <c r="E161" s="245"/>
      <c r="G161" s="277" t="s">
        <v>618</v>
      </c>
      <c r="H161" s="277"/>
      <c r="I161" s="273" t="s">
        <v>726</v>
      </c>
      <c r="J161" s="273"/>
      <c r="K161" s="247" t="s">
        <v>727</v>
      </c>
      <c r="L161" s="244">
        <v>0</v>
      </c>
    </row>
    <row r="162" spans="1:13" ht="12" hidden="1" customHeight="1" x14ac:dyDescent="0.2">
      <c r="A162" s="245"/>
      <c r="B162" s="245"/>
      <c r="C162" s="245"/>
      <c r="D162" s="245"/>
      <c r="E162" s="245"/>
      <c r="G162" s="277" t="s">
        <v>618</v>
      </c>
      <c r="H162" s="277"/>
      <c r="I162" s="273" t="s">
        <v>728</v>
      </c>
      <c r="J162" s="273"/>
      <c r="K162" s="245" t="s">
        <v>729</v>
      </c>
      <c r="L162" s="244">
        <v>0</v>
      </c>
    </row>
    <row r="163" spans="1:13" ht="12" hidden="1" customHeight="1" x14ac:dyDescent="0.2">
      <c r="A163" s="245"/>
      <c r="B163" s="245"/>
      <c r="C163" s="245"/>
      <c r="D163" s="245"/>
      <c r="E163" s="245"/>
      <c r="G163" s="277"/>
      <c r="H163" s="277"/>
      <c r="I163" s="273"/>
      <c r="J163" s="273"/>
      <c r="K163" s="245"/>
      <c r="L163" s="244">
        <v>0</v>
      </c>
    </row>
    <row r="164" spans="1:13" ht="12" hidden="1" customHeight="1" x14ac:dyDescent="0.2">
      <c r="A164" s="245"/>
      <c r="B164" s="245"/>
      <c r="C164" s="245"/>
      <c r="D164" s="245"/>
      <c r="E164" s="245"/>
      <c r="G164" s="274" t="s">
        <v>382</v>
      </c>
      <c r="H164" s="274"/>
      <c r="I164" s="283">
        <v>9</v>
      </c>
      <c r="J164" s="283"/>
      <c r="K164" s="284" t="s">
        <v>58</v>
      </c>
    </row>
    <row r="165" spans="1:13" ht="12" hidden="1" customHeight="1" x14ac:dyDescent="0.2">
      <c r="A165" s="245"/>
      <c r="B165" s="245"/>
      <c r="C165" s="245"/>
      <c r="D165" s="245"/>
      <c r="E165" s="245"/>
      <c r="G165" s="273" t="s">
        <v>618</v>
      </c>
      <c r="H165" s="273"/>
      <c r="I165" s="276" t="s">
        <v>730</v>
      </c>
      <c r="J165" s="276"/>
      <c r="K165" s="284" t="s">
        <v>731</v>
      </c>
    </row>
    <row r="166" spans="1:13" ht="12" hidden="1" customHeight="1" x14ac:dyDescent="0.2">
      <c r="A166" s="245"/>
      <c r="B166" s="245"/>
      <c r="C166" s="245"/>
      <c r="D166" s="245"/>
      <c r="E166" s="245"/>
      <c r="G166" s="273" t="s">
        <v>618</v>
      </c>
      <c r="H166" s="273"/>
      <c r="I166" s="277" t="s">
        <v>732</v>
      </c>
      <c r="J166" s="277"/>
      <c r="K166" s="247" t="s">
        <v>733</v>
      </c>
      <c r="L166" s="244">
        <v>0</v>
      </c>
    </row>
    <row r="167" spans="1:13" ht="12" hidden="1" customHeight="1" x14ac:dyDescent="0.2">
      <c r="A167" s="245"/>
      <c r="B167" s="245"/>
      <c r="C167" s="245"/>
      <c r="D167" s="245"/>
      <c r="E167" s="245"/>
      <c r="G167" s="247"/>
      <c r="H167" s="247"/>
      <c r="I167" s="247"/>
      <c r="J167" s="247"/>
      <c r="K167" s="245"/>
    </row>
    <row r="168" spans="1:13" s="269" customFormat="1" ht="12" hidden="1" customHeight="1" x14ac:dyDescent="0.2">
      <c r="A168" s="262"/>
      <c r="B168" s="262" t="s">
        <v>734</v>
      </c>
      <c r="C168" s="261" t="s">
        <v>735</v>
      </c>
      <c r="D168" s="262"/>
      <c r="E168" s="262"/>
      <c r="F168" s="263"/>
      <c r="G168" s="261" t="s">
        <v>382</v>
      </c>
      <c r="H168" s="261"/>
      <c r="I168" s="261">
        <v>3</v>
      </c>
      <c r="J168" s="261"/>
      <c r="K168" s="264" t="s">
        <v>736</v>
      </c>
      <c r="L168" s="263"/>
      <c r="M168" s="331"/>
    </row>
    <row r="169" spans="1:13" ht="12" hidden="1" customHeight="1" x14ac:dyDescent="0.2">
      <c r="A169" s="245"/>
      <c r="B169" s="274"/>
      <c r="C169" s="269"/>
      <c r="E169" s="245"/>
      <c r="G169" s="277"/>
      <c r="H169" s="277"/>
      <c r="I169" s="283"/>
      <c r="J169" s="283"/>
      <c r="K169" s="271"/>
    </row>
    <row r="170" spans="1:13" s="269" customFormat="1" ht="12" hidden="1" customHeight="1" x14ac:dyDescent="0.2">
      <c r="A170" s="268"/>
      <c r="B170" s="268"/>
      <c r="C170" s="268" t="s">
        <v>737</v>
      </c>
      <c r="D170" s="285" t="s">
        <v>738</v>
      </c>
      <c r="E170" s="268"/>
      <c r="F170" s="286"/>
      <c r="G170" s="268"/>
      <c r="H170" s="268"/>
      <c r="I170" s="268"/>
      <c r="J170" s="268"/>
      <c r="K170" s="268"/>
      <c r="L170" s="286"/>
      <c r="M170" s="331"/>
    </row>
    <row r="171" spans="1:13" ht="12" hidden="1" customHeight="1" x14ac:dyDescent="0.2">
      <c r="A171" s="245"/>
      <c r="B171" s="245"/>
      <c r="E171" s="245"/>
      <c r="G171" s="276" t="s">
        <v>737</v>
      </c>
      <c r="H171" s="276"/>
      <c r="I171" s="276" t="s">
        <v>739</v>
      </c>
      <c r="J171" s="276"/>
      <c r="K171" s="271" t="s">
        <v>740</v>
      </c>
    </row>
    <row r="172" spans="1:13" ht="12" hidden="1" customHeight="1" x14ac:dyDescent="0.2">
      <c r="A172" s="245"/>
      <c r="B172" s="245"/>
      <c r="C172" s="245"/>
      <c r="D172" s="245"/>
      <c r="E172" s="245"/>
      <c r="G172" s="277" t="s">
        <v>737</v>
      </c>
      <c r="H172" s="277"/>
      <c r="I172" s="273" t="s">
        <v>741</v>
      </c>
      <c r="J172" s="273"/>
      <c r="K172" s="245" t="s">
        <v>742</v>
      </c>
      <c r="L172" s="244">
        <v>0</v>
      </c>
    </row>
    <row r="173" spans="1:13" ht="12" hidden="1" customHeight="1" x14ac:dyDescent="0.2">
      <c r="A173" s="245"/>
      <c r="B173" s="245"/>
      <c r="C173" s="245"/>
      <c r="D173" s="245"/>
      <c r="E173" s="245"/>
      <c r="G173" s="277" t="s">
        <v>737</v>
      </c>
      <c r="H173" s="277"/>
      <c r="I173" s="273" t="s">
        <v>743</v>
      </c>
      <c r="J173" s="273"/>
      <c r="K173" s="245" t="s">
        <v>744</v>
      </c>
      <c r="L173" s="244">
        <v>0</v>
      </c>
    </row>
    <row r="174" spans="1:13" ht="12" hidden="1" customHeight="1" x14ac:dyDescent="0.2">
      <c r="A174" s="245"/>
      <c r="B174" s="245"/>
      <c r="C174" s="245"/>
      <c r="D174" s="245"/>
      <c r="E174" s="245"/>
      <c r="G174" s="276" t="s">
        <v>737</v>
      </c>
      <c r="H174" s="276"/>
      <c r="I174" s="274" t="s">
        <v>745</v>
      </c>
      <c r="J174" s="274"/>
      <c r="K174" s="271" t="s">
        <v>746</v>
      </c>
      <c r="L174" s="244">
        <v>0</v>
      </c>
    </row>
    <row r="175" spans="1:13" ht="12" hidden="1" customHeight="1" x14ac:dyDescent="0.2">
      <c r="A175" s="245"/>
      <c r="B175" s="245"/>
      <c r="C175" s="245"/>
      <c r="D175" s="245"/>
      <c r="E175" s="245"/>
      <c r="G175" s="277" t="s">
        <v>737</v>
      </c>
      <c r="H175" s="277"/>
      <c r="I175" s="273" t="s">
        <v>747</v>
      </c>
      <c r="J175" s="273"/>
      <c r="K175" s="247" t="s">
        <v>748</v>
      </c>
      <c r="L175" s="244">
        <v>0</v>
      </c>
    </row>
    <row r="176" spans="1:13" ht="12" hidden="1" customHeight="1" x14ac:dyDescent="0.2">
      <c r="A176" s="245"/>
      <c r="B176" s="245"/>
      <c r="C176" s="245"/>
      <c r="D176" s="245"/>
      <c r="E176" s="245"/>
      <c r="G176" s="277" t="s">
        <v>737</v>
      </c>
      <c r="H176" s="277"/>
      <c r="I176" s="273" t="s">
        <v>749</v>
      </c>
      <c r="J176" s="273"/>
      <c r="K176" s="247" t="s">
        <v>750</v>
      </c>
      <c r="L176" s="244">
        <v>0</v>
      </c>
    </row>
    <row r="177" spans="1:13" ht="12" hidden="1" customHeight="1" x14ac:dyDescent="0.2">
      <c r="A177" s="245"/>
      <c r="B177" s="245"/>
      <c r="C177" s="245"/>
      <c r="D177" s="245"/>
      <c r="E177" s="245"/>
      <c r="G177" s="277" t="s">
        <v>737</v>
      </c>
      <c r="H177" s="277"/>
      <c r="I177" s="273" t="s">
        <v>751</v>
      </c>
      <c r="J177" s="273"/>
      <c r="K177" s="247" t="s">
        <v>752</v>
      </c>
      <c r="L177" s="244">
        <v>0</v>
      </c>
    </row>
    <row r="178" spans="1:13" ht="12" hidden="1" customHeight="1" x14ac:dyDescent="0.2">
      <c r="A178" s="245"/>
      <c r="B178" s="245"/>
      <c r="C178" s="245"/>
      <c r="D178" s="245"/>
      <c r="E178" s="245"/>
      <c r="G178" s="277" t="s">
        <v>737</v>
      </c>
      <c r="H178" s="277"/>
      <c r="I178" s="273" t="s">
        <v>753</v>
      </c>
      <c r="J178" s="273"/>
      <c r="K178" s="247" t="s">
        <v>754</v>
      </c>
      <c r="L178" s="244">
        <v>0</v>
      </c>
    </row>
    <row r="179" spans="1:13" ht="12" hidden="1" customHeight="1" x14ac:dyDescent="0.2">
      <c r="A179" s="245"/>
      <c r="B179" s="245"/>
      <c r="C179" s="245"/>
      <c r="D179" s="245"/>
      <c r="E179" s="245"/>
      <c r="G179" s="277" t="s">
        <v>737</v>
      </c>
      <c r="H179" s="277"/>
      <c r="I179" s="273" t="s">
        <v>755</v>
      </c>
      <c r="J179" s="273"/>
      <c r="K179" s="247" t="s">
        <v>756</v>
      </c>
      <c r="L179" s="244">
        <v>0</v>
      </c>
    </row>
    <row r="180" spans="1:13" ht="12" hidden="1" customHeight="1" x14ac:dyDescent="0.2">
      <c r="A180" s="245"/>
      <c r="B180" s="245"/>
      <c r="C180" s="245"/>
      <c r="D180" s="245"/>
      <c r="E180" s="245"/>
      <c r="G180" s="277" t="s">
        <v>737</v>
      </c>
      <c r="H180" s="277"/>
      <c r="I180" s="273" t="s">
        <v>757</v>
      </c>
      <c r="J180" s="273"/>
      <c r="K180" s="247" t="s">
        <v>758</v>
      </c>
      <c r="L180" s="244">
        <v>0</v>
      </c>
    </row>
    <row r="181" spans="1:13" ht="12" hidden="1" customHeight="1" x14ac:dyDescent="0.2">
      <c r="A181" s="245"/>
      <c r="B181" s="245"/>
      <c r="C181" s="245"/>
      <c r="D181" s="245"/>
      <c r="E181" s="245"/>
      <c r="G181" s="277" t="s">
        <v>737</v>
      </c>
      <c r="H181" s="277"/>
      <c r="I181" s="273" t="s">
        <v>759</v>
      </c>
      <c r="J181" s="273"/>
      <c r="K181" s="247" t="s">
        <v>760</v>
      </c>
      <c r="L181" s="244">
        <v>0</v>
      </c>
    </row>
    <row r="182" spans="1:13" ht="12" hidden="1" customHeight="1" x14ac:dyDescent="0.2">
      <c r="A182" s="245"/>
      <c r="B182" s="245"/>
      <c r="C182" s="245"/>
      <c r="D182" s="245"/>
      <c r="E182" s="245"/>
      <c r="G182" s="277" t="s">
        <v>737</v>
      </c>
      <c r="H182" s="277"/>
      <c r="I182" s="274" t="s">
        <v>761</v>
      </c>
      <c r="J182" s="274"/>
      <c r="K182" s="284" t="s">
        <v>762</v>
      </c>
      <c r="L182" s="244">
        <v>0</v>
      </c>
    </row>
    <row r="183" spans="1:13" ht="14.25" hidden="1" customHeight="1" x14ac:dyDescent="0.2">
      <c r="A183" s="245"/>
      <c r="B183" s="245"/>
      <c r="C183" s="245"/>
      <c r="D183" s="245"/>
      <c r="E183" s="245"/>
      <c r="G183" s="277" t="s">
        <v>737</v>
      </c>
      <c r="H183" s="277"/>
      <c r="I183" s="273" t="s">
        <v>763</v>
      </c>
      <c r="J183" s="273"/>
      <c r="K183" s="247" t="s">
        <v>764</v>
      </c>
      <c r="L183" s="244">
        <v>0</v>
      </c>
    </row>
    <row r="184" spans="1:13" ht="12" hidden="1" customHeight="1" x14ac:dyDescent="0.2">
      <c r="A184" s="245"/>
      <c r="B184" s="245"/>
      <c r="C184" s="245"/>
      <c r="D184" s="245"/>
      <c r="E184" s="245"/>
      <c r="G184" s="277" t="s">
        <v>737</v>
      </c>
      <c r="H184" s="277"/>
      <c r="I184" s="273" t="s">
        <v>765</v>
      </c>
      <c r="J184" s="273"/>
      <c r="K184" s="247" t="s">
        <v>766</v>
      </c>
      <c r="L184" s="244">
        <v>0</v>
      </c>
    </row>
    <row r="185" spans="1:13" ht="12" hidden="1" customHeight="1" x14ac:dyDescent="0.2">
      <c r="A185" s="245"/>
      <c r="B185" s="245"/>
      <c r="C185" s="245"/>
      <c r="D185" s="245"/>
      <c r="E185" s="245"/>
      <c r="G185" s="277" t="s">
        <v>737</v>
      </c>
      <c r="H185" s="277"/>
      <c r="I185" s="274" t="s">
        <v>720</v>
      </c>
      <c r="J185" s="274"/>
      <c r="K185" s="284" t="s">
        <v>721</v>
      </c>
      <c r="L185" s="244">
        <v>0</v>
      </c>
    </row>
    <row r="186" spans="1:13" ht="12" hidden="1" customHeight="1" x14ac:dyDescent="0.2">
      <c r="A186" s="245"/>
      <c r="B186" s="245"/>
      <c r="C186" s="245"/>
      <c r="D186" s="245"/>
      <c r="E186" s="245"/>
      <c r="G186" s="277" t="s">
        <v>737</v>
      </c>
      <c r="H186" s="277"/>
      <c r="I186" s="273" t="s">
        <v>767</v>
      </c>
      <c r="J186" s="273"/>
      <c r="K186" s="247" t="s">
        <v>768</v>
      </c>
      <c r="L186" s="244">
        <v>0</v>
      </c>
    </row>
    <row r="187" spans="1:13" ht="12" hidden="1" customHeight="1" x14ac:dyDescent="0.2">
      <c r="A187" s="245"/>
      <c r="B187" s="245"/>
      <c r="C187" s="245"/>
      <c r="D187" s="245"/>
      <c r="E187" s="245"/>
      <c r="G187" s="277"/>
      <c r="H187" s="277"/>
      <c r="I187" s="273"/>
      <c r="J187" s="273"/>
      <c r="K187" s="247"/>
      <c r="L187" s="244">
        <v>0</v>
      </c>
    </row>
    <row r="188" spans="1:13" s="269" customFormat="1" ht="12" hidden="1" customHeight="1" x14ac:dyDescent="0.2">
      <c r="A188" s="268"/>
      <c r="B188" s="268"/>
      <c r="C188" s="268" t="s">
        <v>769</v>
      </c>
      <c r="D188" s="285" t="s">
        <v>770</v>
      </c>
      <c r="E188" s="268"/>
      <c r="F188" s="286"/>
      <c r="G188" s="268" t="s">
        <v>382</v>
      </c>
      <c r="H188" s="268"/>
      <c r="I188" s="268"/>
      <c r="J188" s="268"/>
      <c r="K188" s="268"/>
      <c r="L188" s="286"/>
      <c r="M188" s="331"/>
    </row>
    <row r="189" spans="1:13" ht="12" hidden="1" customHeight="1" x14ac:dyDescent="0.2">
      <c r="A189" s="245"/>
      <c r="B189" s="245"/>
      <c r="C189" s="245"/>
      <c r="D189" s="245"/>
      <c r="E189" s="245"/>
      <c r="G189" s="276" t="s">
        <v>771</v>
      </c>
      <c r="H189" s="276"/>
      <c r="I189" s="276" t="s">
        <v>739</v>
      </c>
      <c r="J189" s="276"/>
      <c r="K189" s="271" t="s">
        <v>740</v>
      </c>
    </row>
    <row r="190" spans="1:13" ht="12" hidden="1" customHeight="1" x14ac:dyDescent="0.2">
      <c r="A190" s="245"/>
      <c r="B190" s="245"/>
      <c r="C190" s="245"/>
      <c r="D190" s="245"/>
      <c r="E190" s="245"/>
      <c r="G190" s="277" t="s">
        <v>771</v>
      </c>
      <c r="H190" s="277"/>
      <c r="I190" s="273" t="s">
        <v>772</v>
      </c>
      <c r="J190" s="273"/>
      <c r="K190" s="245" t="s">
        <v>773</v>
      </c>
      <c r="L190" s="244">
        <v>0</v>
      </c>
    </row>
    <row r="191" spans="1:13" ht="12" hidden="1" customHeight="1" x14ac:dyDescent="0.2">
      <c r="A191" s="245"/>
      <c r="B191" s="245"/>
      <c r="C191" s="245"/>
      <c r="D191" s="245" t="s">
        <v>382</v>
      </c>
      <c r="E191" s="245"/>
      <c r="G191" s="277" t="s">
        <v>771</v>
      </c>
      <c r="H191" s="277"/>
      <c r="I191" s="273" t="s">
        <v>774</v>
      </c>
      <c r="J191" s="273"/>
      <c r="K191" s="245" t="s">
        <v>775</v>
      </c>
      <c r="L191" s="244">
        <v>0</v>
      </c>
    </row>
    <row r="192" spans="1:13" ht="12" hidden="1" customHeight="1" x14ac:dyDescent="0.2">
      <c r="A192" s="245"/>
      <c r="B192" s="245"/>
      <c r="C192" s="245"/>
      <c r="D192" s="245"/>
      <c r="E192" s="245"/>
      <c r="G192" s="276" t="s">
        <v>771</v>
      </c>
      <c r="H192" s="276"/>
      <c r="I192" s="274" t="s">
        <v>745</v>
      </c>
      <c r="J192" s="274"/>
      <c r="K192" s="271" t="s">
        <v>746</v>
      </c>
    </row>
    <row r="193" spans="1:13" ht="12" hidden="1" customHeight="1" x14ac:dyDescent="0.2">
      <c r="A193" s="245"/>
      <c r="B193" s="245"/>
      <c r="C193" s="245"/>
      <c r="D193" s="245"/>
      <c r="E193" s="245"/>
      <c r="G193" s="277" t="s">
        <v>771</v>
      </c>
      <c r="H193" s="277"/>
      <c r="I193" s="273" t="s">
        <v>776</v>
      </c>
      <c r="J193" s="273"/>
      <c r="K193" s="247" t="s">
        <v>777</v>
      </c>
      <c r="L193" s="244">
        <v>0</v>
      </c>
    </row>
    <row r="194" spans="1:13" ht="12" hidden="1" customHeight="1" x14ac:dyDescent="0.2">
      <c r="A194" s="245"/>
      <c r="B194" s="245"/>
      <c r="C194" s="245"/>
      <c r="D194" s="245"/>
      <c r="E194" s="245" t="s">
        <v>382</v>
      </c>
      <c r="G194" s="276" t="s">
        <v>771</v>
      </c>
      <c r="H194" s="276"/>
      <c r="I194" s="274" t="s">
        <v>761</v>
      </c>
      <c r="J194" s="274"/>
      <c r="K194" s="284" t="s">
        <v>762</v>
      </c>
    </row>
    <row r="195" spans="1:13" ht="12" hidden="1" customHeight="1" x14ac:dyDescent="0.2">
      <c r="A195" s="245"/>
      <c r="B195" s="245"/>
      <c r="C195" s="245"/>
      <c r="D195" s="245"/>
      <c r="E195" s="245"/>
      <c r="G195" s="277" t="s">
        <v>771</v>
      </c>
      <c r="H195" s="277"/>
      <c r="I195" s="273" t="s">
        <v>763</v>
      </c>
      <c r="J195" s="273"/>
      <c r="K195" s="247" t="s">
        <v>764</v>
      </c>
      <c r="L195" s="244">
        <v>0</v>
      </c>
    </row>
    <row r="196" spans="1:13" ht="12" hidden="1" customHeight="1" x14ac:dyDescent="0.2">
      <c r="A196" s="245"/>
      <c r="B196" s="245"/>
      <c r="C196" s="245"/>
      <c r="D196" s="245"/>
      <c r="E196" s="245"/>
      <c r="G196" s="277" t="s">
        <v>771</v>
      </c>
      <c r="H196" s="277"/>
      <c r="I196" s="273" t="s">
        <v>765</v>
      </c>
      <c r="J196" s="273"/>
      <c r="K196" s="247" t="s">
        <v>766</v>
      </c>
      <c r="L196" s="244">
        <v>0</v>
      </c>
    </row>
    <row r="197" spans="1:13" ht="12" customHeight="1" x14ac:dyDescent="0.2">
      <c r="G197" s="259"/>
      <c r="H197" s="259"/>
      <c r="I197" s="259"/>
      <c r="J197" s="259"/>
    </row>
    <row r="198" spans="1:13" s="269" customFormat="1" ht="12" customHeight="1" x14ac:dyDescent="0.2">
      <c r="A198" s="262"/>
      <c r="B198" s="261" t="s">
        <v>778</v>
      </c>
      <c r="C198" s="1587" t="s">
        <v>20</v>
      </c>
      <c r="D198" s="1587"/>
      <c r="E198" s="262"/>
      <c r="F198" s="263" t="e">
        <f>+F200+F216+F239</f>
        <v>#REF!</v>
      </c>
      <c r="G198" s="261" t="s">
        <v>778</v>
      </c>
      <c r="H198" s="261"/>
      <c r="I198" s="261">
        <v>6</v>
      </c>
      <c r="J198" s="261"/>
      <c r="K198" s="264" t="s">
        <v>20</v>
      </c>
      <c r="L198" s="263" t="e">
        <f>+L200+L216+L239+L235</f>
        <v>#REF!</v>
      </c>
      <c r="M198" s="331"/>
    </row>
    <row r="199" spans="1:13" ht="7.5" customHeight="1" x14ac:dyDescent="0.2">
      <c r="A199" s="245"/>
      <c r="B199" s="245"/>
      <c r="C199" s="245"/>
      <c r="D199" s="245"/>
      <c r="E199" s="245"/>
      <c r="G199" s="247"/>
      <c r="H199" s="247"/>
      <c r="I199" s="277"/>
      <c r="J199" s="277"/>
      <c r="K199" s="245"/>
    </row>
    <row r="200" spans="1:13" s="269" customFormat="1" ht="12" customHeight="1" x14ac:dyDescent="0.2">
      <c r="A200" s="265"/>
      <c r="B200" s="265"/>
      <c r="C200" s="266" t="s">
        <v>779</v>
      </c>
      <c r="D200" s="1574" t="s">
        <v>780</v>
      </c>
      <c r="E200" s="1574"/>
      <c r="F200" s="267" t="e">
        <f>+L200</f>
        <v>#REF!</v>
      </c>
      <c r="G200" s="266" t="s">
        <v>779</v>
      </c>
      <c r="H200" s="265"/>
      <c r="I200" s="266" t="s">
        <v>262</v>
      </c>
      <c r="J200" s="265"/>
      <c r="K200" s="265" t="s">
        <v>781</v>
      </c>
      <c r="L200" s="267" t="e">
        <f>+L201+L202+L210</f>
        <v>#REF!</v>
      </c>
      <c r="M200" s="331"/>
    </row>
    <row r="201" spans="1:13" ht="12" hidden="1" customHeight="1" x14ac:dyDescent="0.2">
      <c r="A201" s="245"/>
      <c r="B201" s="245"/>
      <c r="C201" s="273"/>
      <c r="D201" s="245"/>
      <c r="E201" s="245"/>
      <c r="G201" s="273" t="s">
        <v>779</v>
      </c>
      <c r="H201" s="273"/>
      <c r="I201" s="273" t="s">
        <v>353</v>
      </c>
      <c r="J201" s="273"/>
      <c r="K201" s="247" t="s">
        <v>413</v>
      </c>
      <c r="L201" s="244">
        <v>0</v>
      </c>
    </row>
    <row r="202" spans="1:13" ht="12" hidden="1" customHeight="1" x14ac:dyDescent="0.2">
      <c r="A202" s="245"/>
      <c r="B202" s="245"/>
      <c r="C202" s="273"/>
      <c r="D202" s="245"/>
      <c r="E202" s="245"/>
      <c r="G202" s="273" t="s">
        <v>779</v>
      </c>
      <c r="H202" s="273"/>
      <c r="I202" s="273" t="s">
        <v>263</v>
      </c>
      <c r="J202" s="273"/>
      <c r="K202" s="247" t="s">
        <v>782</v>
      </c>
      <c r="L202" s="244">
        <v>0</v>
      </c>
    </row>
    <row r="203" spans="1:13" ht="12" hidden="1" customHeight="1" x14ac:dyDescent="0.2">
      <c r="A203" s="245"/>
      <c r="B203" s="245"/>
      <c r="C203" s="273"/>
      <c r="D203" s="245"/>
      <c r="E203" s="245"/>
      <c r="G203" s="273" t="s">
        <v>779</v>
      </c>
      <c r="H203" s="273"/>
      <c r="I203" s="273" t="s">
        <v>783</v>
      </c>
      <c r="J203" s="273"/>
      <c r="K203" s="247" t="s">
        <v>784</v>
      </c>
      <c r="L203" s="244">
        <v>0</v>
      </c>
    </row>
    <row r="204" spans="1:13" ht="12" hidden="1" customHeight="1" x14ac:dyDescent="0.2">
      <c r="A204" s="245"/>
      <c r="B204" s="245"/>
      <c r="C204" s="273"/>
      <c r="D204" s="245"/>
      <c r="E204" s="245"/>
      <c r="G204" s="273" t="s">
        <v>779</v>
      </c>
      <c r="H204" s="273"/>
      <c r="I204" s="273" t="s">
        <v>785</v>
      </c>
      <c r="J204" s="273"/>
      <c r="K204" s="247" t="s">
        <v>786</v>
      </c>
      <c r="L204" s="244">
        <v>0</v>
      </c>
    </row>
    <row r="205" spans="1:13" ht="12" hidden="1" customHeight="1" x14ac:dyDescent="0.2">
      <c r="A205" s="245"/>
      <c r="B205" s="245"/>
      <c r="C205" s="273"/>
      <c r="D205" s="245"/>
      <c r="E205" s="245"/>
      <c r="G205" s="273" t="s">
        <v>779</v>
      </c>
      <c r="H205" s="273"/>
      <c r="I205" s="273" t="s">
        <v>787</v>
      </c>
      <c r="J205" s="273"/>
      <c r="K205" s="247" t="s">
        <v>788</v>
      </c>
      <c r="L205" s="244">
        <v>0</v>
      </c>
    </row>
    <row r="206" spans="1:13" ht="12" hidden="1" customHeight="1" x14ac:dyDescent="0.2">
      <c r="A206" s="245"/>
      <c r="B206" s="245"/>
      <c r="C206" s="273"/>
      <c r="D206" s="245"/>
      <c r="E206" s="245"/>
      <c r="G206" s="273" t="s">
        <v>779</v>
      </c>
      <c r="H206" s="273"/>
      <c r="I206" s="273" t="s">
        <v>789</v>
      </c>
      <c r="J206" s="273"/>
      <c r="K206" s="247" t="s">
        <v>790</v>
      </c>
      <c r="L206" s="244">
        <v>0</v>
      </c>
    </row>
    <row r="207" spans="1:13" ht="12" hidden="1" customHeight="1" x14ac:dyDescent="0.2">
      <c r="A207" s="245"/>
      <c r="B207" s="245"/>
      <c r="C207" s="273"/>
      <c r="D207" s="245"/>
      <c r="E207" s="245"/>
      <c r="G207" s="273" t="s">
        <v>779</v>
      </c>
      <c r="H207" s="273"/>
      <c r="I207" s="273" t="s">
        <v>791</v>
      </c>
      <c r="J207" s="273"/>
      <c r="K207" s="247" t="s">
        <v>792</v>
      </c>
      <c r="L207" s="244">
        <v>0</v>
      </c>
    </row>
    <row r="208" spans="1:13" ht="12" hidden="1" customHeight="1" x14ac:dyDescent="0.2">
      <c r="A208" s="245"/>
      <c r="B208" s="245"/>
      <c r="C208" s="273"/>
      <c r="D208" s="245"/>
      <c r="E208" s="245"/>
      <c r="G208" s="273" t="s">
        <v>779</v>
      </c>
      <c r="H208" s="273"/>
      <c r="I208" s="273" t="s">
        <v>793</v>
      </c>
      <c r="J208" s="273"/>
      <c r="K208" s="247" t="s">
        <v>794</v>
      </c>
      <c r="L208" s="244">
        <v>0</v>
      </c>
    </row>
    <row r="209" spans="1:13" ht="12" hidden="1" customHeight="1" x14ac:dyDescent="0.2">
      <c r="A209" s="245"/>
      <c r="B209" s="245"/>
      <c r="C209" s="273"/>
      <c r="D209" s="245"/>
      <c r="E209" s="245"/>
      <c r="G209" s="273" t="s">
        <v>779</v>
      </c>
      <c r="H209" s="273"/>
      <c r="I209" s="273" t="s">
        <v>795</v>
      </c>
      <c r="J209" s="273"/>
      <c r="K209" s="247" t="s">
        <v>796</v>
      </c>
      <c r="L209" s="244">
        <v>0</v>
      </c>
    </row>
    <row r="210" spans="1:13" ht="12" customHeight="1" x14ac:dyDescent="0.2">
      <c r="A210" s="245"/>
      <c r="B210" s="245"/>
      <c r="C210" s="273"/>
      <c r="D210" s="245"/>
      <c r="E210" s="245"/>
      <c r="G210" s="274" t="s">
        <v>779</v>
      </c>
      <c r="H210" s="274"/>
      <c r="I210" s="274" t="s">
        <v>404</v>
      </c>
      <c r="J210" s="274"/>
      <c r="K210" s="271" t="s">
        <v>405</v>
      </c>
      <c r="L210" s="272" t="e">
        <f>+L214</f>
        <v>#REF!</v>
      </c>
      <c r="M210" s="332"/>
    </row>
    <row r="211" spans="1:13" ht="12" hidden="1" customHeight="1" x14ac:dyDescent="0.2">
      <c r="A211" s="245"/>
      <c r="B211" s="245"/>
      <c r="C211" s="273"/>
      <c r="D211" s="245"/>
      <c r="E211" s="245"/>
      <c r="G211" s="273" t="s">
        <v>779</v>
      </c>
      <c r="H211" s="273"/>
      <c r="I211" s="273" t="s">
        <v>797</v>
      </c>
      <c r="J211" s="273"/>
      <c r="K211" s="245" t="s">
        <v>798</v>
      </c>
      <c r="L211" s="244">
        <v>0</v>
      </c>
    </row>
    <row r="212" spans="1:13" ht="12" hidden="1" customHeight="1" x14ac:dyDescent="0.2">
      <c r="A212" s="245"/>
      <c r="B212" s="245"/>
      <c r="C212" s="273"/>
      <c r="D212" s="245"/>
      <c r="E212" s="245"/>
      <c r="G212" s="273" t="s">
        <v>779</v>
      </c>
      <c r="H212" s="273"/>
      <c r="I212" s="273" t="s">
        <v>799</v>
      </c>
      <c r="J212" s="273"/>
      <c r="K212" s="245" t="s">
        <v>800</v>
      </c>
      <c r="L212" s="244">
        <v>0</v>
      </c>
    </row>
    <row r="213" spans="1:13" ht="12" hidden="1" customHeight="1" x14ac:dyDescent="0.2">
      <c r="A213" s="245"/>
      <c r="B213" s="245"/>
      <c r="C213" s="273"/>
      <c r="D213" s="245"/>
      <c r="E213" s="245"/>
      <c r="G213" s="273" t="s">
        <v>779</v>
      </c>
      <c r="H213" s="273"/>
      <c r="I213" s="273" t="s">
        <v>801</v>
      </c>
      <c r="J213" s="273"/>
      <c r="K213" s="245" t="s">
        <v>802</v>
      </c>
      <c r="L213" s="244">
        <v>0</v>
      </c>
    </row>
    <row r="214" spans="1:13" ht="12" customHeight="1" x14ac:dyDescent="0.2">
      <c r="A214" s="245"/>
      <c r="B214" s="245"/>
      <c r="C214" s="273"/>
      <c r="D214" s="245"/>
      <c r="E214" s="245"/>
      <c r="G214" s="273" t="s">
        <v>779</v>
      </c>
      <c r="H214" s="273"/>
      <c r="I214" s="273" t="s">
        <v>406</v>
      </c>
      <c r="J214" s="273"/>
      <c r="K214" s="245" t="s">
        <v>407</v>
      </c>
      <c r="L214" s="244" t="e">
        <v>#REF!</v>
      </c>
    </row>
    <row r="215" spans="1:13" ht="12" customHeight="1" x14ac:dyDescent="0.2">
      <c r="A215" s="245"/>
      <c r="B215" s="245"/>
      <c r="C215" s="273"/>
      <c r="D215" s="245"/>
      <c r="E215" s="245"/>
      <c r="G215" s="273"/>
      <c r="H215" s="273"/>
      <c r="I215" s="273"/>
      <c r="J215" s="273"/>
      <c r="K215" s="245"/>
    </row>
    <row r="216" spans="1:13" s="269" customFormat="1" ht="12" customHeight="1" x14ac:dyDescent="0.2">
      <c r="A216" s="265"/>
      <c r="B216" s="265"/>
      <c r="C216" s="266" t="s">
        <v>803</v>
      </c>
      <c r="D216" s="1574" t="s">
        <v>804</v>
      </c>
      <c r="E216" s="1574"/>
      <c r="F216" s="267">
        <f>+L216+L235</f>
        <v>0</v>
      </c>
      <c r="G216" s="320" t="s">
        <v>803</v>
      </c>
      <c r="H216" s="265"/>
      <c r="I216" s="266" t="s">
        <v>805</v>
      </c>
      <c r="J216" s="265"/>
      <c r="K216" s="265" t="s">
        <v>806</v>
      </c>
      <c r="L216" s="267">
        <f>+L217+L218+L219+L220+L221</f>
        <v>0</v>
      </c>
      <c r="M216" s="331"/>
    </row>
    <row r="217" spans="1:13" ht="12" hidden="1" customHeight="1" x14ac:dyDescent="0.2">
      <c r="A217" s="245"/>
      <c r="B217" s="245"/>
      <c r="C217" s="273"/>
      <c r="D217" s="245" t="s">
        <v>382</v>
      </c>
      <c r="E217" s="245"/>
      <c r="G217" s="277" t="s">
        <v>803</v>
      </c>
      <c r="H217" s="277"/>
      <c r="I217" s="277" t="s">
        <v>807</v>
      </c>
      <c r="J217" s="277"/>
      <c r="K217" s="245" t="s">
        <v>808</v>
      </c>
      <c r="L217" s="244">
        <v>0</v>
      </c>
    </row>
    <row r="218" spans="1:13" ht="12" hidden="1" customHeight="1" x14ac:dyDescent="0.2">
      <c r="A218" s="245"/>
      <c r="B218" s="245"/>
      <c r="C218" s="273"/>
      <c r="D218" s="245"/>
      <c r="E218" s="245"/>
      <c r="G218" s="277" t="s">
        <v>803</v>
      </c>
      <c r="H218" s="277"/>
      <c r="I218" s="277" t="s">
        <v>809</v>
      </c>
      <c r="J218" s="277"/>
      <c r="K218" s="245" t="s">
        <v>810</v>
      </c>
      <c r="L218" s="244">
        <v>0</v>
      </c>
    </row>
    <row r="219" spans="1:13" ht="12" hidden="1" customHeight="1" x14ac:dyDescent="0.2">
      <c r="A219" s="245"/>
      <c r="B219" s="245"/>
      <c r="C219" s="273"/>
      <c r="D219" s="245"/>
      <c r="E219" s="245"/>
      <c r="G219" s="277" t="s">
        <v>803</v>
      </c>
      <c r="H219" s="277"/>
      <c r="I219" s="277" t="s">
        <v>811</v>
      </c>
      <c r="J219" s="277"/>
      <c r="K219" s="245" t="s">
        <v>812</v>
      </c>
      <c r="L219" s="244">
        <v>0</v>
      </c>
    </row>
    <row r="220" spans="1:13" ht="12" hidden="1" customHeight="1" x14ac:dyDescent="0.2">
      <c r="A220" s="245"/>
      <c r="B220" s="245"/>
      <c r="C220" s="273"/>
      <c r="D220" s="245"/>
      <c r="E220" s="245"/>
      <c r="G220" s="277" t="s">
        <v>803</v>
      </c>
      <c r="H220" s="277"/>
      <c r="I220" s="277" t="s">
        <v>813</v>
      </c>
      <c r="J220" s="277"/>
      <c r="K220" s="245" t="s">
        <v>814</v>
      </c>
      <c r="L220" s="244">
        <v>0</v>
      </c>
    </row>
    <row r="221" spans="1:13" ht="12" customHeight="1" x14ac:dyDescent="0.2">
      <c r="A221" s="245"/>
      <c r="B221" s="245"/>
      <c r="C221" s="273"/>
      <c r="D221" s="245"/>
      <c r="E221" s="245"/>
      <c r="G221" s="277" t="s">
        <v>803</v>
      </c>
      <c r="H221" s="277"/>
      <c r="I221" s="276" t="s">
        <v>264</v>
      </c>
      <c r="J221" s="276"/>
      <c r="K221" s="271" t="s">
        <v>815</v>
      </c>
      <c r="L221" s="272">
        <f>+L222+L223+L224+L225</f>
        <v>0</v>
      </c>
      <c r="M221" s="332"/>
    </row>
    <row r="222" spans="1:13" ht="12" customHeight="1" x14ac:dyDescent="0.2">
      <c r="A222" s="245"/>
      <c r="B222" s="245"/>
      <c r="C222" s="273"/>
      <c r="D222" s="245"/>
      <c r="E222" s="245"/>
      <c r="G222" s="277" t="s">
        <v>803</v>
      </c>
      <c r="H222" s="277"/>
      <c r="I222" s="277" t="s">
        <v>345</v>
      </c>
      <c r="J222" s="277"/>
      <c r="K222" s="245" t="s">
        <v>816</v>
      </c>
      <c r="L222" s="244">
        <v>0</v>
      </c>
    </row>
    <row r="223" spans="1:13" ht="12" hidden="1" customHeight="1" x14ac:dyDescent="0.2">
      <c r="A223" s="245"/>
      <c r="B223" s="245"/>
      <c r="C223" s="273"/>
      <c r="D223" s="245"/>
      <c r="E223" s="245"/>
      <c r="G223" s="277" t="s">
        <v>803</v>
      </c>
      <c r="H223" s="277"/>
      <c r="I223" s="277" t="s">
        <v>817</v>
      </c>
      <c r="J223" s="277"/>
      <c r="K223" s="245" t="s">
        <v>818</v>
      </c>
      <c r="L223" s="244">
        <v>0</v>
      </c>
    </row>
    <row r="224" spans="1:13" ht="12" hidden="1" customHeight="1" x14ac:dyDescent="0.2">
      <c r="A224" s="245"/>
      <c r="B224" s="245"/>
      <c r="C224" s="273"/>
      <c r="D224" s="245"/>
      <c r="E224" s="245"/>
      <c r="G224" s="277" t="s">
        <v>803</v>
      </c>
      <c r="H224" s="277"/>
      <c r="I224" s="277" t="s">
        <v>819</v>
      </c>
      <c r="J224" s="277"/>
      <c r="K224" s="245" t="s">
        <v>820</v>
      </c>
      <c r="L224" s="244">
        <v>0</v>
      </c>
    </row>
    <row r="225" spans="1:13" ht="12" hidden="1" customHeight="1" x14ac:dyDescent="0.2">
      <c r="A225" s="245"/>
      <c r="B225" s="245"/>
      <c r="C225" s="273"/>
      <c r="D225" s="245"/>
      <c r="E225" s="245"/>
      <c r="G225" s="277" t="s">
        <v>803</v>
      </c>
      <c r="H225" s="277"/>
      <c r="I225" s="277" t="s">
        <v>821</v>
      </c>
      <c r="J225" s="277"/>
      <c r="K225" s="245" t="s">
        <v>822</v>
      </c>
      <c r="L225" s="244">
        <v>0</v>
      </c>
    </row>
    <row r="226" spans="1:13" ht="12" hidden="1" customHeight="1" x14ac:dyDescent="0.2">
      <c r="A226" s="245"/>
      <c r="B226" s="245"/>
      <c r="C226" s="273"/>
      <c r="D226" s="245"/>
      <c r="E226" s="245"/>
      <c r="G226" s="277" t="s">
        <v>803</v>
      </c>
      <c r="H226" s="277"/>
      <c r="I226" s="277" t="s">
        <v>823</v>
      </c>
      <c r="J226" s="277"/>
      <c r="K226" s="245" t="s">
        <v>824</v>
      </c>
      <c r="L226" s="244">
        <v>0</v>
      </c>
    </row>
    <row r="227" spans="1:13" ht="12" hidden="1" customHeight="1" x14ac:dyDescent="0.2">
      <c r="A227" s="245"/>
      <c r="B227" s="245"/>
      <c r="C227" s="273"/>
      <c r="D227" s="245"/>
      <c r="E227" s="245"/>
      <c r="G227" s="277" t="s">
        <v>803</v>
      </c>
      <c r="H227" s="277"/>
      <c r="I227" s="276" t="s">
        <v>825</v>
      </c>
      <c r="J227" s="276"/>
      <c r="K227" s="271" t="s">
        <v>826</v>
      </c>
    </row>
    <row r="228" spans="1:13" ht="12" hidden="1" customHeight="1" x14ac:dyDescent="0.2">
      <c r="A228" s="245"/>
      <c r="B228" s="245"/>
      <c r="C228" s="273"/>
      <c r="D228" s="245" t="s">
        <v>382</v>
      </c>
      <c r="E228" s="245"/>
      <c r="G228" s="277" t="s">
        <v>803</v>
      </c>
      <c r="H228" s="277"/>
      <c r="I228" s="277" t="s">
        <v>827</v>
      </c>
      <c r="J228" s="277"/>
      <c r="K228" s="245" t="s">
        <v>828</v>
      </c>
      <c r="L228" s="244">
        <v>0</v>
      </c>
    </row>
    <row r="229" spans="1:13" ht="12" hidden="1" customHeight="1" x14ac:dyDescent="0.2">
      <c r="A229" s="245"/>
      <c r="B229" s="245"/>
      <c r="C229" s="273"/>
      <c r="D229" s="245"/>
      <c r="E229" s="245"/>
      <c r="G229" s="277" t="s">
        <v>803</v>
      </c>
      <c r="H229" s="277"/>
      <c r="I229" s="277" t="s">
        <v>829</v>
      </c>
      <c r="J229" s="277"/>
      <c r="K229" s="245" t="s">
        <v>830</v>
      </c>
      <c r="L229" s="244">
        <v>0</v>
      </c>
    </row>
    <row r="230" spans="1:13" ht="12" hidden="1" customHeight="1" thickBot="1" x14ac:dyDescent="0.25">
      <c r="A230" s="279"/>
      <c r="B230" s="279"/>
      <c r="C230" s="282"/>
      <c r="D230" s="279"/>
      <c r="E230" s="279"/>
      <c r="F230" s="280"/>
      <c r="G230" s="281" t="s">
        <v>803</v>
      </c>
      <c r="H230" s="281"/>
      <c r="I230" s="281" t="s">
        <v>831</v>
      </c>
      <c r="J230" s="281"/>
      <c r="K230" s="279" t="s">
        <v>832</v>
      </c>
      <c r="L230" s="244">
        <v>0</v>
      </c>
    </row>
    <row r="231" spans="1:13" ht="12" hidden="1" customHeight="1" x14ac:dyDescent="0.2">
      <c r="A231" s="245"/>
      <c r="B231" s="245"/>
      <c r="C231" s="273"/>
      <c r="D231" s="245"/>
      <c r="E231" s="245"/>
      <c r="F231" s="246"/>
      <c r="G231" s="277"/>
      <c r="H231" s="277"/>
      <c r="I231" s="277"/>
      <c r="J231" s="277"/>
      <c r="K231" s="245"/>
    </row>
    <row r="232" spans="1:13" ht="12" hidden="1" customHeight="1" x14ac:dyDescent="0.2">
      <c r="A232" s="245"/>
      <c r="B232" s="245"/>
      <c r="C232" s="273"/>
      <c r="D232" s="245"/>
      <c r="E232" s="245"/>
      <c r="G232" s="277" t="s">
        <v>803</v>
      </c>
      <c r="H232" s="277"/>
      <c r="I232" s="277" t="s">
        <v>833</v>
      </c>
      <c r="J232" s="277"/>
      <c r="K232" s="245" t="s">
        <v>834</v>
      </c>
      <c r="L232" s="244">
        <v>0</v>
      </c>
    </row>
    <row r="233" spans="1:13" ht="12" hidden="1" customHeight="1" x14ac:dyDescent="0.2">
      <c r="A233" s="245"/>
      <c r="B233" s="245"/>
      <c r="C233" s="273"/>
      <c r="D233" s="245"/>
      <c r="E233" s="245"/>
      <c r="G233" s="277" t="s">
        <v>803</v>
      </c>
      <c r="H233" s="277"/>
      <c r="I233" s="276" t="s">
        <v>835</v>
      </c>
      <c r="J233" s="276"/>
      <c r="K233" s="271" t="s">
        <v>836</v>
      </c>
      <c r="L233" s="244">
        <v>0</v>
      </c>
    </row>
    <row r="234" spans="1:13" ht="12" hidden="1" customHeight="1" x14ac:dyDescent="0.2">
      <c r="A234" s="245"/>
      <c r="B234" s="245"/>
      <c r="C234" s="273"/>
      <c r="D234" s="245" t="s">
        <v>382</v>
      </c>
      <c r="E234" s="245"/>
      <c r="G234" s="277" t="s">
        <v>803</v>
      </c>
      <c r="H234" s="277"/>
      <c r="I234" s="277" t="s">
        <v>837</v>
      </c>
      <c r="J234" s="277"/>
      <c r="K234" s="245" t="s">
        <v>838</v>
      </c>
      <c r="L234" s="244">
        <v>0</v>
      </c>
    </row>
    <row r="235" spans="1:13" ht="12" hidden="1" customHeight="1" x14ac:dyDescent="0.2">
      <c r="A235" s="245"/>
      <c r="B235" s="245"/>
      <c r="C235" s="273"/>
      <c r="D235" s="245"/>
      <c r="E235" s="245"/>
      <c r="G235" s="277" t="s">
        <v>803</v>
      </c>
      <c r="H235" s="277"/>
      <c r="I235" s="276" t="s">
        <v>378</v>
      </c>
      <c r="J235" s="276"/>
      <c r="K235" s="271" t="s">
        <v>839</v>
      </c>
      <c r="L235" s="272">
        <f>+L236</f>
        <v>0</v>
      </c>
      <c r="M235" s="332"/>
    </row>
    <row r="236" spans="1:13" ht="12" hidden="1" customHeight="1" x14ac:dyDescent="0.2">
      <c r="A236" s="245"/>
      <c r="B236" s="245"/>
      <c r="C236" s="273"/>
      <c r="D236" s="245"/>
      <c r="E236" s="245"/>
      <c r="G236" s="277" t="s">
        <v>803</v>
      </c>
      <c r="H236" s="277"/>
      <c r="I236" s="277" t="s">
        <v>380</v>
      </c>
      <c r="J236" s="277"/>
      <c r="K236" s="247" t="s">
        <v>381</v>
      </c>
      <c r="L236" s="244">
        <v>0</v>
      </c>
    </row>
    <row r="237" spans="1:13" ht="12" hidden="1" customHeight="1" x14ac:dyDescent="0.2">
      <c r="A237" s="245"/>
      <c r="B237" s="245"/>
      <c r="C237" s="273"/>
      <c r="D237" s="245"/>
      <c r="E237" s="245"/>
      <c r="G237" s="277" t="s">
        <v>803</v>
      </c>
      <c r="H237" s="277"/>
      <c r="I237" s="277" t="s">
        <v>840</v>
      </c>
      <c r="J237" s="277"/>
      <c r="K237" s="247" t="s">
        <v>841</v>
      </c>
      <c r="L237" s="244">
        <v>0</v>
      </c>
    </row>
    <row r="238" spans="1:13" ht="12" hidden="1" customHeight="1" x14ac:dyDescent="0.2">
      <c r="A238" s="245"/>
      <c r="B238" s="245"/>
      <c r="C238" s="273"/>
      <c r="D238" s="245"/>
      <c r="E238" s="245"/>
      <c r="G238" s="277" t="s">
        <v>382</v>
      </c>
      <c r="H238" s="277"/>
      <c r="I238" s="277"/>
      <c r="J238" s="277"/>
      <c r="K238" s="245"/>
    </row>
    <row r="239" spans="1:13" s="269" customFormat="1" ht="12" hidden="1" customHeight="1" x14ac:dyDescent="0.2">
      <c r="A239" s="265"/>
      <c r="B239" s="265"/>
      <c r="C239" s="265" t="s">
        <v>842</v>
      </c>
      <c r="D239" s="265" t="s">
        <v>843</v>
      </c>
      <c r="E239" s="266"/>
      <c r="F239" s="265">
        <f>+L239</f>
        <v>0</v>
      </c>
      <c r="G239" s="267" t="s">
        <v>842</v>
      </c>
      <c r="H239" s="265"/>
      <c r="I239" s="265" t="s">
        <v>266</v>
      </c>
      <c r="J239" s="265"/>
      <c r="K239" s="265" t="s">
        <v>281</v>
      </c>
      <c r="L239" s="275">
        <f>+L240+L241</f>
        <v>0</v>
      </c>
      <c r="M239" s="333"/>
    </row>
    <row r="240" spans="1:13" ht="12" hidden="1" customHeight="1" x14ac:dyDescent="0.2">
      <c r="A240" s="245"/>
      <c r="B240" s="245"/>
      <c r="C240" s="245"/>
      <c r="D240" s="245" t="s">
        <v>382</v>
      </c>
      <c r="E240" s="245"/>
      <c r="G240" s="277" t="s">
        <v>842</v>
      </c>
      <c r="H240" s="277"/>
      <c r="I240" s="277" t="s">
        <v>267</v>
      </c>
      <c r="J240" s="277"/>
      <c r="K240" s="245" t="s">
        <v>844</v>
      </c>
      <c r="L240" s="244">
        <v>0</v>
      </c>
    </row>
    <row r="241" spans="1:13" ht="13.5" hidden="1" customHeight="1" x14ac:dyDescent="0.2">
      <c r="A241" s="245"/>
      <c r="B241" s="245"/>
      <c r="C241" s="245"/>
      <c r="D241" s="245" t="s">
        <v>382</v>
      </c>
      <c r="E241" s="245"/>
      <c r="G241" s="277" t="s">
        <v>842</v>
      </c>
      <c r="H241" s="277"/>
      <c r="I241" s="277" t="s">
        <v>359</v>
      </c>
      <c r="J241" s="277"/>
      <c r="K241" s="245" t="s">
        <v>845</v>
      </c>
      <c r="L241" s="244">
        <v>0</v>
      </c>
    </row>
    <row r="242" spans="1:13" ht="8.1" customHeight="1" x14ac:dyDescent="0.2">
      <c r="A242" s="245"/>
      <c r="B242" s="245"/>
      <c r="C242" s="245"/>
      <c r="D242" s="245"/>
      <c r="E242" s="245"/>
      <c r="G242" s="277"/>
      <c r="H242" s="277"/>
      <c r="I242" s="277"/>
      <c r="J242" s="277"/>
      <c r="K242" s="245"/>
    </row>
    <row r="243" spans="1:13" s="253" customFormat="1" ht="12" customHeight="1" x14ac:dyDescent="0.2">
      <c r="A243" s="287" t="s">
        <v>846</v>
      </c>
      <c r="B243" s="249" t="s">
        <v>847</v>
      </c>
      <c r="C243" s="248"/>
      <c r="D243" s="248"/>
      <c r="E243" s="248"/>
      <c r="F243" s="250">
        <f>+F245+F256+F282</f>
        <v>20604400</v>
      </c>
      <c r="G243" s="248">
        <v>2</v>
      </c>
      <c r="H243" s="248"/>
      <c r="I243" s="248">
        <v>5</v>
      </c>
      <c r="J243" s="251"/>
      <c r="K243" s="248" t="s">
        <v>57</v>
      </c>
      <c r="L243" s="252"/>
      <c r="M243" s="334"/>
    </row>
    <row r="244" spans="1:13" ht="12" hidden="1" customHeight="1" x14ac:dyDescent="0.2">
      <c r="A244" s="245"/>
      <c r="B244" s="245"/>
      <c r="C244" s="245"/>
      <c r="D244" s="245"/>
      <c r="E244" s="245"/>
      <c r="G244" s="247"/>
      <c r="H244" s="247"/>
      <c r="I244" s="277"/>
      <c r="J244" s="277"/>
      <c r="K244" s="245"/>
    </row>
    <row r="245" spans="1:13" s="269" customFormat="1" ht="12" hidden="1" customHeight="1" x14ac:dyDescent="0.2">
      <c r="A245" s="268"/>
      <c r="B245" s="268" t="s">
        <v>848</v>
      </c>
      <c r="C245" s="268" t="s">
        <v>849</v>
      </c>
      <c r="D245" s="288"/>
      <c r="E245" s="268"/>
      <c r="F245" s="286"/>
      <c r="G245" s="268" t="s">
        <v>382</v>
      </c>
      <c r="H245" s="268"/>
      <c r="I245" s="268" t="s">
        <v>250</v>
      </c>
      <c r="J245" s="268"/>
      <c r="K245" s="268" t="s">
        <v>251</v>
      </c>
      <c r="L245" s="286">
        <f>+L247+L248+L249+L250+L251+L252+L253+L254</f>
        <v>0</v>
      </c>
      <c r="M245" s="331"/>
    </row>
    <row r="246" spans="1:13" ht="12" hidden="1" customHeight="1" x14ac:dyDescent="0.2">
      <c r="A246" s="245"/>
      <c r="B246" s="274"/>
      <c r="C246" s="278"/>
      <c r="D246" s="245"/>
      <c r="E246" s="245"/>
      <c r="G246" s="276"/>
      <c r="H246" s="276"/>
      <c r="I246" s="276"/>
      <c r="J246" s="276"/>
      <c r="K246" s="271"/>
    </row>
    <row r="247" spans="1:13" ht="12" hidden="1" customHeight="1" x14ac:dyDescent="0.2">
      <c r="A247" s="245"/>
      <c r="B247" s="239"/>
      <c r="C247" s="273" t="s">
        <v>850</v>
      </c>
      <c r="D247" s="245" t="s">
        <v>851</v>
      </c>
      <c r="E247" s="245"/>
      <c r="G247" s="273" t="s">
        <v>850</v>
      </c>
      <c r="H247" s="273"/>
      <c r="I247" s="277" t="s">
        <v>252</v>
      </c>
      <c r="J247" s="277"/>
      <c r="K247" s="245" t="s">
        <v>253</v>
      </c>
      <c r="L247" s="244">
        <v>0</v>
      </c>
    </row>
    <row r="248" spans="1:13" ht="12" hidden="1" customHeight="1" x14ac:dyDescent="0.2">
      <c r="A248" s="245"/>
      <c r="B248" s="239"/>
      <c r="C248" s="273" t="s">
        <v>852</v>
      </c>
      <c r="D248" s="245" t="s">
        <v>853</v>
      </c>
      <c r="E248" s="245"/>
      <c r="G248" s="273" t="s">
        <v>852</v>
      </c>
      <c r="H248" s="273"/>
      <c r="I248" s="277" t="s">
        <v>854</v>
      </c>
      <c r="J248" s="277"/>
      <c r="K248" s="245" t="s">
        <v>855</v>
      </c>
      <c r="L248" s="244">
        <v>0</v>
      </c>
    </row>
    <row r="249" spans="1:13" ht="12" hidden="1" customHeight="1" x14ac:dyDescent="0.2">
      <c r="A249" s="245"/>
      <c r="B249" s="239"/>
      <c r="C249" s="245"/>
      <c r="D249" s="245"/>
      <c r="E249" s="245"/>
      <c r="G249" s="273" t="s">
        <v>852</v>
      </c>
      <c r="H249" s="273"/>
      <c r="I249" s="277" t="s">
        <v>856</v>
      </c>
      <c r="J249" s="277"/>
      <c r="K249" s="245" t="s">
        <v>857</v>
      </c>
      <c r="L249" s="244">
        <v>0</v>
      </c>
    </row>
    <row r="250" spans="1:13" ht="12" hidden="1" customHeight="1" x14ac:dyDescent="0.2">
      <c r="A250" s="245"/>
      <c r="B250" s="245"/>
      <c r="C250" s="245"/>
      <c r="D250" s="245"/>
      <c r="E250" s="245"/>
      <c r="G250" s="273" t="s">
        <v>852</v>
      </c>
      <c r="H250" s="273"/>
      <c r="I250" s="277" t="s">
        <v>858</v>
      </c>
      <c r="J250" s="277"/>
      <c r="K250" s="245" t="s">
        <v>859</v>
      </c>
      <c r="L250" s="244">
        <v>0</v>
      </c>
    </row>
    <row r="251" spans="1:13" ht="12" hidden="1" customHeight="1" x14ac:dyDescent="0.2">
      <c r="A251" s="245"/>
      <c r="B251" s="245"/>
      <c r="C251" s="245"/>
      <c r="D251" s="245"/>
      <c r="E251" s="245"/>
      <c r="G251" s="273" t="s">
        <v>852</v>
      </c>
      <c r="H251" s="273"/>
      <c r="I251" s="277" t="s">
        <v>860</v>
      </c>
      <c r="J251" s="277"/>
      <c r="K251" s="245" t="s">
        <v>861</v>
      </c>
      <c r="L251" s="244">
        <v>0</v>
      </c>
    </row>
    <row r="252" spans="1:13" ht="12" hidden="1" customHeight="1" x14ac:dyDescent="0.2">
      <c r="A252" s="245"/>
      <c r="B252" s="245"/>
      <c r="C252" s="273" t="s">
        <v>862</v>
      </c>
      <c r="D252" s="245" t="s">
        <v>863</v>
      </c>
      <c r="E252" s="245"/>
      <c r="G252" s="273" t="s">
        <v>862</v>
      </c>
      <c r="H252" s="273"/>
      <c r="I252" s="277" t="s">
        <v>864</v>
      </c>
      <c r="J252" s="277"/>
      <c r="K252" s="245" t="s">
        <v>863</v>
      </c>
      <c r="L252" s="244">
        <v>0</v>
      </c>
    </row>
    <row r="253" spans="1:13" ht="12" hidden="1" customHeight="1" x14ac:dyDescent="0.2">
      <c r="A253" s="245"/>
      <c r="B253" s="245"/>
      <c r="C253" s="273" t="s">
        <v>865</v>
      </c>
      <c r="D253" s="245" t="s">
        <v>255</v>
      </c>
      <c r="E253" s="245"/>
      <c r="G253" s="273" t="s">
        <v>865</v>
      </c>
      <c r="H253" s="273"/>
      <c r="I253" s="277" t="s">
        <v>254</v>
      </c>
      <c r="J253" s="277"/>
      <c r="K253" s="245" t="s">
        <v>255</v>
      </c>
      <c r="L253" s="244">
        <v>0</v>
      </c>
    </row>
    <row r="254" spans="1:13" ht="12" hidden="1" customHeight="1" x14ac:dyDescent="0.2">
      <c r="A254" s="245"/>
      <c r="B254" s="245"/>
      <c r="C254" s="273" t="s">
        <v>866</v>
      </c>
      <c r="D254" s="245" t="s">
        <v>867</v>
      </c>
      <c r="E254" s="245"/>
      <c r="G254" s="273" t="s">
        <v>866</v>
      </c>
      <c r="H254" s="273"/>
      <c r="I254" s="277" t="s">
        <v>256</v>
      </c>
      <c r="J254" s="277"/>
      <c r="K254" s="245" t="s">
        <v>868</v>
      </c>
      <c r="L254" s="244">
        <v>0</v>
      </c>
    </row>
    <row r="255" spans="1:13" ht="9" customHeight="1" x14ac:dyDescent="0.2">
      <c r="A255" s="245"/>
      <c r="B255" s="245"/>
      <c r="C255" s="273"/>
      <c r="D255" s="245"/>
      <c r="E255" s="245"/>
      <c r="G255" s="273"/>
      <c r="H255" s="273"/>
      <c r="I255" s="277"/>
      <c r="J255" s="277"/>
      <c r="K255" s="245"/>
    </row>
    <row r="256" spans="1:13" s="269" customFormat="1" ht="12" customHeight="1" x14ac:dyDescent="0.2">
      <c r="A256" s="265"/>
      <c r="B256" s="265" t="s">
        <v>869</v>
      </c>
      <c r="C256" s="265" t="s">
        <v>870</v>
      </c>
      <c r="D256" s="265"/>
      <c r="E256" s="266"/>
      <c r="F256" s="265">
        <f>+L256</f>
        <v>20604400</v>
      </c>
      <c r="G256" s="267" t="s">
        <v>382</v>
      </c>
      <c r="H256" s="265"/>
      <c r="I256" s="265"/>
      <c r="J256" s="265"/>
      <c r="K256" s="265"/>
      <c r="L256" s="275">
        <f>+L258+L276</f>
        <v>20604400</v>
      </c>
      <c r="M256" s="333"/>
    </row>
    <row r="257" spans="1:13" ht="12" customHeight="1" x14ac:dyDescent="0.2">
      <c r="A257" s="245"/>
      <c r="B257" s="274"/>
      <c r="C257" s="278"/>
      <c r="D257" s="245"/>
      <c r="E257" s="245"/>
      <c r="G257" s="277"/>
      <c r="H257" s="277"/>
      <c r="I257" s="247"/>
      <c r="J257" s="247"/>
      <c r="K257" s="245"/>
    </row>
    <row r="258" spans="1:13" s="269" customFormat="1" ht="12" customHeight="1" x14ac:dyDescent="0.2">
      <c r="A258" s="265"/>
      <c r="B258" s="265"/>
      <c r="C258" s="265" t="s">
        <v>871</v>
      </c>
      <c r="D258" s="265" t="s">
        <v>872</v>
      </c>
      <c r="E258" s="266"/>
      <c r="F258" s="265"/>
      <c r="G258" s="267" t="s">
        <v>871</v>
      </c>
      <c r="H258" s="265"/>
      <c r="I258" s="265" t="s">
        <v>234</v>
      </c>
      <c r="J258" s="265"/>
      <c r="K258" s="265" t="s">
        <v>235</v>
      </c>
      <c r="L258" s="275">
        <f>SUM(L259:L266)</f>
        <v>20604400</v>
      </c>
      <c r="M258" s="333"/>
    </row>
    <row r="259" spans="1:13" ht="12" hidden="1" customHeight="1" x14ac:dyDescent="0.2">
      <c r="A259" s="245"/>
      <c r="B259" s="245"/>
      <c r="C259" s="245"/>
      <c r="D259" s="245"/>
      <c r="E259" s="245"/>
      <c r="G259" s="277" t="s">
        <v>871</v>
      </c>
      <c r="H259" s="277"/>
      <c r="I259" s="277" t="s">
        <v>430</v>
      </c>
      <c r="J259" s="277"/>
      <c r="K259" s="245" t="s">
        <v>873</v>
      </c>
      <c r="L259" s="244">
        <v>0</v>
      </c>
    </row>
    <row r="260" spans="1:13" ht="12" hidden="1" customHeight="1" x14ac:dyDescent="0.2">
      <c r="A260" s="245"/>
      <c r="B260" s="245"/>
      <c r="C260" s="245"/>
      <c r="D260" s="245"/>
      <c r="E260" s="245"/>
      <c r="G260" s="277" t="s">
        <v>871</v>
      </c>
      <c r="H260" s="277"/>
      <c r="I260" s="277" t="s">
        <v>236</v>
      </c>
      <c r="J260" s="277"/>
      <c r="K260" s="245" t="s">
        <v>874</v>
      </c>
      <c r="L260" s="244">
        <v>0</v>
      </c>
    </row>
    <row r="261" spans="1:13" x14ac:dyDescent="0.2">
      <c r="A261" s="245"/>
      <c r="B261" s="245"/>
      <c r="C261" s="245"/>
      <c r="D261" s="245"/>
      <c r="E261" s="245"/>
      <c r="G261" s="277" t="s">
        <v>871</v>
      </c>
      <c r="H261" s="277"/>
      <c r="I261" s="277" t="s">
        <v>238</v>
      </c>
      <c r="J261" s="277"/>
      <c r="K261" s="245" t="s">
        <v>875</v>
      </c>
      <c r="L261" s="244">
        <v>0</v>
      </c>
    </row>
    <row r="262" spans="1:13" ht="12" customHeight="1" x14ac:dyDescent="0.2">
      <c r="A262" s="245"/>
      <c r="B262" s="245"/>
      <c r="C262" s="245"/>
      <c r="D262" s="245"/>
      <c r="E262" s="245"/>
      <c r="G262" s="277" t="s">
        <v>871</v>
      </c>
      <c r="H262" s="277"/>
      <c r="I262" s="277" t="s">
        <v>240</v>
      </c>
      <c r="J262" s="277"/>
      <c r="K262" s="245" t="s">
        <v>876</v>
      </c>
      <c r="L262" s="244">
        <v>16342800</v>
      </c>
    </row>
    <row r="263" spans="1:13" ht="12" customHeight="1" x14ac:dyDescent="0.2">
      <c r="A263" s="245"/>
      <c r="B263" s="245"/>
      <c r="C263" s="245"/>
      <c r="D263" s="245"/>
      <c r="E263" s="245"/>
      <c r="G263" s="277" t="s">
        <v>871</v>
      </c>
      <c r="H263" s="277"/>
      <c r="I263" s="277" t="s">
        <v>242</v>
      </c>
      <c r="J263" s="277"/>
      <c r="K263" s="245" t="s">
        <v>877</v>
      </c>
      <c r="L263" s="244">
        <v>4261600</v>
      </c>
    </row>
    <row r="264" spans="1:13" ht="12" hidden="1" customHeight="1" x14ac:dyDescent="0.2">
      <c r="A264" s="245"/>
      <c r="B264" s="245"/>
      <c r="C264" s="245"/>
      <c r="D264" s="245"/>
      <c r="E264" s="245"/>
      <c r="G264" s="277" t="s">
        <v>871</v>
      </c>
      <c r="H264" s="277"/>
      <c r="I264" s="277" t="s">
        <v>244</v>
      </c>
      <c r="J264" s="277"/>
      <c r="K264" s="245" t="s">
        <v>878</v>
      </c>
      <c r="L264" s="244">
        <v>0</v>
      </c>
    </row>
    <row r="265" spans="1:13" ht="12" hidden="1" customHeight="1" x14ac:dyDescent="0.2">
      <c r="A265" s="245"/>
      <c r="B265" s="245"/>
      <c r="C265" s="245"/>
      <c r="D265" s="245"/>
      <c r="E265" s="245"/>
      <c r="G265" s="277" t="s">
        <v>871</v>
      </c>
      <c r="H265" s="277"/>
      <c r="I265" s="277" t="s">
        <v>246</v>
      </c>
      <c r="J265" s="277"/>
      <c r="K265" s="245" t="s">
        <v>879</v>
      </c>
      <c r="L265" s="244">
        <v>0</v>
      </c>
    </row>
    <row r="266" spans="1:13" ht="12" hidden="1" customHeight="1" x14ac:dyDescent="0.2">
      <c r="A266" s="245"/>
      <c r="B266" s="245"/>
      <c r="C266" s="245"/>
      <c r="D266" s="245"/>
      <c r="E266" s="245"/>
      <c r="G266" s="277" t="s">
        <v>871</v>
      </c>
      <c r="H266" s="277"/>
      <c r="I266" s="277" t="s">
        <v>248</v>
      </c>
      <c r="J266" s="277"/>
      <c r="K266" s="245" t="s">
        <v>880</v>
      </c>
      <c r="L266" s="244">
        <v>0</v>
      </c>
    </row>
    <row r="267" spans="1:13" ht="12" hidden="1" customHeight="1" x14ac:dyDescent="0.2">
      <c r="A267" s="245"/>
      <c r="B267" s="245"/>
      <c r="C267" s="245"/>
      <c r="D267" s="245"/>
      <c r="E267" s="245"/>
      <c r="G267" s="277"/>
      <c r="H267" s="277"/>
      <c r="I267" s="277"/>
      <c r="J267" s="277"/>
      <c r="K267" s="245"/>
    </row>
    <row r="268" spans="1:13" ht="12" hidden="1" customHeight="1" x14ac:dyDescent="0.2">
      <c r="A268" s="245"/>
      <c r="B268" s="245"/>
      <c r="C268" s="245"/>
      <c r="D268" s="245"/>
      <c r="E268" s="245"/>
      <c r="G268" s="276" t="s">
        <v>871</v>
      </c>
      <c r="H268" s="276"/>
      <c r="I268" s="276" t="s">
        <v>258</v>
      </c>
      <c r="J268" s="276"/>
      <c r="K268" s="271" t="s">
        <v>881</v>
      </c>
    </row>
    <row r="269" spans="1:13" ht="12" hidden="1" customHeight="1" x14ac:dyDescent="0.2">
      <c r="A269" s="245"/>
      <c r="B269" s="245"/>
      <c r="C269" s="245"/>
      <c r="D269" s="245"/>
      <c r="E269" s="245"/>
      <c r="G269" s="277" t="s">
        <v>871</v>
      </c>
      <c r="H269" s="277"/>
      <c r="I269" s="277" t="s">
        <v>882</v>
      </c>
      <c r="J269" s="277"/>
      <c r="K269" s="245" t="s">
        <v>883</v>
      </c>
      <c r="L269" s="244">
        <v>0</v>
      </c>
    </row>
    <row r="270" spans="1:13" ht="12" hidden="1" customHeight="1" x14ac:dyDescent="0.2">
      <c r="A270" s="245"/>
      <c r="B270" s="245"/>
      <c r="C270" s="245"/>
      <c r="D270" s="245"/>
      <c r="E270" s="245"/>
      <c r="G270" s="277" t="s">
        <v>382</v>
      </c>
      <c r="H270" s="277"/>
      <c r="I270" s="277"/>
      <c r="J270" s="277"/>
      <c r="K270" s="245"/>
    </row>
    <row r="271" spans="1:13" ht="12" hidden="1" customHeight="1" x14ac:dyDescent="0.2">
      <c r="A271" s="245"/>
      <c r="B271" s="245"/>
      <c r="C271" s="245"/>
      <c r="D271" s="245"/>
      <c r="E271" s="245"/>
      <c r="G271" s="277" t="s">
        <v>382</v>
      </c>
      <c r="H271" s="277"/>
      <c r="I271" s="276" t="s">
        <v>884</v>
      </c>
      <c r="J271" s="276"/>
      <c r="K271" s="271" t="s">
        <v>885</v>
      </c>
    </row>
    <row r="272" spans="1:13" ht="12" hidden="1" customHeight="1" x14ac:dyDescent="0.2">
      <c r="A272" s="245"/>
      <c r="B272" s="245"/>
      <c r="C272" s="273" t="s">
        <v>886</v>
      </c>
      <c r="D272" s="245" t="s">
        <v>887</v>
      </c>
      <c r="E272" s="245"/>
      <c r="G272" s="277" t="s">
        <v>886</v>
      </c>
      <c r="H272" s="277"/>
      <c r="I272" s="277" t="s">
        <v>888</v>
      </c>
      <c r="J272" s="277"/>
      <c r="K272" s="245" t="s">
        <v>887</v>
      </c>
      <c r="L272" s="244">
        <v>0</v>
      </c>
    </row>
    <row r="273" spans="1:13" ht="12" hidden="1" customHeight="1" x14ac:dyDescent="0.2">
      <c r="A273" s="245"/>
      <c r="B273" s="245"/>
      <c r="C273" s="273" t="s">
        <v>889</v>
      </c>
      <c r="D273" s="245" t="s">
        <v>253</v>
      </c>
      <c r="E273" s="245"/>
      <c r="G273" s="277" t="s">
        <v>889</v>
      </c>
      <c r="H273" s="277"/>
      <c r="I273" s="277" t="s">
        <v>890</v>
      </c>
      <c r="J273" s="277"/>
      <c r="K273" s="245" t="s">
        <v>891</v>
      </c>
      <c r="L273" s="244">
        <v>0</v>
      </c>
    </row>
    <row r="274" spans="1:13" ht="12" hidden="1" customHeight="1" x14ac:dyDescent="0.2">
      <c r="A274" s="245"/>
      <c r="B274" s="245"/>
      <c r="C274" s="273"/>
      <c r="D274" s="245"/>
      <c r="E274" s="245"/>
      <c r="G274" s="277" t="s">
        <v>889</v>
      </c>
      <c r="H274" s="277"/>
      <c r="I274" s="277" t="s">
        <v>892</v>
      </c>
      <c r="J274" s="277"/>
      <c r="K274" s="245" t="s">
        <v>893</v>
      </c>
      <c r="L274" s="244">
        <v>0</v>
      </c>
    </row>
    <row r="275" spans="1:13" ht="8.1" customHeight="1" x14ac:dyDescent="0.2">
      <c r="A275" s="245"/>
      <c r="B275" s="245"/>
      <c r="C275" s="273"/>
      <c r="D275" s="245"/>
      <c r="E275" s="245"/>
      <c r="G275" s="245"/>
      <c r="H275" s="245"/>
      <c r="I275" s="245"/>
      <c r="J275" s="245"/>
      <c r="K275" s="245"/>
    </row>
    <row r="276" spans="1:13" ht="12" customHeight="1" x14ac:dyDescent="0.2">
      <c r="A276" s="245"/>
      <c r="B276" s="245"/>
      <c r="C276" s="245"/>
      <c r="D276" s="245"/>
      <c r="E276" s="245"/>
      <c r="G276" s="247" t="s">
        <v>382</v>
      </c>
      <c r="H276" s="247"/>
      <c r="I276" s="276" t="s">
        <v>258</v>
      </c>
      <c r="J276" s="276"/>
      <c r="K276" s="271" t="s">
        <v>881</v>
      </c>
      <c r="L276" s="272">
        <f>+L277</f>
        <v>0</v>
      </c>
      <c r="M276" s="332"/>
    </row>
    <row r="277" spans="1:13" s="269" customFormat="1" ht="12" customHeight="1" x14ac:dyDescent="0.2">
      <c r="A277" s="265"/>
      <c r="B277" s="265"/>
      <c r="C277" s="265" t="s">
        <v>894</v>
      </c>
      <c r="D277" s="265" t="s">
        <v>895</v>
      </c>
      <c r="E277" s="266"/>
      <c r="F277" s="265"/>
      <c r="G277" s="267" t="s">
        <v>894</v>
      </c>
      <c r="H277" s="265"/>
      <c r="I277" s="265" t="s">
        <v>411</v>
      </c>
      <c r="J277" s="265"/>
      <c r="K277" s="265" t="s">
        <v>412</v>
      </c>
      <c r="L277" s="275">
        <v>0</v>
      </c>
      <c r="M277" s="333"/>
    </row>
    <row r="278" spans="1:13" ht="12" hidden="1" customHeight="1" x14ac:dyDescent="0.2">
      <c r="A278" s="245"/>
      <c r="B278" s="245"/>
      <c r="C278" s="273" t="s">
        <v>896</v>
      </c>
      <c r="D278" s="245" t="s">
        <v>897</v>
      </c>
      <c r="E278" s="245"/>
      <c r="G278" s="273" t="s">
        <v>896</v>
      </c>
      <c r="H278" s="273"/>
      <c r="I278" s="277" t="s">
        <v>898</v>
      </c>
      <c r="J278" s="277"/>
      <c r="K278" s="245" t="s">
        <v>899</v>
      </c>
      <c r="L278" s="244">
        <v>0</v>
      </c>
    </row>
    <row r="279" spans="1:13" ht="12" hidden="1" customHeight="1" x14ac:dyDescent="0.2">
      <c r="A279" s="245"/>
      <c r="B279" s="245"/>
      <c r="C279" s="245"/>
      <c r="D279" s="245"/>
      <c r="E279" s="245"/>
      <c r="G279" s="273" t="s">
        <v>896</v>
      </c>
      <c r="H279" s="273"/>
      <c r="I279" s="277" t="s">
        <v>259</v>
      </c>
      <c r="J279" s="277"/>
      <c r="K279" s="245" t="s">
        <v>900</v>
      </c>
      <c r="L279" s="244">
        <v>0</v>
      </c>
    </row>
    <row r="280" spans="1:13" ht="12" hidden="1" customHeight="1" x14ac:dyDescent="0.2">
      <c r="A280" s="245"/>
      <c r="B280" s="245"/>
      <c r="C280" s="245"/>
      <c r="D280" s="245"/>
      <c r="E280" s="245"/>
      <c r="G280" s="247"/>
      <c r="H280" s="247"/>
      <c r="I280" s="277"/>
      <c r="J280" s="277"/>
      <c r="K280" s="245"/>
    </row>
    <row r="281" spans="1:13" ht="12" hidden="1" customHeight="1" x14ac:dyDescent="0.2">
      <c r="A281" s="245"/>
      <c r="B281" s="245"/>
      <c r="C281" s="245"/>
      <c r="D281" s="245"/>
      <c r="E281" s="245"/>
      <c r="G281" s="247"/>
      <c r="H281" s="247"/>
      <c r="I281" s="277"/>
      <c r="J281" s="277"/>
      <c r="K281" s="245"/>
    </row>
    <row r="282" spans="1:13" ht="12" hidden="1" customHeight="1" x14ac:dyDescent="0.2">
      <c r="A282" s="245"/>
      <c r="B282" s="274" t="s">
        <v>901</v>
      </c>
      <c r="C282" s="278" t="s">
        <v>902</v>
      </c>
      <c r="D282" s="245"/>
      <c r="E282" s="245"/>
      <c r="G282" s="276" t="s">
        <v>901</v>
      </c>
      <c r="H282" s="276"/>
      <c r="I282" s="276">
        <v>7</v>
      </c>
      <c r="J282" s="276"/>
      <c r="K282" s="284" t="s">
        <v>902</v>
      </c>
    </row>
    <row r="283" spans="1:13" ht="12" hidden="1" customHeight="1" x14ac:dyDescent="0.2">
      <c r="A283" s="245"/>
      <c r="B283" s="245"/>
      <c r="C283" s="245"/>
      <c r="D283" s="245"/>
      <c r="E283" s="245"/>
      <c r="G283" s="247"/>
      <c r="H283" s="247"/>
      <c r="I283" s="277"/>
      <c r="J283" s="277"/>
      <c r="K283" s="247"/>
    </row>
    <row r="284" spans="1:13" ht="12" hidden="1" customHeight="1" x14ac:dyDescent="0.2">
      <c r="A284" s="245"/>
      <c r="B284" s="245"/>
      <c r="C284" s="273" t="s">
        <v>903</v>
      </c>
      <c r="D284" s="245" t="s">
        <v>904</v>
      </c>
      <c r="E284" s="245"/>
      <c r="G284" s="276" t="s">
        <v>903</v>
      </c>
      <c r="H284" s="276"/>
      <c r="I284" s="276" t="s">
        <v>905</v>
      </c>
      <c r="J284" s="276"/>
      <c r="K284" s="271" t="s">
        <v>906</v>
      </c>
    </row>
    <row r="285" spans="1:13" ht="12" hidden="1" customHeight="1" x14ac:dyDescent="0.2">
      <c r="A285" s="245"/>
      <c r="B285" s="245"/>
      <c r="C285" s="273"/>
      <c r="D285" s="245"/>
      <c r="E285" s="245"/>
      <c r="G285" s="277" t="s">
        <v>903</v>
      </c>
      <c r="H285" s="277"/>
      <c r="I285" s="277" t="s">
        <v>907</v>
      </c>
      <c r="J285" s="277"/>
      <c r="K285" s="247" t="s">
        <v>908</v>
      </c>
      <c r="L285" s="244">
        <v>0</v>
      </c>
    </row>
    <row r="286" spans="1:13" ht="12" hidden="1" customHeight="1" x14ac:dyDescent="0.2">
      <c r="A286" s="245"/>
      <c r="B286" s="245"/>
      <c r="C286" s="273"/>
      <c r="D286" s="245"/>
      <c r="E286" s="245"/>
      <c r="G286" s="277" t="s">
        <v>903</v>
      </c>
      <c r="H286" s="277"/>
      <c r="I286" s="277" t="s">
        <v>909</v>
      </c>
      <c r="J286" s="277"/>
      <c r="K286" s="247" t="s">
        <v>910</v>
      </c>
      <c r="L286" s="244">
        <v>0</v>
      </c>
    </row>
    <row r="287" spans="1:13" ht="12" hidden="1" customHeight="1" x14ac:dyDescent="0.2">
      <c r="A287" s="245"/>
      <c r="B287" s="245"/>
      <c r="C287" s="273"/>
      <c r="D287" s="245"/>
      <c r="E287" s="245"/>
      <c r="G287" s="277" t="s">
        <v>903</v>
      </c>
      <c r="H287" s="277"/>
      <c r="I287" s="277" t="s">
        <v>911</v>
      </c>
      <c r="J287" s="277"/>
      <c r="K287" s="247" t="s">
        <v>912</v>
      </c>
      <c r="L287" s="244">
        <v>0</v>
      </c>
    </row>
    <row r="288" spans="1:13" ht="12" hidden="1" customHeight="1" x14ac:dyDescent="0.2">
      <c r="A288" s="245"/>
      <c r="B288" s="245"/>
      <c r="C288" s="273"/>
      <c r="D288" s="245"/>
      <c r="E288" s="245"/>
      <c r="G288" s="277" t="s">
        <v>903</v>
      </c>
      <c r="H288" s="277"/>
      <c r="I288" s="277" t="s">
        <v>913</v>
      </c>
      <c r="J288" s="277"/>
      <c r="K288" s="247" t="s">
        <v>914</v>
      </c>
      <c r="L288" s="244">
        <v>0</v>
      </c>
    </row>
    <row r="289" spans="1:13" ht="12" hidden="1" customHeight="1" x14ac:dyDescent="0.2">
      <c r="A289" s="245"/>
      <c r="B289" s="245"/>
      <c r="C289" s="273"/>
      <c r="D289" s="245"/>
      <c r="E289" s="245"/>
      <c r="G289" s="277" t="s">
        <v>903</v>
      </c>
      <c r="H289" s="277"/>
      <c r="I289" s="277" t="s">
        <v>915</v>
      </c>
      <c r="J289" s="277"/>
      <c r="K289" s="247" t="s">
        <v>916</v>
      </c>
      <c r="L289" s="244">
        <v>0</v>
      </c>
    </row>
    <row r="290" spans="1:13" ht="12" hidden="1" customHeight="1" x14ac:dyDescent="0.2">
      <c r="A290" s="245"/>
      <c r="B290" s="245"/>
      <c r="C290" s="273"/>
      <c r="D290" s="245"/>
      <c r="E290" s="245"/>
      <c r="G290" s="277" t="s">
        <v>903</v>
      </c>
      <c r="H290" s="277"/>
      <c r="I290" s="277" t="s">
        <v>917</v>
      </c>
      <c r="J290" s="277"/>
      <c r="K290" s="247" t="s">
        <v>918</v>
      </c>
      <c r="L290" s="244">
        <v>0</v>
      </c>
    </row>
    <row r="291" spans="1:13" ht="12" hidden="1" customHeight="1" x14ac:dyDescent="0.2">
      <c r="A291" s="245"/>
      <c r="B291" s="245"/>
      <c r="C291" s="273"/>
      <c r="D291" s="245"/>
      <c r="E291" s="245"/>
      <c r="G291" s="277" t="s">
        <v>903</v>
      </c>
      <c r="H291" s="277"/>
      <c r="I291" s="277" t="s">
        <v>919</v>
      </c>
      <c r="J291" s="277"/>
      <c r="K291" s="247" t="s">
        <v>920</v>
      </c>
      <c r="L291" s="244">
        <v>0</v>
      </c>
    </row>
    <row r="292" spans="1:13" s="245" customFormat="1" ht="12" hidden="1" customHeight="1" x14ac:dyDescent="0.2">
      <c r="C292" s="273"/>
      <c r="F292" s="244"/>
      <c r="G292" s="247"/>
      <c r="H292" s="247"/>
      <c r="I292" s="277"/>
      <c r="J292" s="277"/>
      <c r="K292" s="247"/>
      <c r="L292" s="244"/>
      <c r="M292" s="328"/>
    </row>
    <row r="293" spans="1:13" ht="12" hidden="1" customHeight="1" x14ac:dyDescent="0.2">
      <c r="A293" s="245"/>
      <c r="B293" s="245"/>
      <c r="C293" s="273" t="s">
        <v>921</v>
      </c>
      <c r="D293" s="245" t="s">
        <v>922</v>
      </c>
      <c r="E293" s="245"/>
      <c r="G293" s="274" t="s">
        <v>921</v>
      </c>
      <c r="H293" s="274"/>
      <c r="I293" s="276" t="s">
        <v>923</v>
      </c>
      <c r="J293" s="276"/>
      <c r="K293" s="271" t="s">
        <v>924</v>
      </c>
      <c r="L293" s="244">
        <v>0</v>
      </c>
    </row>
    <row r="294" spans="1:13" ht="12" hidden="1" customHeight="1" x14ac:dyDescent="0.2">
      <c r="A294" s="245"/>
      <c r="B294" s="245"/>
      <c r="C294" s="273"/>
      <c r="D294" s="245" t="s">
        <v>382</v>
      </c>
      <c r="E294" s="245"/>
      <c r="G294" s="273" t="s">
        <v>921</v>
      </c>
      <c r="H294" s="273"/>
      <c r="I294" s="277" t="s">
        <v>925</v>
      </c>
      <c r="J294" s="277"/>
      <c r="K294" s="247" t="s">
        <v>926</v>
      </c>
    </row>
    <row r="295" spans="1:13" ht="12" hidden="1" customHeight="1" x14ac:dyDescent="0.2">
      <c r="A295" s="245"/>
      <c r="B295" s="245"/>
      <c r="C295" s="273"/>
      <c r="D295" s="245"/>
      <c r="E295" s="245"/>
      <c r="G295" s="273" t="s">
        <v>921</v>
      </c>
      <c r="H295" s="273"/>
      <c r="I295" s="276" t="s">
        <v>927</v>
      </c>
      <c r="J295" s="276"/>
      <c r="K295" s="271" t="s">
        <v>928</v>
      </c>
    </row>
    <row r="296" spans="1:13" ht="12" hidden="1" customHeight="1" x14ac:dyDescent="0.2">
      <c r="A296" s="245"/>
      <c r="B296" s="245"/>
      <c r="C296" s="273"/>
      <c r="D296" s="245"/>
      <c r="E296" s="245"/>
      <c r="F296" s="246"/>
      <c r="G296" s="273" t="s">
        <v>921</v>
      </c>
      <c r="H296" s="273"/>
      <c r="I296" s="277" t="s">
        <v>929</v>
      </c>
      <c r="J296" s="277"/>
      <c r="K296" s="247" t="s">
        <v>930</v>
      </c>
      <c r="L296" s="244">
        <v>0</v>
      </c>
    </row>
    <row r="297" spans="1:13" ht="12" hidden="1" customHeight="1" x14ac:dyDescent="0.2">
      <c r="A297" s="245"/>
      <c r="B297" s="245"/>
      <c r="C297" s="273"/>
      <c r="D297" s="245"/>
      <c r="E297" s="245"/>
      <c r="F297" s="246"/>
      <c r="G297" s="273" t="s">
        <v>921</v>
      </c>
      <c r="H297" s="273"/>
      <c r="I297" s="277" t="s">
        <v>931</v>
      </c>
      <c r="J297" s="277"/>
      <c r="K297" s="247" t="s">
        <v>932</v>
      </c>
      <c r="L297" s="244">
        <v>0</v>
      </c>
    </row>
    <row r="298" spans="1:13" ht="12" hidden="1" customHeight="1" x14ac:dyDescent="0.2">
      <c r="A298" s="245"/>
      <c r="B298" s="245"/>
      <c r="C298" s="273"/>
      <c r="D298" s="245"/>
      <c r="E298" s="245"/>
      <c r="G298" s="273" t="s">
        <v>921</v>
      </c>
      <c r="H298" s="273"/>
      <c r="I298" s="277" t="s">
        <v>933</v>
      </c>
      <c r="J298" s="277"/>
      <c r="K298" s="247" t="s">
        <v>934</v>
      </c>
      <c r="L298" s="244">
        <v>0</v>
      </c>
    </row>
    <row r="299" spans="1:13" ht="12" hidden="1" customHeight="1" x14ac:dyDescent="0.2">
      <c r="A299" s="245"/>
      <c r="B299" s="245"/>
      <c r="C299" s="273"/>
      <c r="D299" s="245" t="s">
        <v>382</v>
      </c>
      <c r="E299" s="245"/>
      <c r="G299" s="273" t="s">
        <v>921</v>
      </c>
      <c r="H299" s="273"/>
      <c r="I299" s="277" t="s">
        <v>935</v>
      </c>
      <c r="J299" s="277"/>
      <c r="K299" s="247" t="s">
        <v>936</v>
      </c>
      <c r="L299" s="244">
        <v>0</v>
      </c>
    </row>
    <row r="300" spans="1:13" ht="12" hidden="1" customHeight="1" x14ac:dyDescent="0.2">
      <c r="A300" s="245"/>
      <c r="B300" s="245"/>
      <c r="C300" s="273"/>
      <c r="D300" s="245"/>
      <c r="E300" s="245"/>
      <c r="G300" s="273" t="s">
        <v>921</v>
      </c>
      <c r="H300" s="273"/>
      <c r="I300" s="276" t="s">
        <v>937</v>
      </c>
      <c r="J300" s="276"/>
      <c r="K300" s="271" t="s">
        <v>938</v>
      </c>
    </row>
    <row r="301" spans="1:13" ht="12" hidden="1" customHeight="1" x14ac:dyDescent="0.2">
      <c r="A301" s="278" t="s">
        <v>382</v>
      </c>
      <c r="B301" s="245"/>
      <c r="C301" s="273"/>
      <c r="D301" s="245"/>
      <c r="E301" s="245"/>
      <c r="G301" s="273" t="s">
        <v>921</v>
      </c>
      <c r="H301" s="273"/>
      <c r="I301" s="277" t="s">
        <v>939</v>
      </c>
      <c r="J301" s="277"/>
      <c r="K301" s="247" t="s">
        <v>940</v>
      </c>
      <c r="L301" s="244">
        <v>0</v>
      </c>
    </row>
    <row r="302" spans="1:13" ht="12" hidden="1" customHeight="1" x14ac:dyDescent="0.2">
      <c r="A302" s="245"/>
      <c r="B302" s="245"/>
      <c r="C302" s="273"/>
      <c r="D302" s="245"/>
      <c r="E302" s="245"/>
      <c r="G302" s="247"/>
      <c r="H302" s="247"/>
      <c r="I302" s="277"/>
      <c r="J302" s="277"/>
      <c r="K302" s="247"/>
    </row>
    <row r="303" spans="1:13" ht="12" hidden="1" customHeight="1" x14ac:dyDescent="0.2">
      <c r="G303" s="259"/>
      <c r="H303" s="259"/>
      <c r="I303" s="259"/>
      <c r="J303" s="259"/>
    </row>
    <row r="304" spans="1:13" ht="12" hidden="1" customHeight="1" thickBot="1" x14ac:dyDescent="0.25">
      <c r="A304" s="279"/>
      <c r="B304" s="279"/>
      <c r="C304" s="279"/>
      <c r="D304" s="279"/>
      <c r="E304" s="279"/>
      <c r="F304" s="280"/>
      <c r="G304" s="282"/>
      <c r="H304" s="282"/>
      <c r="I304" s="281"/>
      <c r="J304" s="281"/>
      <c r="K304" s="289"/>
    </row>
    <row r="305" spans="1:12" ht="12" hidden="1" customHeight="1" x14ac:dyDescent="0.2">
      <c r="A305" s="245"/>
      <c r="B305" s="245"/>
      <c r="C305" s="245"/>
      <c r="D305" s="245"/>
      <c r="E305" s="245"/>
      <c r="F305" s="246"/>
      <c r="G305" s="273"/>
      <c r="H305" s="273"/>
      <c r="I305" s="277"/>
      <c r="J305" s="277"/>
      <c r="K305" s="247"/>
    </row>
    <row r="306" spans="1:12" ht="12" hidden="1" customHeight="1" x14ac:dyDescent="0.2">
      <c r="A306" s="245"/>
      <c r="B306" s="245"/>
      <c r="C306" s="273" t="s">
        <v>941</v>
      </c>
      <c r="D306" s="245" t="s">
        <v>942</v>
      </c>
      <c r="E306" s="245"/>
      <c r="G306" s="274" t="s">
        <v>941</v>
      </c>
      <c r="H306" s="274"/>
      <c r="I306" s="276" t="s">
        <v>943</v>
      </c>
      <c r="J306" s="276"/>
      <c r="K306" s="271" t="s">
        <v>944</v>
      </c>
    </row>
    <row r="307" spans="1:12" ht="12" hidden="1" customHeight="1" x14ac:dyDescent="0.2">
      <c r="A307" s="245"/>
      <c r="B307" s="245"/>
      <c r="C307" s="245"/>
      <c r="D307" s="245"/>
      <c r="E307" s="245"/>
      <c r="F307" s="246"/>
      <c r="G307" s="273" t="s">
        <v>941</v>
      </c>
      <c r="H307" s="273"/>
      <c r="I307" s="277" t="s">
        <v>945</v>
      </c>
      <c r="J307" s="277"/>
      <c r="K307" s="247" t="s">
        <v>946</v>
      </c>
      <c r="L307" s="244">
        <v>0</v>
      </c>
    </row>
    <row r="308" spans="1:12" ht="12" hidden="1" customHeight="1" x14ac:dyDescent="0.2">
      <c r="A308" s="245"/>
      <c r="B308" s="245"/>
      <c r="C308" s="245"/>
      <c r="D308" s="245"/>
      <c r="E308" s="245"/>
      <c r="G308" s="273" t="s">
        <v>941</v>
      </c>
      <c r="H308" s="273"/>
      <c r="I308" s="277" t="s">
        <v>947</v>
      </c>
      <c r="J308" s="277"/>
      <c r="K308" s="247" t="s">
        <v>948</v>
      </c>
      <c r="L308" s="244">
        <v>0</v>
      </c>
    </row>
    <row r="309" spans="1:12" ht="12" hidden="1" customHeight="1" x14ac:dyDescent="0.2">
      <c r="A309" s="245"/>
      <c r="B309" s="245"/>
      <c r="C309" s="245"/>
      <c r="D309" s="245"/>
      <c r="E309" s="245"/>
      <c r="G309" s="283"/>
      <c r="H309" s="283"/>
      <c r="I309" s="276"/>
      <c r="J309" s="276"/>
      <c r="K309" s="245"/>
    </row>
    <row r="310" spans="1:12" ht="12" hidden="1" customHeight="1" x14ac:dyDescent="0.2">
      <c r="A310" s="245"/>
      <c r="B310" s="245"/>
      <c r="C310" s="245"/>
      <c r="D310" s="278"/>
      <c r="E310" s="278"/>
      <c r="G310" s="247"/>
      <c r="H310" s="247"/>
      <c r="I310" s="277"/>
      <c r="J310" s="277"/>
      <c r="K310" s="247"/>
    </row>
    <row r="311" spans="1:12" ht="12" hidden="1" customHeight="1" x14ac:dyDescent="0.2">
      <c r="A311" s="274">
        <v>3</v>
      </c>
      <c r="B311" s="278" t="s">
        <v>949</v>
      </c>
      <c r="C311" s="245"/>
      <c r="D311" s="278"/>
      <c r="E311" s="278"/>
      <c r="G311" s="283">
        <v>3</v>
      </c>
      <c r="H311" s="283"/>
      <c r="I311" s="276">
        <v>4</v>
      </c>
      <c r="J311" s="276"/>
      <c r="K311" s="284" t="s">
        <v>950</v>
      </c>
    </row>
    <row r="312" spans="1:12" ht="12" hidden="1" customHeight="1" x14ac:dyDescent="0.2">
      <c r="A312" s="245"/>
      <c r="B312" s="278" t="s">
        <v>382</v>
      </c>
      <c r="C312" s="278"/>
      <c r="D312" s="245"/>
      <c r="E312" s="245"/>
      <c r="G312" s="247"/>
      <c r="H312" s="247"/>
      <c r="I312" s="277"/>
      <c r="J312" s="277"/>
      <c r="K312" s="247"/>
    </row>
    <row r="313" spans="1:12" ht="12" hidden="1" customHeight="1" x14ac:dyDescent="0.2">
      <c r="A313" s="245"/>
      <c r="B313" s="274" t="s">
        <v>951</v>
      </c>
      <c r="C313" s="290" t="s">
        <v>952</v>
      </c>
      <c r="D313" s="245"/>
      <c r="G313" s="276" t="s">
        <v>951</v>
      </c>
      <c r="H313" s="276"/>
      <c r="I313" s="276" t="s">
        <v>953</v>
      </c>
      <c r="J313" s="276"/>
      <c r="K313" s="284" t="s">
        <v>954</v>
      </c>
    </row>
    <row r="314" spans="1:12" ht="12" hidden="1" customHeight="1" x14ac:dyDescent="0.2">
      <c r="A314" s="245"/>
      <c r="B314" s="241"/>
      <c r="C314" s="245"/>
      <c r="D314" s="245"/>
      <c r="E314" s="245"/>
      <c r="G314" s="277" t="s">
        <v>951</v>
      </c>
      <c r="H314" s="277"/>
      <c r="I314" s="277" t="s">
        <v>955</v>
      </c>
      <c r="J314" s="277"/>
      <c r="K314" s="247" t="s">
        <v>956</v>
      </c>
    </row>
    <row r="315" spans="1:12" ht="12" hidden="1" customHeight="1" x14ac:dyDescent="0.2">
      <c r="A315" s="245"/>
      <c r="E315" s="245"/>
      <c r="G315" s="277" t="s">
        <v>951</v>
      </c>
      <c r="H315" s="277"/>
      <c r="I315" s="277" t="s">
        <v>957</v>
      </c>
      <c r="J315" s="277"/>
      <c r="K315" s="247" t="s">
        <v>958</v>
      </c>
    </row>
    <row r="316" spans="1:12" ht="12" hidden="1" customHeight="1" x14ac:dyDescent="0.2">
      <c r="A316" s="245"/>
      <c r="B316" s="241"/>
      <c r="C316" s="245"/>
      <c r="D316" s="245"/>
      <c r="E316" s="245"/>
      <c r="G316" s="277" t="s">
        <v>951</v>
      </c>
      <c r="H316" s="277"/>
      <c r="I316" s="277" t="s">
        <v>959</v>
      </c>
      <c r="J316" s="277"/>
      <c r="K316" s="247" t="s">
        <v>960</v>
      </c>
    </row>
    <row r="317" spans="1:12" ht="12" hidden="1" customHeight="1" x14ac:dyDescent="0.2">
      <c r="A317" s="245"/>
      <c r="B317" s="241"/>
      <c r="C317" s="245"/>
      <c r="D317" s="245"/>
      <c r="E317" s="245"/>
      <c r="G317" s="277" t="s">
        <v>951</v>
      </c>
      <c r="H317" s="277"/>
      <c r="I317" s="277" t="s">
        <v>961</v>
      </c>
      <c r="J317" s="277"/>
      <c r="K317" s="247" t="s">
        <v>962</v>
      </c>
    </row>
    <row r="318" spans="1:12" ht="12" hidden="1" customHeight="1" x14ac:dyDescent="0.2">
      <c r="A318" s="245"/>
      <c r="B318" s="241"/>
      <c r="C318" s="245"/>
      <c r="D318" s="245"/>
      <c r="E318" s="245"/>
      <c r="G318" s="277" t="s">
        <v>951</v>
      </c>
      <c r="H318" s="277"/>
      <c r="I318" s="277" t="s">
        <v>963</v>
      </c>
      <c r="J318" s="277"/>
      <c r="K318" s="247" t="s">
        <v>964</v>
      </c>
    </row>
    <row r="319" spans="1:12" ht="12" hidden="1" customHeight="1" x14ac:dyDescent="0.2">
      <c r="A319" s="245"/>
      <c r="B319" s="241"/>
      <c r="C319" s="245"/>
      <c r="D319" s="245"/>
      <c r="E319" s="245"/>
      <c r="G319" s="277" t="s">
        <v>951</v>
      </c>
      <c r="H319" s="277"/>
      <c r="I319" s="277" t="s">
        <v>965</v>
      </c>
      <c r="J319" s="277"/>
      <c r="K319" s="247" t="s">
        <v>966</v>
      </c>
    </row>
    <row r="320" spans="1:12" ht="12" hidden="1" customHeight="1" x14ac:dyDescent="0.2">
      <c r="A320" s="245"/>
      <c r="B320" s="241"/>
      <c r="C320" s="245"/>
      <c r="D320" s="245"/>
      <c r="E320" s="245"/>
      <c r="G320" s="277" t="s">
        <v>951</v>
      </c>
      <c r="H320" s="277"/>
      <c r="I320" s="277" t="s">
        <v>967</v>
      </c>
      <c r="J320" s="277"/>
      <c r="K320" s="247" t="s">
        <v>968</v>
      </c>
    </row>
    <row r="321" spans="1:11" ht="12" hidden="1" customHeight="1" x14ac:dyDescent="0.2">
      <c r="A321" s="245"/>
      <c r="B321" s="241"/>
      <c r="C321" s="245"/>
      <c r="D321" s="245"/>
      <c r="E321" s="245"/>
      <c r="G321" s="277" t="s">
        <v>951</v>
      </c>
      <c r="H321" s="277"/>
      <c r="I321" s="277" t="s">
        <v>969</v>
      </c>
      <c r="J321" s="277"/>
      <c r="K321" s="247" t="s">
        <v>970</v>
      </c>
    </row>
    <row r="322" spans="1:11" ht="12" hidden="1" customHeight="1" x14ac:dyDescent="0.2">
      <c r="A322" s="245"/>
      <c r="B322" s="241"/>
      <c r="C322" s="245"/>
      <c r="D322" s="278"/>
      <c r="E322" s="278"/>
      <c r="G322" s="247"/>
      <c r="H322" s="247"/>
      <c r="I322" s="277"/>
      <c r="J322" s="277"/>
      <c r="K322" s="245"/>
    </row>
    <row r="323" spans="1:11" ht="12" hidden="1" customHeight="1" x14ac:dyDescent="0.2">
      <c r="A323" s="245"/>
      <c r="B323" s="239" t="s">
        <v>971</v>
      </c>
      <c r="C323" s="278" t="s">
        <v>972</v>
      </c>
      <c r="E323" s="245"/>
      <c r="G323" s="276" t="s">
        <v>971</v>
      </c>
      <c r="H323" s="276"/>
      <c r="I323" s="276" t="s">
        <v>973</v>
      </c>
      <c r="J323" s="276"/>
      <c r="K323" s="284" t="s">
        <v>972</v>
      </c>
    </row>
    <row r="324" spans="1:11" ht="12" hidden="1" customHeight="1" x14ac:dyDescent="0.2">
      <c r="A324" s="245"/>
      <c r="B324" s="245"/>
      <c r="C324" s="245"/>
      <c r="D324" s="245"/>
      <c r="E324" s="245"/>
      <c r="G324" s="277" t="s">
        <v>971</v>
      </c>
      <c r="H324" s="277"/>
      <c r="I324" s="277" t="s">
        <v>974</v>
      </c>
      <c r="J324" s="277"/>
      <c r="K324" s="247" t="s">
        <v>975</v>
      </c>
    </row>
    <row r="325" spans="1:11" ht="12" hidden="1" customHeight="1" x14ac:dyDescent="0.2">
      <c r="A325" s="245"/>
      <c r="B325" s="245"/>
      <c r="C325" s="245"/>
      <c r="D325" s="245"/>
      <c r="E325" s="245"/>
      <c r="G325" s="277" t="s">
        <v>971</v>
      </c>
      <c r="H325" s="277"/>
      <c r="I325" s="277" t="s">
        <v>976</v>
      </c>
      <c r="J325" s="277"/>
      <c r="K325" s="247" t="s">
        <v>977</v>
      </c>
    </row>
    <row r="326" spans="1:11" ht="12" hidden="1" customHeight="1" x14ac:dyDescent="0.2">
      <c r="A326" s="245"/>
      <c r="B326" s="245"/>
      <c r="C326" s="245"/>
      <c r="D326" s="245"/>
      <c r="E326" s="245"/>
      <c r="G326" s="277" t="s">
        <v>971</v>
      </c>
      <c r="H326" s="277"/>
      <c r="I326" s="277" t="s">
        <v>978</v>
      </c>
      <c r="J326" s="277"/>
      <c r="K326" s="247" t="s">
        <v>979</v>
      </c>
    </row>
    <row r="327" spans="1:11" ht="12" hidden="1" customHeight="1" x14ac:dyDescent="0.2">
      <c r="A327" s="245"/>
      <c r="B327" s="245"/>
      <c r="C327" s="245"/>
      <c r="D327" s="245"/>
      <c r="E327" s="245"/>
      <c r="G327" s="277" t="s">
        <v>971</v>
      </c>
      <c r="H327" s="277"/>
      <c r="I327" s="277" t="s">
        <v>980</v>
      </c>
      <c r="J327" s="277"/>
      <c r="K327" s="247" t="s">
        <v>981</v>
      </c>
    </row>
    <row r="328" spans="1:11" ht="12" hidden="1" customHeight="1" x14ac:dyDescent="0.2">
      <c r="A328" s="245"/>
      <c r="B328" s="245"/>
      <c r="C328" s="245"/>
      <c r="D328" s="245"/>
      <c r="E328" s="245"/>
      <c r="G328" s="277" t="s">
        <v>971</v>
      </c>
      <c r="H328" s="277"/>
      <c r="I328" s="277" t="s">
        <v>982</v>
      </c>
      <c r="J328" s="277"/>
      <c r="K328" s="247" t="s">
        <v>983</v>
      </c>
    </row>
    <row r="329" spans="1:11" ht="12" hidden="1" customHeight="1" x14ac:dyDescent="0.2">
      <c r="A329" s="245"/>
      <c r="B329" s="245"/>
      <c r="C329" s="245"/>
      <c r="D329" s="245"/>
      <c r="E329" s="245"/>
      <c r="G329" s="277" t="s">
        <v>971</v>
      </c>
      <c r="H329" s="277"/>
      <c r="I329" s="277" t="s">
        <v>984</v>
      </c>
      <c r="J329" s="277"/>
      <c r="K329" s="247" t="s">
        <v>985</v>
      </c>
    </row>
    <row r="330" spans="1:11" ht="12" hidden="1" customHeight="1" x14ac:dyDescent="0.2">
      <c r="A330" s="245"/>
      <c r="B330" s="245"/>
      <c r="C330" s="245"/>
      <c r="D330" s="245"/>
      <c r="E330" s="245"/>
      <c r="G330" s="277" t="s">
        <v>971</v>
      </c>
      <c r="H330" s="277"/>
      <c r="I330" s="277" t="s">
        <v>986</v>
      </c>
      <c r="J330" s="277"/>
      <c r="K330" s="247" t="s">
        <v>987</v>
      </c>
    </row>
    <row r="331" spans="1:11" ht="12" hidden="1" customHeight="1" x14ac:dyDescent="0.2">
      <c r="A331" s="245"/>
      <c r="B331" s="245"/>
      <c r="C331" s="245"/>
      <c r="D331" s="245"/>
      <c r="E331" s="245"/>
      <c r="G331" s="277" t="s">
        <v>971</v>
      </c>
      <c r="H331" s="277"/>
      <c r="I331" s="277" t="s">
        <v>988</v>
      </c>
      <c r="J331" s="277"/>
      <c r="K331" s="247" t="s">
        <v>989</v>
      </c>
    </row>
    <row r="332" spans="1:11" ht="12" hidden="1" customHeight="1" x14ac:dyDescent="0.2">
      <c r="A332" s="245"/>
      <c r="B332" s="245"/>
      <c r="C332" s="245"/>
      <c r="D332" s="245"/>
      <c r="E332" s="245"/>
      <c r="G332" s="247"/>
      <c r="H332" s="247"/>
      <c r="I332" s="277"/>
      <c r="J332" s="277"/>
      <c r="K332" s="245"/>
    </row>
    <row r="333" spans="1:11" ht="12" hidden="1" customHeight="1" x14ac:dyDescent="0.2">
      <c r="A333" s="245"/>
      <c r="B333" s="274" t="s">
        <v>990</v>
      </c>
      <c r="C333" s="278" t="s">
        <v>991</v>
      </c>
      <c r="D333" s="245"/>
      <c r="E333" s="245"/>
      <c r="G333" s="276" t="s">
        <v>990</v>
      </c>
      <c r="H333" s="276"/>
      <c r="I333" s="276">
        <v>8</v>
      </c>
      <c r="J333" s="276"/>
      <c r="K333" s="284" t="s">
        <v>992</v>
      </c>
    </row>
    <row r="334" spans="1:11" ht="12" hidden="1" customHeight="1" x14ac:dyDescent="0.2">
      <c r="A334" s="245"/>
      <c r="B334" s="245"/>
      <c r="C334" s="245"/>
      <c r="D334" s="245"/>
      <c r="E334" s="245"/>
      <c r="G334" s="247"/>
      <c r="H334" s="247"/>
      <c r="I334" s="277"/>
      <c r="J334" s="277"/>
      <c r="K334" s="245"/>
    </row>
    <row r="335" spans="1:11" ht="12" hidden="1" customHeight="1" x14ac:dyDescent="0.2">
      <c r="A335" s="245"/>
      <c r="B335" s="245"/>
      <c r="C335" s="273" t="s">
        <v>993</v>
      </c>
      <c r="D335" s="245" t="s">
        <v>994</v>
      </c>
      <c r="E335" s="245"/>
      <c r="G335" s="247"/>
      <c r="H335" s="247"/>
      <c r="I335" s="245"/>
      <c r="J335" s="245"/>
      <c r="K335" s="245"/>
    </row>
    <row r="336" spans="1:11" ht="12" hidden="1" customHeight="1" x14ac:dyDescent="0.2">
      <c r="A336" s="245"/>
      <c r="B336" s="245"/>
      <c r="C336" s="245"/>
      <c r="D336" s="245"/>
      <c r="E336" s="245"/>
      <c r="G336" s="276" t="s">
        <v>993</v>
      </c>
      <c r="H336" s="276"/>
      <c r="I336" s="276" t="s">
        <v>995</v>
      </c>
      <c r="J336" s="276"/>
      <c r="K336" s="284" t="s">
        <v>996</v>
      </c>
    </row>
    <row r="337" spans="1:13" ht="12" hidden="1" customHeight="1" x14ac:dyDescent="0.2">
      <c r="A337" s="245"/>
      <c r="B337" s="245"/>
      <c r="C337" s="245"/>
      <c r="D337" s="245"/>
      <c r="E337" s="245"/>
      <c r="G337" s="277" t="s">
        <v>993</v>
      </c>
      <c r="H337" s="277"/>
      <c r="I337" s="277" t="s">
        <v>997</v>
      </c>
      <c r="J337" s="277"/>
      <c r="K337" s="247" t="s">
        <v>998</v>
      </c>
    </row>
    <row r="338" spans="1:13" ht="12" hidden="1" customHeight="1" x14ac:dyDescent="0.2">
      <c r="A338" s="245"/>
      <c r="B338" s="245"/>
      <c r="C338" s="245"/>
      <c r="D338" s="245"/>
      <c r="E338" s="245"/>
      <c r="G338" s="277" t="s">
        <v>993</v>
      </c>
      <c r="H338" s="277"/>
      <c r="I338" s="277" t="s">
        <v>999</v>
      </c>
      <c r="J338" s="277"/>
      <c r="K338" s="247" t="s">
        <v>1000</v>
      </c>
    </row>
    <row r="339" spans="1:13" ht="12" hidden="1" customHeight="1" x14ac:dyDescent="0.2">
      <c r="A339" s="245"/>
      <c r="B339" s="245"/>
      <c r="C339" s="245"/>
      <c r="D339" s="245"/>
      <c r="E339" s="245"/>
      <c r="G339" s="276" t="s">
        <v>993</v>
      </c>
      <c r="H339" s="276"/>
      <c r="I339" s="276" t="s">
        <v>1001</v>
      </c>
      <c r="J339" s="276"/>
      <c r="K339" s="284" t="s">
        <v>1002</v>
      </c>
    </row>
    <row r="340" spans="1:13" ht="12" hidden="1" customHeight="1" x14ac:dyDescent="0.2">
      <c r="A340" s="245"/>
      <c r="B340" s="245"/>
      <c r="C340" s="245"/>
      <c r="D340" s="245"/>
      <c r="E340" s="245"/>
      <c r="G340" s="277" t="s">
        <v>993</v>
      </c>
      <c r="H340" s="277"/>
      <c r="I340" s="277" t="s">
        <v>1003</v>
      </c>
      <c r="J340" s="277"/>
      <c r="K340" s="247" t="s">
        <v>1004</v>
      </c>
    </row>
    <row r="341" spans="1:13" ht="12" hidden="1" customHeight="1" x14ac:dyDescent="0.2">
      <c r="A341" s="245"/>
      <c r="B341" s="245"/>
      <c r="C341" s="245"/>
      <c r="D341" s="245"/>
      <c r="E341" s="245"/>
      <c r="G341" s="277" t="s">
        <v>993</v>
      </c>
      <c r="H341" s="277"/>
      <c r="I341" s="277" t="s">
        <v>1005</v>
      </c>
      <c r="J341" s="277"/>
      <c r="K341" s="247" t="s">
        <v>1006</v>
      </c>
    </row>
    <row r="342" spans="1:13" ht="12" hidden="1" customHeight="1" x14ac:dyDescent="0.2">
      <c r="A342" s="245"/>
      <c r="B342" s="245"/>
      <c r="C342" s="245"/>
      <c r="D342" s="245"/>
      <c r="E342" s="245"/>
      <c r="G342" s="277" t="s">
        <v>993</v>
      </c>
      <c r="H342" s="277"/>
      <c r="I342" s="277" t="s">
        <v>1007</v>
      </c>
      <c r="J342" s="277"/>
      <c r="K342" s="247" t="s">
        <v>1008</v>
      </c>
    </row>
    <row r="343" spans="1:13" ht="12" hidden="1" customHeight="1" x14ac:dyDescent="0.2">
      <c r="A343" s="245"/>
      <c r="B343" s="245"/>
      <c r="C343" s="245"/>
      <c r="D343" s="245"/>
      <c r="E343" s="245"/>
      <c r="G343" s="277" t="s">
        <v>993</v>
      </c>
      <c r="H343" s="277"/>
      <c r="I343" s="277" t="s">
        <v>1009</v>
      </c>
      <c r="J343" s="277"/>
      <c r="K343" s="247" t="s">
        <v>1010</v>
      </c>
      <c r="L343" s="291"/>
      <c r="M343" s="331"/>
    </row>
    <row r="344" spans="1:13" ht="12" hidden="1" customHeight="1" x14ac:dyDescent="0.2">
      <c r="A344" s="245"/>
      <c r="B344" s="245"/>
      <c r="C344" s="245"/>
      <c r="D344" s="245"/>
      <c r="E344" s="245"/>
      <c r="G344" s="277" t="s">
        <v>993</v>
      </c>
      <c r="H344" s="277"/>
      <c r="I344" s="277" t="s">
        <v>1011</v>
      </c>
      <c r="J344" s="277"/>
      <c r="K344" s="247" t="s">
        <v>1012</v>
      </c>
    </row>
    <row r="345" spans="1:13" ht="12" hidden="1" customHeight="1" x14ac:dyDescent="0.2">
      <c r="A345" s="245"/>
      <c r="B345" s="245"/>
      <c r="C345" s="245"/>
      <c r="D345" s="245"/>
      <c r="E345" s="245"/>
      <c r="G345" s="277" t="s">
        <v>993</v>
      </c>
      <c r="H345" s="277"/>
      <c r="I345" s="277" t="s">
        <v>1013</v>
      </c>
      <c r="J345" s="277"/>
      <c r="K345" s="247" t="s">
        <v>1014</v>
      </c>
    </row>
    <row r="346" spans="1:13" ht="12" hidden="1" customHeight="1" x14ac:dyDescent="0.2">
      <c r="A346" s="245"/>
      <c r="B346" s="245"/>
      <c r="C346" s="245"/>
      <c r="D346" s="245"/>
      <c r="E346" s="245"/>
      <c r="G346" s="277" t="s">
        <v>993</v>
      </c>
      <c r="H346" s="277"/>
      <c r="I346" s="277" t="s">
        <v>1015</v>
      </c>
      <c r="J346" s="277"/>
      <c r="K346" s="247" t="s">
        <v>1016</v>
      </c>
    </row>
    <row r="347" spans="1:13" ht="12" hidden="1" customHeight="1" x14ac:dyDescent="0.2">
      <c r="A347" s="245"/>
      <c r="B347" s="245"/>
      <c r="C347" s="245"/>
      <c r="D347" s="245"/>
      <c r="E347" s="245"/>
      <c r="F347" s="292"/>
      <c r="G347" s="276" t="s">
        <v>993</v>
      </c>
      <c r="H347" s="276"/>
      <c r="I347" s="276" t="s">
        <v>1017</v>
      </c>
      <c r="J347" s="276"/>
      <c r="K347" s="284" t="s">
        <v>1018</v>
      </c>
    </row>
    <row r="348" spans="1:13" ht="12" hidden="1" customHeight="1" x14ac:dyDescent="0.2">
      <c r="A348" s="245"/>
      <c r="B348" s="245"/>
      <c r="C348" s="245"/>
      <c r="D348" s="245"/>
      <c r="E348" s="245"/>
      <c r="G348" s="277" t="s">
        <v>993</v>
      </c>
      <c r="H348" s="277"/>
      <c r="I348" s="277" t="s">
        <v>1019</v>
      </c>
      <c r="J348" s="277"/>
      <c r="K348" s="247" t="s">
        <v>1020</v>
      </c>
    </row>
    <row r="349" spans="1:13" ht="12" hidden="1" customHeight="1" x14ac:dyDescent="0.2">
      <c r="A349" s="245"/>
      <c r="B349" s="245"/>
      <c r="C349" s="245"/>
      <c r="D349" s="245"/>
      <c r="E349" s="245"/>
      <c r="G349" s="277"/>
      <c r="H349" s="277"/>
      <c r="I349" s="277"/>
      <c r="J349" s="277"/>
      <c r="K349" s="247"/>
    </row>
    <row r="350" spans="1:13" ht="12" hidden="1" customHeight="1" x14ac:dyDescent="0.2">
      <c r="A350" s="245"/>
      <c r="B350" s="245"/>
      <c r="C350" s="273" t="s">
        <v>1021</v>
      </c>
      <c r="D350" s="245" t="s">
        <v>1022</v>
      </c>
      <c r="E350" s="245"/>
      <c r="G350" s="247"/>
      <c r="H350" s="247"/>
      <c r="I350" s="277"/>
      <c r="J350" s="277"/>
      <c r="K350" s="245"/>
    </row>
    <row r="351" spans="1:13" ht="12" hidden="1" customHeight="1" x14ac:dyDescent="0.2">
      <c r="A351" s="245"/>
      <c r="B351" s="245"/>
      <c r="C351" s="245"/>
      <c r="D351" s="245"/>
      <c r="E351" s="245"/>
      <c r="G351" s="276" t="s">
        <v>1021</v>
      </c>
      <c r="H351" s="276"/>
      <c r="I351" s="276" t="s">
        <v>995</v>
      </c>
      <c r="J351" s="276"/>
      <c r="K351" s="284" t="s">
        <v>996</v>
      </c>
    </row>
    <row r="352" spans="1:13" ht="12" hidden="1" customHeight="1" x14ac:dyDescent="0.2">
      <c r="A352" s="245"/>
      <c r="B352" s="245"/>
      <c r="C352" s="245"/>
      <c r="D352" s="245"/>
      <c r="E352" s="245"/>
      <c r="F352" s="246"/>
      <c r="G352" s="277" t="s">
        <v>1021</v>
      </c>
      <c r="H352" s="277"/>
      <c r="I352" s="277" t="s">
        <v>1023</v>
      </c>
      <c r="J352" s="277"/>
      <c r="K352" s="247" t="s">
        <v>1024</v>
      </c>
    </row>
    <row r="353" spans="1:13" ht="12" hidden="1" customHeight="1" x14ac:dyDescent="0.2">
      <c r="A353" s="245"/>
      <c r="B353" s="245"/>
      <c r="C353" s="245"/>
      <c r="D353" s="245"/>
      <c r="E353" s="245"/>
      <c r="F353" s="246"/>
      <c r="G353" s="277" t="s">
        <v>1021</v>
      </c>
      <c r="H353" s="277"/>
      <c r="I353" s="277" t="s">
        <v>1025</v>
      </c>
      <c r="J353" s="277"/>
      <c r="K353" s="247" t="s">
        <v>1026</v>
      </c>
    </row>
    <row r="354" spans="1:13" ht="12" hidden="1" customHeight="1" x14ac:dyDescent="0.2">
      <c r="A354" s="245"/>
      <c r="B354" s="245"/>
      <c r="C354" s="245"/>
      <c r="D354" s="245"/>
      <c r="E354" s="245"/>
      <c r="F354" s="246"/>
      <c r="G354" s="276" t="s">
        <v>1021</v>
      </c>
      <c r="H354" s="276"/>
      <c r="I354" s="276" t="s">
        <v>1001</v>
      </c>
      <c r="J354" s="276"/>
      <c r="K354" s="284" t="s">
        <v>1002</v>
      </c>
    </row>
    <row r="355" spans="1:13" ht="12" hidden="1" customHeight="1" x14ac:dyDescent="0.2">
      <c r="A355" s="245"/>
      <c r="B355" s="245"/>
      <c r="C355" s="245"/>
      <c r="D355" s="245"/>
      <c r="E355" s="245"/>
      <c r="F355" s="246"/>
      <c r="G355" s="277" t="s">
        <v>1021</v>
      </c>
      <c r="H355" s="277"/>
      <c r="I355" s="277" t="s">
        <v>1027</v>
      </c>
      <c r="J355" s="277"/>
      <c r="K355" s="247" t="s">
        <v>1028</v>
      </c>
    </row>
    <row r="356" spans="1:13" ht="12" hidden="1" customHeight="1" x14ac:dyDescent="0.2">
      <c r="A356" s="245"/>
      <c r="B356" s="245"/>
      <c r="C356" s="245"/>
      <c r="D356" s="245"/>
      <c r="E356" s="245"/>
      <c r="F356" s="246"/>
      <c r="G356" s="247"/>
      <c r="H356" s="247"/>
      <c r="I356" s="277"/>
      <c r="J356" s="277"/>
      <c r="K356" s="245"/>
    </row>
    <row r="357" spans="1:13" ht="12" hidden="1" customHeight="1" x14ac:dyDescent="0.2">
      <c r="A357" s="245"/>
      <c r="B357" s="274" t="s">
        <v>1029</v>
      </c>
      <c r="C357" s="278" t="s">
        <v>1030</v>
      </c>
      <c r="D357" s="278"/>
      <c r="E357" s="283"/>
      <c r="F357" s="293"/>
      <c r="G357" s="276" t="s">
        <v>1029</v>
      </c>
      <c r="H357" s="276"/>
      <c r="I357" s="276" t="s">
        <v>1031</v>
      </c>
      <c r="J357" s="276"/>
      <c r="K357" s="284" t="s">
        <v>1030</v>
      </c>
    </row>
    <row r="358" spans="1:13" ht="12" hidden="1" customHeight="1" x14ac:dyDescent="0.2">
      <c r="A358" s="245"/>
      <c r="B358" s="245"/>
      <c r="C358" s="245"/>
      <c r="D358" s="245"/>
      <c r="E358" s="245"/>
      <c r="F358" s="246"/>
      <c r="G358" s="277" t="s">
        <v>1029</v>
      </c>
      <c r="H358" s="277"/>
      <c r="I358" s="277" t="s">
        <v>1032</v>
      </c>
      <c r="J358" s="277"/>
      <c r="K358" s="247" t="s">
        <v>1033</v>
      </c>
    </row>
    <row r="359" spans="1:13" ht="12" hidden="1" customHeight="1" x14ac:dyDescent="0.2">
      <c r="A359" s="245"/>
      <c r="B359" s="245"/>
      <c r="C359" s="245"/>
      <c r="D359" s="245"/>
      <c r="E359" s="245" t="s">
        <v>382</v>
      </c>
      <c r="F359" s="246"/>
      <c r="G359" s="277" t="s">
        <v>1029</v>
      </c>
      <c r="H359" s="277"/>
      <c r="I359" s="277" t="s">
        <v>1034</v>
      </c>
      <c r="J359" s="277"/>
      <c r="K359" s="247" t="s">
        <v>1035</v>
      </c>
    </row>
    <row r="360" spans="1:13" ht="12" hidden="1" customHeight="1" x14ac:dyDescent="0.2">
      <c r="A360" s="245"/>
      <c r="B360" s="245"/>
      <c r="C360" s="245"/>
      <c r="D360" s="245"/>
      <c r="E360" s="245"/>
      <c r="F360" s="246"/>
      <c r="G360" s="247"/>
      <c r="H360" s="247"/>
      <c r="I360" s="277"/>
      <c r="J360" s="277"/>
      <c r="K360" s="247"/>
    </row>
    <row r="361" spans="1:13" ht="12" hidden="1" customHeight="1" x14ac:dyDescent="0.2">
      <c r="D361" s="283"/>
      <c r="E361" s="278"/>
      <c r="F361" s="294"/>
      <c r="G361" s="277" t="s">
        <v>382</v>
      </c>
      <c r="H361" s="277"/>
      <c r="I361" s="276">
        <v>9</v>
      </c>
      <c r="J361" s="276"/>
      <c r="K361" s="284" t="s">
        <v>58</v>
      </c>
    </row>
    <row r="362" spans="1:13" ht="12" hidden="1" customHeight="1" x14ac:dyDescent="0.2">
      <c r="A362" s="278">
        <v>4</v>
      </c>
      <c r="B362" s="283" t="s">
        <v>1036</v>
      </c>
      <c r="C362" s="245"/>
      <c r="D362" s="245"/>
      <c r="E362" s="245"/>
      <c r="F362" s="246"/>
      <c r="G362" s="277" t="s">
        <v>382</v>
      </c>
      <c r="H362" s="277"/>
      <c r="I362" s="276" t="s">
        <v>268</v>
      </c>
      <c r="J362" s="276"/>
      <c r="K362" s="284" t="s">
        <v>1037</v>
      </c>
    </row>
    <row r="363" spans="1:13" ht="12" hidden="1" customHeight="1" x14ac:dyDescent="0.2">
      <c r="A363" s="245"/>
      <c r="B363" s="245"/>
      <c r="C363" s="245"/>
      <c r="D363" s="245"/>
      <c r="E363" s="245"/>
      <c r="F363" s="246"/>
      <c r="G363" s="277">
        <v>4</v>
      </c>
      <c r="H363" s="277"/>
      <c r="I363" s="277" t="s">
        <v>270</v>
      </c>
      <c r="J363" s="277"/>
      <c r="K363" s="247" t="s">
        <v>1038</v>
      </c>
    </row>
    <row r="364" spans="1:13" ht="12" hidden="1" customHeight="1" x14ac:dyDescent="0.2">
      <c r="A364" s="245"/>
      <c r="B364" s="245"/>
      <c r="C364" s="245"/>
      <c r="D364" s="245"/>
      <c r="E364" s="245"/>
      <c r="F364" s="246"/>
      <c r="G364" s="277">
        <v>4</v>
      </c>
      <c r="H364" s="277"/>
      <c r="I364" s="277" t="s">
        <v>271</v>
      </c>
      <c r="J364" s="277"/>
      <c r="K364" s="247" t="s">
        <v>1039</v>
      </c>
    </row>
    <row r="365" spans="1:13" ht="12" hidden="1" customHeight="1" x14ac:dyDescent="0.2"/>
    <row r="366" spans="1:13" ht="12" thickBot="1" x14ac:dyDescent="0.25">
      <c r="A366" s="279"/>
      <c r="B366" s="279"/>
      <c r="C366" s="279"/>
      <c r="D366" s="279"/>
      <c r="E366" s="279" t="s">
        <v>382</v>
      </c>
      <c r="F366" s="280"/>
      <c r="G366" s="289"/>
      <c r="H366" s="289"/>
      <c r="I366" s="281"/>
      <c r="J366" s="281"/>
      <c r="K366" s="279"/>
      <c r="L366" s="280"/>
      <c r="M366" s="293"/>
    </row>
    <row r="367" spans="1:13" x14ac:dyDescent="0.2">
      <c r="G367" s="259"/>
      <c r="H367" s="259"/>
      <c r="I367" s="259"/>
      <c r="J367" s="259"/>
    </row>
    <row r="368" spans="1:13" s="253" customFormat="1" ht="12.6" customHeight="1" x14ac:dyDescent="0.2">
      <c r="A368" s="1582" t="s">
        <v>21</v>
      </c>
      <c r="B368" s="1582"/>
      <c r="C368" s="1582"/>
      <c r="D368" s="1582"/>
      <c r="E368" s="306"/>
      <c r="F368" s="307" t="e">
        <f>+F10+F243</f>
        <v>#REF!</v>
      </c>
      <c r="G368" s="306"/>
      <c r="H368" s="306"/>
      <c r="I368" s="306"/>
      <c r="J368" s="306"/>
      <c r="K368" s="306"/>
      <c r="L368" s="307" t="e">
        <f>+L198+L52+L115+L14+F256</f>
        <v>#REF!</v>
      </c>
      <c r="M368" s="335"/>
    </row>
    <row r="369" spans="6:6" ht="13.2" hidden="1" x14ac:dyDescent="0.25">
      <c r="F369"/>
    </row>
    <row r="370" spans="6:6" hidden="1" x14ac:dyDescent="0.2">
      <c r="F370" s="244">
        <v>12990335244.529999</v>
      </c>
    </row>
    <row r="371" spans="6:6" hidden="1" x14ac:dyDescent="0.2"/>
    <row r="372" spans="6:6" hidden="1" x14ac:dyDescent="0.2">
      <c r="F372" s="244" t="e">
        <f>+F368-F370</f>
        <v>#REF!</v>
      </c>
    </row>
    <row r="373" spans="6:6" hidden="1" x14ac:dyDescent="0.2"/>
    <row r="374" spans="6:6" hidden="1" x14ac:dyDescent="0.2">
      <c r="F374" s="244" t="s">
        <v>382</v>
      </c>
    </row>
    <row r="375" spans="6:6" hidden="1" x14ac:dyDescent="0.2"/>
    <row r="376" spans="6:6" hidden="1" x14ac:dyDescent="0.2">
      <c r="F376" s="244">
        <v>0</v>
      </c>
    </row>
    <row r="377" spans="6:6" hidden="1" x14ac:dyDescent="0.2">
      <c r="F377" s="244" t="e">
        <f>+F368-F376</f>
        <v>#REF!</v>
      </c>
    </row>
    <row r="378" spans="6:6" hidden="1" x14ac:dyDescent="0.2"/>
    <row r="379" spans="6:6" hidden="1" x14ac:dyDescent="0.2"/>
    <row r="380" spans="6:6" hidden="1" x14ac:dyDescent="0.2"/>
    <row r="381" spans="6:6" hidden="1" x14ac:dyDescent="0.2"/>
  </sheetData>
  <mergeCells count="18">
    <mergeCell ref="A1:L1"/>
    <mergeCell ref="A2:L2"/>
    <mergeCell ref="A3:L3"/>
    <mergeCell ref="A4:L4"/>
    <mergeCell ref="A5:L5"/>
    <mergeCell ref="P7:Q7"/>
    <mergeCell ref="R7:S7"/>
    <mergeCell ref="A368:D368"/>
    <mergeCell ref="P6:Q6"/>
    <mergeCell ref="R6:S6"/>
    <mergeCell ref="A7:F8"/>
    <mergeCell ref="K7:K8"/>
    <mergeCell ref="L7:L8"/>
    <mergeCell ref="C198:D198"/>
    <mergeCell ref="D200:E200"/>
    <mergeCell ref="D216:E216"/>
    <mergeCell ref="N7:O7"/>
    <mergeCell ref="N6:O6"/>
  </mergeCells>
  <printOptions horizontalCentered="1"/>
  <pageMargins left="0.59055118110236227" right="0.59055118110236227" top="0.78740157480314965" bottom="0.78740157480314965" header="0.59055118110236227" footer="0.59055118110236227"/>
  <pageSetup scale="65" firstPageNumber="59" orientation="landscape" useFirstPageNumber="1" r:id="rId1"/>
  <headerFooter>
    <oddFooter>&amp;C&amp;P</oddFooter>
  </headerFooter>
  <ignoredErrors>
    <ignoredError sqref="I23:I368" numberStoredAsText="1"/>
  </ignoredError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oja23"/>
  <dimension ref="A1"/>
  <sheetViews>
    <sheetView workbookViewId="0"/>
  </sheetViews>
  <sheetFormatPr baseColWidth="10" defaultRowHeight="13.2" x14ac:dyDescent="0.25"/>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Hoja24"/>
  <dimension ref="A1:G1036"/>
  <sheetViews>
    <sheetView showGridLines="0" topLeftCell="A191" zoomScale="80" zoomScaleNormal="80" workbookViewId="0">
      <selection activeCell="E215" sqref="E215"/>
    </sheetView>
  </sheetViews>
  <sheetFormatPr baseColWidth="10" defaultRowHeight="13.2" outlineLevelRow="1" x14ac:dyDescent="0.25"/>
  <cols>
    <col min="1" max="1" width="46.44140625" style="81" bestFit="1" customWidth="1"/>
    <col min="2" max="2" width="14.5546875" style="81" bestFit="1" customWidth="1"/>
    <col min="3" max="3" width="9.33203125" style="123" customWidth="1"/>
    <col min="4" max="4" width="49.6640625" style="123" customWidth="1"/>
    <col min="5" max="5" width="15" style="129" customWidth="1"/>
    <col min="6" max="6" width="13.109375" hidden="1" customWidth="1"/>
    <col min="7" max="7" width="12.44140625" bestFit="1" customWidth="1"/>
  </cols>
  <sheetData>
    <row r="1" spans="1:5" ht="12" customHeight="1" x14ac:dyDescent="0.25">
      <c r="A1" s="1598"/>
      <c r="B1" s="1598"/>
      <c r="C1" s="1598"/>
      <c r="D1" s="1598"/>
      <c r="E1" s="1598"/>
    </row>
    <row r="2" spans="1:5" ht="12" customHeight="1" x14ac:dyDescent="0.25">
      <c r="A2" s="1599" t="s">
        <v>0</v>
      </c>
      <c r="B2" s="1599"/>
      <c r="C2" s="1599"/>
      <c r="D2" s="1599"/>
      <c r="E2" s="1599"/>
    </row>
    <row r="3" spans="1:5" ht="12" customHeight="1" x14ac:dyDescent="0.25">
      <c r="A3" s="1599" t="s">
        <v>304</v>
      </c>
      <c r="B3" s="1599"/>
      <c r="C3" s="1599"/>
      <c r="D3" s="1599"/>
      <c r="E3" s="1599"/>
    </row>
    <row r="4" spans="1:5" ht="12" customHeight="1" x14ac:dyDescent="0.25">
      <c r="A4" s="1599" t="s">
        <v>432</v>
      </c>
      <c r="B4" s="1599"/>
      <c r="C4" s="1599"/>
      <c r="D4" s="1599"/>
      <c r="E4" s="1599"/>
    </row>
    <row r="5" spans="1:5" ht="12" customHeight="1" thickBot="1" x14ac:dyDescent="0.3">
      <c r="A5" s="1600" t="s">
        <v>305</v>
      </c>
      <c r="B5" s="1600"/>
      <c r="C5" s="1600"/>
      <c r="D5" s="1600"/>
      <c r="E5" s="1600"/>
    </row>
    <row r="6" spans="1:5" ht="12" customHeight="1" thickTop="1" thickBot="1" x14ac:dyDescent="0.3">
      <c r="C6" s="6"/>
      <c r="D6" s="6"/>
      <c r="E6" s="128"/>
    </row>
    <row r="7" spans="1:5" ht="21.9" customHeight="1" thickBot="1" x14ac:dyDescent="0.3">
      <c r="A7" s="236" t="s">
        <v>421</v>
      </c>
      <c r="B7" s="237" t="s">
        <v>44</v>
      </c>
      <c r="C7" s="1596" t="s">
        <v>422</v>
      </c>
      <c r="D7" s="1597"/>
      <c r="E7" s="200" t="s">
        <v>44</v>
      </c>
    </row>
    <row r="8" spans="1:5" ht="11.25" customHeight="1" x14ac:dyDescent="0.25">
      <c r="A8" s="207"/>
      <c r="B8" s="207"/>
      <c r="C8" s="178"/>
      <c r="D8" s="21"/>
      <c r="E8" s="209"/>
    </row>
    <row r="9" spans="1:5" ht="6" customHeight="1" thickBot="1" x14ac:dyDescent="0.3">
      <c r="B9" s="79"/>
      <c r="C9" s="27"/>
      <c r="D9" s="26"/>
      <c r="E9" s="208"/>
    </row>
    <row r="10" spans="1:5" ht="21.9" customHeight="1" thickBot="1" x14ac:dyDescent="0.3">
      <c r="A10" s="210" t="s">
        <v>307</v>
      </c>
      <c r="B10" s="98"/>
      <c r="C10" s="199" t="s">
        <v>70</v>
      </c>
      <c r="D10" s="98" t="s">
        <v>53</v>
      </c>
      <c r="E10" s="203">
        <f>E13+E19+E24+E33+E41+E46</f>
        <v>3276307095</v>
      </c>
    </row>
    <row r="11" spans="1:5" ht="12" hidden="1" customHeight="1" outlineLevel="1" x14ac:dyDescent="0.25">
      <c r="A11" s="14"/>
      <c r="B11" s="79"/>
      <c r="C11" s="198"/>
      <c r="D11" s="179" t="s">
        <v>390</v>
      </c>
      <c r="E11" s="180">
        <f>E15+E16+E21+E26+E27+E28+E29+E30</f>
        <v>2624425772</v>
      </c>
    </row>
    <row r="12" spans="1:5" ht="13.5" customHeight="1" collapsed="1" x14ac:dyDescent="0.25">
      <c r="A12" s="86"/>
      <c r="B12" s="79"/>
      <c r="C12" s="235"/>
      <c r="D12" s="120"/>
      <c r="E12" s="121"/>
    </row>
    <row r="13" spans="1:5" ht="14.25" customHeight="1" x14ac:dyDescent="0.25">
      <c r="A13" s="18" t="s">
        <v>308</v>
      </c>
      <c r="B13" s="82">
        <f>+'[7]CLASIFICACION DE INGRESOS 2015'!F23</f>
        <v>3628000000</v>
      </c>
      <c r="C13" s="211" t="s">
        <v>325</v>
      </c>
      <c r="D13" s="155" t="s">
        <v>71</v>
      </c>
      <c r="E13" s="165">
        <f>SUM(E15:E17)</f>
        <v>1282789134</v>
      </c>
    </row>
    <row r="14" spans="1:5" ht="14.25" customHeight="1" x14ac:dyDescent="0.25">
      <c r="A14" s="18" t="s">
        <v>308</v>
      </c>
      <c r="B14" s="82"/>
      <c r="C14" s="212"/>
      <c r="D14" s="120"/>
      <c r="E14" s="121"/>
    </row>
    <row r="15" spans="1:5" ht="14.25" customHeight="1" x14ac:dyDescent="0.25">
      <c r="A15" s="18" t="s">
        <v>466</v>
      </c>
      <c r="B15" s="82">
        <v>35200000</v>
      </c>
      <c r="C15" s="213" t="s">
        <v>72</v>
      </c>
      <c r="D15" s="37" t="s">
        <v>441</v>
      </c>
      <c r="E15" s="192">
        <f>+'[7]PRESUPUESTO 2015'!BB18</f>
        <v>1117894425</v>
      </c>
    </row>
    <row r="16" spans="1:5" ht="14.25" customHeight="1" x14ac:dyDescent="0.25">
      <c r="A16" s="86"/>
      <c r="B16" s="79"/>
      <c r="C16" s="213" t="s">
        <v>73</v>
      </c>
      <c r="D16" s="37" t="s">
        <v>442</v>
      </c>
      <c r="E16" s="192">
        <f>+'[7]PRESUPUESTO 2015'!BB19-4250192+16378842</f>
        <v>164894709</v>
      </c>
    </row>
    <row r="17" spans="1:5" ht="14.25" hidden="1" customHeight="1" x14ac:dyDescent="0.25">
      <c r="A17" s="86"/>
      <c r="B17" s="79"/>
      <c r="C17" s="213" t="s">
        <v>391</v>
      </c>
      <c r="D17" s="37" t="s">
        <v>374</v>
      </c>
      <c r="E17" s="192">
        <f>+'[7]PRESUPUESTO 2015'!BB20</f>
        <v>0</v>
      </c>
    </row>
    <row r="18" spans="1:5" ht="14.25" customHeight="1" x14ac:dyDescent="0.25">
      <c r="A18" s="86"/>
      <c r="B18" s="79"/>
      <c r="C18" s="214"/>
      <c r="D18" s="67"/>
      <c r="E18" s="193"/>
    </row>
    <row r="19" spans="1:5" ht="14.25" customHeight="1" x14ac:dyDescent="0.25">
      <c r="A19" s="86"/>
      <c r="B19" s="79"/>
      <c r="C19" s="211" t="s">
        <v>74</v>
      </c>
      <c r="D19" s="155" t="s">
        <v>75</v>
      </c>
      <c r="E19" s="165">
        <f>SUM(E21:E22)</f>
        <v>63779159</v>
      </c>
    </row>
    <row r="20" spans="1:5" ht="14.25" customHeight="1" x14ac:dyDescent="0.25">
      <c r="A20" s="86"/>
      <c r="B20" s="79"/>
      <c r="C20" s="212"/>
      <c r="D20" s="120"/>
      <c r="E20" s="121"/>
    </row>
    <row r="21" spans="1:5" ht="14.25" customHeight="1" x14ac:dyDescent="0.25">
      <c r="A21" s="86"/>
      <c r="B21" s="79"/>
      <c r="C21" s="213" t="s">
        <v>76</v>
      </c>
      <c r="D21" s="37" t="s">
        <v>35</v>
      </c>
      <c r="E21" s="192">
        <f>+'[7]PRESUPUESTO 2015'!BB24-1000000</f>
        <v>51579159</v>
      </c>
    </row>
    <row r="22" spans="1:5" ht="14.25" customHeight="1" x14ac:dyDescent="0.25">
      <c r="A22" s="86"/>
      <c r="B22" s="79"/>
      <c r="C22" s="215" t="s">
        <v>77</v>
      </c>
      <c r="D22" s="181" t="s">
        <v>17</v>
      </c>
      <c r="E22" s="192">
        <f>+'[7]PRESUPUESTO 2015'!BB25</f>
        <v>12200000</v>
      </c>
    </row>
    <row r="23" spans="1:5" ht="14.25" customHeight="1" x14ac:dyDescent="0.25">
      <c r="A23" s="86"/>
      <c r="B23" s="79"/>
      <c r="C23" s="216"/>
      <c r="D23" s="182"/>
      <c r="E23" s="194"/>
    </row>
    <row r="24" spans="1:5" ht="14.25" customHeight="1" x14ac:dyDescent="0.25">
      <c r="A24" s="86"/>
      <c r="B24" s="79"/>
      <c r="C24" s="211" t="s">
        <v>78</v>
      </c>
      <c r="D24" s="155" t="s">
        <v>79</v>
      </c>
      <c r="E24" s="165">
        <f>SUM(E26:E30)</f>
        <v>1290057479</v>
      </c>
    </row>
    <row r="25" spans="1:5" ht="14.25" customHeight="1" x14ac:dyDescent="0.25">
      <c r="A25" s="86"/>
      <c r="B25" s="79"/>
      <c r="C25" s="212"/>
      <c r="D25" s="120"/>
      <c r="E25" s="121"/>
    </row>
    <row r="26" spans="1:5" ht="14.25" customHeight="1" x14ac:dyDescent="0.25">
      <c r="A26" s="86"/>
      <c r="B26" s="79"/>
      <c r="C26" s="213" t="s">
        <v>80</v>
      </c>
      <c r="D26" s="37" t="s">
        <v>443</v>
      </c>
      <c r="E26" s="192">
        <f>+'[7]PRESUPUESTO 2015'!BB29-2-164914+635496</f>
        <v>401889525</v>
      </c>
    </row>
    <row r="27" spans="1:5" ht="14.25" customHeight="1" x14ac:dyDescent="0.25">
      <c r="A27" s="86"/>
      <c r="B27" s="79"/>
      <c r="C27" s="213" t="s">
        <v>82</v>
      </c>
      <c r="D27" s="37" t="s">
        <v>444</v>
      </c>
      <c r="E27" s="192">
        <f>+'[7]PRESUPUESTO 2015'!BB30+2443750</f>
        <v>402371838</v>
      </c>
    </row>
    <row r="28" spans="1:5" ht="14.25" customHeight="1" x14ac:dyDescent="0.25">
      <c r="A28" s="86"/>
      <c r="B28" s="79"/>
      <c r="C28" s="213" t="s">
        <v>84</v>
      </c>
      <c r="D28" s="37" t="s">
        <v>14</v>
      </c>
      <c r="E28" s="192">
        <f>+'[7]PRESUPUESTO 2015'!BB31-397899+1802176</f>
        <v>201645586</v>
      </c>
    </row>
    <row r="29" spans="1:5" ht="14.25" customHeight="1" x14ac:dyDescent="0.25">
      <c r="A29" s="86"/>
      <c r="B29" s="79"/>
      <c r="C29" s="213" t="s">
        <v>86</v>
      </c>
      <c r="D29" s="37" t="s">
        <v>445</v>
      </c>
      <c r="E29" s="192">
        <f>+'[7]PRESUPUESTO 2015'!BB32-361597+1637755</f>
        <v>172357746</v>
      </c>
    </row>
    <row r="30" spans="1:5" ht="14.25" customHeight="1" x14ac:dyDescent="0.25">
      <c r="A30" s="86"/>
      <c r="B30" s="79"/>
      <c r="C30" s="213" t="s">
        <v>87</v>
      </c>
      <c r="D30" s="37" t="s">
        <v>88</v>
      </c>
      <c r="E30" s="192">
        <f>+'[7]PRESUPUESTO 2015'!BB33+538920</f>
        <v>111792784</v>
      </c>
    </row>
    <row r="31" spans="1:5" ht="14.25" customHeight="1" x14ac:dyDescent="0.25">
      <c r="A31" s="86"/>
      <c r="B31" s="79"/>
      <c r="C31" s="212"/>
      <c r="D31" s="120"/>
      <c r="E31" s="121"/>
    </row>
    <row r="32" spans="1:5" ht="14.25" customHeight="1" outlineLevel="1" x14ac:dyDescent="0.25">
      <c r="A32" s="86"/>
      <c r="B32" s="79"/>
      <c r="C32" s="217"/>
      <c r="D32" s="179" t="s">
        <v>392</v>
      </c>
      <c r="E32" s="180">
        <f>E35+E36+E37+E38+E39+E43+E44</f>
        <v>638181323</v>
      </c>
    </row>
    <row r="33" spans="1:5" ht="14.25" customHeight="1" x14ac:dyDescent="0.25">
      <c r="A33" s="86"/>
      <c r="B33" s="79"/>
      <c r="C33" s="211" t="s">
        <v>89</v>
      </c>
      <c r="D33" s="155" t="s">
        <v>273</v>
      </c>
      <c r="E33" s="165">
        <f>SUM(E35:E39)</f>
        <v>529111213</v>
      </c>
    </row>
    <row r="34" spans="1:5" ht="14.25" customHeight="1" x14ac:dyDescent="0.25">
      <c r="A34" s="86"/>
      <c r="B34" s="79"/>
      <c r="C34" s="212"/>
      <c r="D34" s="120"/>
      <c r="E34" s="121"/>
    </row>
    <row r="35" spans="1:5" ht="14.25" customHeight="1" x14ac:dyDescent="0.25">
      <c r="A35" s="86"/>
      <c r="B35" s="79"/>
      <c r="C35" s="218" t="s">
        <v>90</v>
      </c>
      <c r="D35" s="37" t="s">
        <v>446</v>
      </c>
      <c r="E35" s="192">
        <f>+'[7]PRESUPUESTO 2015'!BB38-684502+3100261</f>
        <v>347327703</v>
      </c>
    </row>
    <row r="36" spans="1:5" ht="14.25" customHeight="1" x14ac:dyDescent="0.25">
      <c r="A36" s="86"/>
      <c r="B36" s="79"/>
      <c r="C36" s="218" t="s">
        <v>92</v>
      </c>
      <c r="D36" s="37" t="s">
        <v>447</v>
      </c>
      <c r="E36" s="192">
        <f>+'[7]PRESUPUESTO 2015'!BB39-23883+108174</f>
        <v>12118899</v>
      </c>
    </row>
    <row r="37" spans="1:5" ht="14.25" customHeight="1" x14ac:dyDescent="0.25">
      <c r="A37" s="86"/>
      <c r="B37" s="79"/>
      <c r="C37" s="218" t="s">
        <v>93</v>
      </c>
      <c r="D37" s="37" t="s">
        <v>448</v>
      </c>
      <c r="E37" s="192">
        <f>+'[7]PRESUPUESTO 2015'!BB40-71651+324521</f>
        <v>36356702</v>
      </c>
    </row>
    <row r="38" spans="1:5" ht="14.25" customHeight="1" x14ac:dyDescent="0.25">
      <c r="A38" s="86"/>
      <c r="B38" s="79"/>
      <c r="C38" s="218" t="s">
        <v>94</v>
      </c>
      <c r="D38" s="37" t="s">
        <v>95</v>
      </c>
      <c r="E38" s="192">
        <f>+'[7]PRESUPUESTO 2015'!BB41-238835+1081738</f>
        <v>121189010</v>
      </c>
    </row>
    <row r="39" spans="1:5" ht="14.25" customHeight="1" x14ac:dyDescent="0.25">
      <c r="A39" s="86"/>
      <c r="B39" s="79"/>
      <c r="C39" s="218" t="s">
        <v>96</v>
      </c>
      <c r="D39" s="37" t="s">
        <v>449</v>
      </c>
      <c r="E39" s="192">
        <f>+'[7]PRESUPUESTO 2015'!BB42-23883+108174</f>
        <v>12118899</v>
      </c>
    </row>
    <row r="40" spans="1:5" ht="14.25" customHeight="1" x14ac:dyDescent="0.25">
      <c r="A40" s="86"/>
      <c r="B40" s="79"/>
      <c r="C40" s="219"/>
      <c r="D40" s="67"/>
      <c r="E40" s="193"/>
    </row>
    <row r="41" spans="1:5" ht="14.25" customHeight="1" x14ac:dyDescent="0.25">
      <c r="A41" s="86"/>
      <c r="B41" s="79"/>
      <c r="C41" s="211" t="s">
        <v>98</v>
      </c>
      <c r="D41" s="191" t="s">
        <v>99</v>
      </c>
      <c r="E41" s="165">
        <f>SUM(E43:E44)</f>
        <v>109070110</v>
      </c>
    </row>
    <row r="42" spans="1:5" ht="14.25" customHeight="1" x14ac:dyDescent="0.25">
      <c r="A42" s="86"/>
      <c r="B42" s="79"/>
      <c r="C42" s="212"/>
      <c r="D42" s="120"/>
      <c r="E42" s="121"/>
    </row>
    <row r="43" spans="1:5" ht="14.25" customHeight="1" x14ac:dyDescent="0.25">
      <c r="A43" s="86"/>
      <c r="B43" s="79"/>
      <c r="C43" s="218" t="s">
        <v>100</v>
      </c>
      <c r="D43" s="183" t="s">
        <v>450</v>
      </c>
      <c r="E43" s="192">
        <f>+'[7]PRESUPUESTO 2015'!BB46-71651+324521</f>
        <v>36356702</v>
      </c>
    </row>
    <row r="44" spans="1:5" x14ac:dyDescent="0.25">
      <c r="A44" s="86"/>
      <c r="B44" s="79"/>
      <c r="C44" s="218" t="s">
        <v>101</v>
      </c>
      <c r="D44" s="183" t="s">
        <v>451</v>
      </c>
      <c r="E44" s="192">
        <f>+'[7]PRESUPUESTO 2015'!BB47-143301+649043</f>
        <v>72713408</v>
      </c>
    </row>
    <row r="45" spans="1:5" ht="18" customHeight="1" x14ac:dyDescent="0.25">
      <c r="A45" s="86"/>
      <c r="B45" s="79"/>
      <c r="C45" s="219"/>
      <c r="D45" s="67"/>
      <c r="E45" s="193"/>
    </row>
    <row r="46" spans="1:5" ht="15" customHeight="1" x14ac:dyDescent="0.25">
      <c r="A46" s="86"/>
      <c r="B46" s="79"/>
      <c r="C46" s="211" t="s">
        <v>393</v>
      </c>
      <c r="D46" s="191" t="s">
        <v>394</v>
      </c>
      <c r="E46" s="165">
        <f>SUM(E48)</f>
        <v>1500000</v>
      </c>
    </row>
    <row r="47" spans="1:5" ht="14.25" customHeight="1" x14ac:dyDescent="0.25">
      <c r="A47" s="86"/>
      <c r="B47" s="79"/>
      <c r="C47" s="212"/>
      <c r="D47" s="120"/>
      <c r="E47" s="121"/>
    </row>
    <row r="48" spans="1:5" ht="14.25" customHeight="1" x14ac:dyDescent="0.25">
      <c r="A48" s="86"/>
      <c r="B48" s="79"/>
      <c r="C48" s="220" t="s">
        <v>395</v>
      </c>
      <c r="D48" s="181" t="s">
        <v>396</v>
      </c>
      <c r="E48" s="192">
        <f>+'[7]PRESUPUESTO 2015'!BB51</f>
        <v>1500000</v>
      </c>
    </row>
    <row r="49" spans="1:5" ht="14.25" customHeight="1" thickBot="1" x14ac:dyDescent="0.3">
      <c r="A49" s="86"/>
      <c r="B49" s="79"/>
      <c r="C49" s="221"/>
      <c r="D49" s="184"/>
      <c r="E49" s="195"/>
    </row>
    <row r="50" spans="1:5" ht="16.5" customHeight="1" thickBot="1" x14ac:dyDescent="0.3">
      <c r="A50" s="86"/>
      <c r="B50" s="79"/>
      <c r="C50" s="222" t="s">
        <v>103</v>
      </c>
      <c r="D50" s="98" t="s">
        <v>54</v>
      </c>
      <c r="E50" s="149" t="e">
        <f>+E52+E59+E67+E76+E86+E93+E97+E103+E114+E118</f>
        <v>#REF!</v>
      </c>
    </row>
    <row r="51" spans="1:5" ht="14.25" customHeight="1" outlineLevel="1" x14ac:dyDescent="0.25">
      <c r="A51" s="86"/>
      <c r="B51" s="79"/>
      <c r="C51" s="223"/>
      <c r="D51" s="185"/>
      <c r="E51" s="186"/>
    </row>
    <row r="52" spans="1:5" ht="14.25" customHeight="1" outlineLevel="1" x14ac:dyDescent="0.25">
      <c r="A52" s="86"/>
      <c r="B52" s="79"/>
      <c r="C52" s="211" t="s">
        <v>104</v>
      </c>
      <c r="D52" s="191" t="s">
        <v>105</v>
      </c>
      <c r="E52" s="165">
        <f>SUM(E54:E57)</f>
        <v>88901789</v>
      </c>
    </row>
    <row r="53" spans="1:5" ht="14.25" customHeight="1" x14ac:dyDescent="0.25">
      <c r="A53" s="86"/>
      <c r="B53" s="79"/>
      <c r="C53" s="212"/>
      <c r="D53" s="120"/>
      <c r="E53" s="121"/>
    </row>
    <row r="54" spans="1:5" ht="14.25" customHeight="1" x14ac:dyDescent="0.25">
      <c r="A54" s="86"/>
      <c r="B54" s="79"/>
      <c r="C54" s="220" t="s">
        <v>106</v>
      </c>
      <c r="D54" s="181" t="s">
        <v>377</v>
      </c>
      <c r="E54" s="192">
        <f>+'[7]PRESUPUESTO 2015'!BB57-49400000</f>
        <v>73501522</v>
      </c>
    </row>
    <row r="55" spans="1:5" ht="14.25" customHeight="1" x14ac:dyDescent="0.25">
      <c r="A55" s="86"/>
      <c r="B55" s="79"/>
      <c r="C55" s="218" t="s">
        <v>108</v>
      </c>
      <c r="D55" s="37" t="s">
        <v>109</v>
      </c>
      <c r="E55" s="192">
        <f>+'[7]PRESUPUESTO 2015'!BB58</f>
        <v>11166667</v>
      </c>
    </row>
    <row r="56" spans="1:5" ht="14.25" customHeight="1" x14ac:dyDescent="0.25">
      <c r="A56" s="86"/>
      <c r="B56" s="79"/>
      <c r="C56" s="218" t="s">
        <v>110</v>
      </c>
      <c r="D56" s="37" t="s">
        <v>111</v>
      </c>
      <c r="E56" s="192">
        <f>+'[7]PRESUPUESTO 2015'!BB59</f>
        <v>4233600</v>
      </c>
    </row>
    <row r="57" spans="1:5" ht="14.25" hidden="1" customHeight="1" x14ac:dyDescent="0.25">
      <c r="A57" s="86"/>
      <c r="B57" s="79"/>
      <c r="C57" s="218" t="s">
        <v>112</v>
      </c>
      <c r="D57" s="37" t="s">
        <v>113</v>
      </c>
      <c r="E57" s="192">
        <f>+'[7]PRESUPUESTO 2015'!BB60</f>
        <v>0</v>
      </c>
    </row>
    <row r="58" spans="1:5" ht="14.25" customHeight="1" x14ac:dyDescent="0.25">
      <c r="A58" s="86"/>
      <c r="B58" s="79"/>
      <c r="C58" s="224"/>
      <c r="D58" s="182"/>
      <c r="E58" s="194"/>
    </row>
    <row r="59" spans="1:5" ht="14.25" customHeight="1" x14ac:dyDescent="0.25">
      <c r="A59" s="86"/>
      <c r="B59" s="79"/>
      <c r="C59" s="211" t="s">
        <v>114</v>
      </c>
      <c r="D59" s="191" t="s">
        <v>115</v>
      </c>
      <c r="E59" s="165">
        <f>SUM(E61:E65)</f>
        <v>13334990</v>
      </c>
    </row>
    <row r="60" spans="1:5" ht="14.25" customHeight="1" outlineLevel="1" x14ac:dyDescent="0.25">
      <c r="A60" s="86"/>
      <c r="B60" s="79"/>
      <c r="C60" s="212"/>
      <c r="D60" s="120"/>
      <c r="E60" s="121"/>
    </row>
    <row r="61" spans="1:5" ht="14.25" customHeight="1" x14ac:dyDescent="0.25">
      <c r="A61" s="86"/>
      <c r="B61" s="79"/>
      <c r="C61" s="220" t="s">
        <v>116</v>
      </c>
      <c r="D61" s="181" t="s">
        <v>117</v>
      </c>
      <c r="E61" s="192">
        <f>+'[7]PRESUPUESTO 2015'!BB64</f>
        <v>2967657</v>
      </c>
    </row>
    <row r="62" spans="1:5" ht="14.25" customHeight="1" x14ac:dyDescent="0.25">
      <c r="A62" s="86"/>
      <c r="B62" s="79"/>
      <c r="C62" s="220" t="s">
        <v>118</v>
      </c>
      <c r="D62" s="187" t="s">
        <v>119</v>
      </c>
      <c r="E62" s="192">
        <f>+'[7]PRESUPUESTO 2015'!BB65</f>
        <v>4796255</v>
      </c>
    </row>
    <row r="63" spans="1:5" ht="14.25" customHeight="1" x14ac:dyDescent="0.25">
      <c r="A63" s="86"/>
      <c r="B63" s="79"/>
      <c r="C63" s="218" t="s">
        <v>120</v>
      </c>
      <c r="D63" s="37" t="s">
        <v>121</v>
      </c>
      <c r="E63" s="192">
        <f>+'[7]PRESUPUESTO 2015'!BB66</f>
        <v>740000</v>
      </c>
    </row>
    <row r="64" spans="1:5" ht="14.25" customHeight="1" x14ac:dyDescent="0.25">
      <c r="A64" s="86"/>
      <c r="B64" s="79"/>
      <c r="C64" s="218" t="s">
        <v>326</v>
      </c>
      <c r="D64" s="37" t="s">
        <v>122</v>
      </c>
      <c r="E64" s="192">
        <f>+'[7]PRESUPUESTO 2015'!BB67</f>
        <v>3356635</v>
      </c>
    </row>
    <row r="65" spans="1:5" ht="14.25" customHeight="1" x14ac:dyDescent="0.25">
      <c r="A65" s="86"/>
      <c r="B65" s="79"/>
      <c r="C65" s="220" t="s">
        <v>123</v>
      </c>
      <c r="D65" s="181" t="s">
        <v>124</v>
      </c>
      <c r="E65" s="192">
        <f>+'[7]PRESUPUESTO 2015'!BB68</f>
        <v>1474443</v>
      </c>
    </row>
    <row r="66" spans="1:5" ht="14.25" customHeight="1" x14ac:dyDescent="0.25">
      <c r="A66" s="86"/>
      <c r="B66" s="79"/>
      <c r="C66" s="224"/>
      <c r="D66" s="182"/>
      <c r="E66" s="194"/>
    </row>
    <row r="67" spans="1:5" ht="14.25" customHeight="1" x14ac:dyDescent="0.25">
      <c r="A67" s="86"/>
      <c r="B67" s="79"/>
      <c r="C67" s="211" t="s">
        <v>125</v>
      </c>
      <c r="D67" s="191" t="s">
        <v>126</v>
      </c>
      <c r="E67" s="165" t="e">
        <f>SUM(E69:E74)</f>
        <v>#REF!</v>
      </c>
    </row>
    <row r="68" spans="1:5" ht="14.25" customHeight="1" outlineLevel="1" x14ac:dyDescent="0.25">
      <c r="A68" s="86"/>
      <c r="B68" s="79"/>
      <c r="C68" s="212"/>
      <c r="D68" s="120"/>
      <c r="E68" s="121"/>
    </row>
    <row r="69" spans="1:5" ht="14.25" customHeight="1" x14ac:dyDescent="0.25">
      <c r="A69" s="86"/>
      <c r="B69" s="79"/>
      <c r="C69" s="218" t="s">
        <v>127</v>
      </c>
      <c r="D69" s="37" t="s">
        <v>436</v>
      </c>
      <c r="E69" s="192" t="e">
        <v>#REF!</v>
      </c>
    </row>
    <row r="70" spans="1:5" x14ac:dyDescent="0.25">
      <c r="A70" s="86"/>
      <c r="B70" s="79"/>
      <c r="C70" s="218" t="s">
        <v>129</v>
      </c>
      <c r="D70" s="37" t="s">
        <v>437</v>
      </c>
      <c r="E70" s="192" t="e">
        <v>#REF!</v>
      </c>
    </row>
    <row r="71" spans="1:5" ht="14.25" customHeight="1" x14ac:dyDescent="0.25">
      <c r="A71" s="86"/>
      <c r="B71" s="79"/>
      <c r="C71" s="218" t="s">
        <v>131</v>
      </c>
      <c r="D71" s="37" t="s">
        <v>438</v>
      </c>
      <c r="E71" s="192">
        <f>+'[7]PRESUPUESTO 2015'!BB74</f>
        <v>7143490</v>
      </c>
    </row>
    <row r="72" spans="1:5" ht="14.25" customHeight="1" x14ac:dyDescent="0.25">
      <c r="A72" s="86"/>
      <c r="B72" s="79"/>
      <c r="C72" s="218" t="s">
        <v>133</v>
      </c>
      <c r="D72" s="37" t="s">
        <v>439</v>
      </c>
      <c r="E72" s="192">
        <f>+'[7]PRESUPUESTO 2015'!BB75</f>
        <v>565000</v>
      </c>
    </row>
    <row r="73" spans="1:5" ht="14.25" customHeight="1" x14ac:dyDescent="0.25">
      <c r="A73" s="86"/>
      <c r="B73" s="79"/>
      <c r="C73" s="220" t="s">
        <v>137</v>
      </c>
      <c r="D73" s="181" t="s">
        <v>452</v>
      </c>
      <c r="E73" s="192">
        <f>+'[7]PRESUPUESTO 2015'!BB76</f>
        <v>868100</v>
      </c>
    </row>
    <row r="74" spans="1:5" ht="14.25" hidden="1" customHeight="1" x14ac:dyDescent="0.25">
      <c r="A74" s="86"/>
      <c r="B74" s="79"/>
      <c r="C74" s="218" t="s">
        <v>397</v>
      </c>
      <c r="D74" s="37" t="s">
        <v>398</v>
      </c>
      <c r="E74" s="192">
        <f>+'[7]PRESUPUESTO 2015'!BB77</f>
        <v>0</v>
      </c>
    </row>
    <row r="75" spans="1:5" ht="14.25" customHeight="1" x14ac:dyDescent="0.25">
      <c r="A75" s="86"/>
      <c r="B75" s="79"/>
      <c r="C75" s="219"/>
      <c r="D75" s="67"/>
      <c r="E75" s="193"/>
    </row>
    <row r="76" spans="1:5" ht="14.25" customHeight="1" x14ac:dyDescent="0.25">
      <c r="A76" s="86"/>
      <c r="B76" s="79"/>
      <c r="C76" s="211" t="s">
        <v>139</v>
      </c>
      <c r="D76" s="191" t="s">
        <v>140</v>
      </c>
      <c r="E76" s="165">
        <f>SUM(E78:E84)</f>
        <v>15196940</v>
      </c>
    </row>
    <row r="77" spans="1:5" ht="14.25" customHeight="1" outlineLevel="1" x14ac:dyDescent="0.25">
      <c r="A77" s="86"/>
      <c r="B77" s="79"/>
      <c r="C77" s="212"/>
      <c r="D77" s="120"/>
      <c r="E77" s="121"/>
    </row>
    <row r="78" spans="1:5" ht="14.25" customHeight="1" x14ac:dyDescent="0.25">
      <c r="A78" s="86"/>
      <c r="B78" s="79"/>
      <c r="C78" s="225" t="s">
        <v>399</v>
      </c>
      <c r="D78" s="37" t="s">
        <v>400</v>
      </c>
      <c r="E78" s="192">
        <f>+'[7]PRESUPUESTO 2015'!BB81</f>
        <v>1000000</v>
      </c>
    </row>
    <row r="79" spans="1:5" ht="14.25" hidden="1" customHeight="1" x14ac:dyDescent="0.25">
      <c r="A79" s="86"/>
      <c r="B79" s="79"/>
      <c r="C79" s="225"/>
      <c r="D79" s="37"/>
      <c r="E79" s="192">
        <f>+'[7]PRESUPUESTO 2015'!BB82</f>
        <v>0</v>
      </c>
    </row>
    <row r="80" spans="1:5" ht="14.25" hidden="1" customHeight="1" x14ac:dyDescent="0.25">
      <c r="A80" s="86"/>
      <c r="B80" s="79"/>
      <c r="C80" s="225" t="s">
        <v>343</v>
      </c>
      <c r="D80" s="37" t="s">
        <v>401</v>
      </c>
      <c r="E80" s="192">
        <f>+'[7]PRESUPUESTO 2015'!BB83</f>
        <v>0</v>
      </c>
    </row>
    <row r="81" spans="1:5" ht="14.25" customHeight="1" x14ac:dyDescent="0.25">
      <c r="A81" s="86"/>
      <c r="B81" s="79"/>
      <c r="C81" s="225" t="s">
        <v>141</v>
      </c>
      <c r="D81" s="37" t="s">
        <v>142</v>
      </c>
      <c r="E81" s="192">
        <f>+'[7]PRESUPUESTO 2015'!BB84</f>
        <v>4600000</v>
      </c>
    </row>
    <row r="82" spans="1:5" ht="14.25" hidden="1" customHeight="1" x14ac:dyDescent="0.25">
      <c r="A82" s="86"/>
      <c r="B82" s="79"/>
      <c r="C82" s="225" t="s">
        <v>143</v>
      </c>
      <c r="D82" s="37" t="s">
        <v>144</v>
      </c>
      <c r="E82" s="192">
        <f>+'[7]PRESUPUESTO 2015'!BB85</f>
        <v>0</v>
      </c>
    </row>
    <row r="83" spans="1:5" ht="14.25" customHeight="1" x14ac:dyDescent="0.25">
      <c r="A83" s="86"/>
      <c r="B83" s="79"/>
      <c r="C83" s="226" t="s">
        <v>145</v>
      </c>
      <c r="D83" s="181" t="s">
        <v>146</v>
      </c>
      <c r="E83" s="192">
        <f>+'[7]PRESUPUESTO 2015'!BB86</f>
        <v>8246940</v>
      </c>
    </row>
    <row r="84" spans="1:5" ht="14.25" customHeight="1" x14ac:dyDescent="0.25">
      <c r="A84" s="86"/>
      <c r="B84" s="79"/>
      <c r="C84" s="226" t="s">
        <v>147</v>
      </c>
      <c r="D84" s="181" t="s">
        <v>148</v>
      </c>
      <c r="E84" s="192">
        <f>+'[7]PRESUPUESTO 2015'!BB87-3000000</f>
        <v>1350000</v>
      </c>
    </row>
    <row r="85" spans="1:5" ht="14.25" customHeight="1" x14ac:dyDescent="0.25">
      <c r="A85" s="86"/>
      <c r="B85" s="79"/>
      <c r="C85" s="219"/>
      <c r="D85" s="67"/>
      <c r="E85" s="193"/>
    </row>
    <row r="86" spans="1:5" ht="14.25" customHeight="1" x14ac:dyDescent="0.25">
      <c r="A86" s="86"/>
      <c r="B86" s="79"/>
      <c r="C86" s="211" t="s">
        <v>149</v>
      </c>
      <c r="D86" s="191" t="s">
        <v>150</v>
      </c>
      <c r="E86" s="165">
        <f>SUM(E88:E91)</f>
        <v>100062622</v>
      </c>
    </row>
    <row r="87" spans="1:5" ht="14.25" customHeight="1" x14ac:dyDescent="0.25">
      <c r="A87" s="86"/>
      <c r="B87" s="79"/>
      <c r="C87" s="212"/>
      <c r="D87" s="120"/>
      <c r="E87" s="121"/>
    </row>
    <row r="88" spans="1:5" ht="14.25" customHeight="1" x14ac:dyDescent="0.25">
      <c r="A88" s="86"/>
      <c r="B88" s="79"/>
      <c r="C88" s="218" t="s">
        <v>151</v>
      </c>
      <c r="D88" s="37" t="s">
        <v>152</v>
      </c>
      <c r="E88" s="192">
        <f>+'[7]PRESUPUESTO 2015'!BB91</f>
        <v>1110000</v>
      </c>
    </row>
    <row r="89" spans="1:5" ht="14.25" customHeight="1" x14ac:dyDescent="0.25">
      <c r="A89" s="86"/>
      <c r="B89" s="79"/>
      <c r="C89" s="218" t="s">
        <v>153</v>
      </c>
      <c r="D89" s="37" t="s">
        <v>453</v>
      </c>
      <c r="E89" s="192">
        <f>+'[7]PRESUPUESTO 2015'!BB92</f>
        <v>85252622</v>
      </c>
    </row>
    <row r="90" spans="1:5" ht="14.25" customHeight="1" x14ac:dyDescent="0.25">
      <c r="A90" s="86"/>
      <c r="B90" s="79"/>
      <c r="C90" s="218" t="s">
        <v>155</v>
      </c>
      <c r="D90" s="37" t="s">
        <v>156</v>
      </c>
      <c r="E90" s="192">
        <f>+'[7]PRESUPUESTO 2015'!BB93</f>
        <v>7500000</v>
      </c>
    </row>
    <row r="91" spans="1:5" ht="14.25" customHeight="1" x14ac:dyDescent="0.25">
      <c r="A91" s="86"/>
      <c r="B91" s="79"/>
      <c r="C91" s="218" t="s">
        <v>157</v>
      </c>
      <c r="D91" s="37" t="s">
        <v>454</v>
      </c>
      <c r="E91" s="192">
        <f>+'[7]PRESUPUESTO 2015'!BB94</f>
        <v>6200000</v>
      </c>
    </row>
    <row r="92" spans="1:5" ht="14.25" customHeight="1" x14ac:dyDescent="0.25">
      <c r="A92" s="86"/>
      <c r="B92" s="79"/>
      <c r="C92" s="219"/>
      <c r="D92" s="67"/>
      <c r="E92" s="193"/>
    </row>
    <row r="93" spans="1:5" ht="14.25" customHeight="1" x14ac:dyDescent="0.25">
      <c r="A93" s="86"/>
      <c r="B93" s="79"/>
      <c r="C93" s="211" t="s">
        <v>159</v>
      </c>
      <c r="D93" s="191" t="s">
        <v>275</v>
      </c>
      <c r="E93" s="165">
        <f>SUM(E95)</f>
        <v>46752560</v>
      </c>
    </row>
    <row r="94" spans="1:5" ht="14.25" customHeight="1" x14ac:dyDescent="0.25">
      <c r="A94" s="86"/>
      <c r="B94" s="79"/>
      <c r="C94" s="212"/>
      <c r="D94" s="120"/>
      <c r="E94" s="121"/>
    </row>
    <row r="95" spans="1:5" ht="14.25" customHeight="1" x14ac:dyDescent="0.25">
      <c r="A95" s="86"/>
      <c r="B95" s="79"/>
      <c r="C95" s="220" t="s">
        <v>160</v>
      </c>
      <c r="D95" s="181" t="s">
        <v>161</v>
      </c>
      <c r="E95" s="192">
        <f>+'[7]PRESUPUESTO 2015'!BB98-62690</f>
        <v>46752560</v>
      </c>
    </row>
    <row r="96" spans="1:5" ht="14.25" customHeight="1" x14ac:dyDescent="0.25">
      <c r="A96" s="86"/>
      <c r="B96" s="79"/>
      <c r="C96" s="224"/>
      <c r="D96" s="182"/>
      <c r="E96" s="194"/>
    </row>
    <row r="97" spans="1:5" ht="14.25" customHeight="1" x14ac:dyDescent="0.25">
      <c r="A97" s="86"/>
      <c r="B97" s="79"/>
      <c r="C97" s="211" t="s">
        <v>162</v>
      </c>
      <c r="D97" s="191" t="s">
        <v>163</v>
      </c>
      <c r="E97" s="165">
        <f>SUM(E99:E101)</f>
        <v>32952000</v>
      </c>
    </row>
    <row r="98" spans="1:5" ht="14.25" customHeight="1" x14ac:dyDescent="0.25">
      <c r="A98" s="86"/>
      <c r="B98" s="79"/>
      <c r="C98" s="212"/>
      <c r="D98" s="120"/>
      <c r="E98" s="121"/>
    </row>
    <row r="99" spans="1:5" ht="14.25" customHeight="1" x14ac:dyDescent="0.25">
      <c r="A99" s="86"/>
      <c r="B99" s="79"/>
      <c r="C99" s="218" t="s">
        <v>164</v>
      </c>
      <c r="D99" s="37" t="s">
        <v>165</v>
      </c>
      <c r="E99" s="192">
        <f>+'[7]PRESUPUESTO 2015'!BB102</f>
        <v>32852000</v>
      </c>
    </row>
    <row r="100" spans="1:5" ht="14.25" customHeight="1" x14ac:dyDescent="0.25">
      <c r="A100" s="86"/>
      <c r="B100" s="79"/>
      <c r="C100" s="218" t="s">
        <v>166</v>
      </c>
      <c r="D100" s="37" t="s">
        <v>167</v>
      </c>
      <c r="E100" s="192">
        <f>+'[7]PRESUPUESTO 2015'!BB103</f>
        <v>100000</v>
      </c>
    </row>
    <row r="101" spans="1:5" ht="14.25" hidden="1" customHeight="1" x14ac:dyDescent="0.25">
      <c r="A101" s="86"/>
      <c r="B101" s="79"/>
      <c r="C101" s="220" t="s">
        <v>168</v>
      </c>
      <c r="D101" s="181" t="s">
        <v>169</v>
      </c>
      <c r="E101" s="192">
        <f>+'[7]PRESUPUESTO 2015'!BB104</f>
        <v>0</v>
      </c>
    </row>
    <row r="102" spans="1:5" ht="14.25" customHeight="1" x14ac:dyDescent="0.25">
      <c r="A102" s="86"/>
      <c r="B102" s="79"/>
      <c r="C102" s="224"/>
      <c r="D102" s="182"/>
      <c r="E102" s="194"/>
    </row>
    <row r="103" spans="1:5" ht="14.25" customHeight="1" x14ac:dyDescent="0.25">
      <c r="A103" s="86"/>
      <c r="B103" s="79"/>
      <c r="C103" s="211" t="s">
        <v>170</v>
      </c>
      <c r="D103" s="191" t="s">
        <v>171</v>
      </c>
      <c r="E103" s="165">
        <f>SUM(E105:E112)</f>
        <v>16346500</v>
      </c>
    </row>
    <row r="104" spans="1:5" ht="14.25" customHeight="1" x14ac:dyDescent="0.25">
      <c r="A104" s="86"/>
      <c r="B104" s="79"/>
      <c r="C104" s="212"/>
      <c r="D104" s="120"/>
      <c r="E104" s="121"/>
    </row>
    <row r="105" spans="1:5" ht="14.25" customHeight="1" outlineLevel="1" x14ac:dyDescent="0.25">
      <c r="A105" s="86"/>
      <c r="B105" s="79"/>
      <c r="C105" s="218" t="s">
        <v>172</v>
      </c>
      <c r="D105" s="37" t="s">
        <v>173</v>
      </c>
      <c r="E105" s="192">
        <f>+'[7]PRESUPUESTO 2015'!BB108</f>
        <v>3300000</v>
      </c>
    </row>
    <row r="106" spans="1:5" ht="14.25" customHeight="1" x14ac:dyDescent="0.25">
      <c r="A106" s="86"/>
      <c r="B106" s="79"/>
      <c r="C106" s="218" t="s">
        <v>174</v>
      </c>
      <c r="D106" s="37" t="s">
        <v>175</v>
      </c>
      <c r="E106" s="192">
        <f>+'[7]PRESUPUESTO 2015'!BB109</f>
        <v>300000</v>
      </c>
    </row>
    <row r="107" spans="1:5" ht="14.25" customHeight="1" x14ac:dyDescent="0.25">
      <c r="A107" s="86"/>
      <c r="B107" s="79"/>
      <c r="C107" s="218" t="s">
        <v>402</v>
      </c>
      <c r="D107" s="37" t="s">
        <v>455</v>
      </c>
      <c r="E107" s="192">
        <f>+'[7]PRESUPUESTO 2015'!BB110</f>
        <v>60000</v>
      </c>
    </row>
    <row r="108" spans="1:5" ht="14.25" customHeight="1" x14ac:dyDescent="0.25">
      <c r="A108" s="86"/>
      <c r="B108" s="79"/>
      <c r="C108" s="218" t="s">
        <v>176</v>
      </c>
      <c r="D108" s="37" t="s">
        <v>177</v>
      </c>
      <c r="E108" s="192">
        <f>+'[7]PRESUPUESTO 2015'!BB111</f>
        <v>2377500</v>
      </c>
    </row>
    <row r="109" spans="1:5" ht="14.25" customHeight="1" x14ac:dyDescent="0.25">
      <c r="A109" s="86"/>
      <c r="B109" s="79"/>
      <c r="C109" s="218" t="s">
        <v>178</v>
      </c>
      <c r="D109" s="37" t="s">
        <v>179</v>
      </c>
      <c r="E109" s="192">
        <f>+'[7]PRESUPUESTO 2015'!BB112</f>
        <v>300000</v>
      </c>
    </row>
    <row r="110" spans="1:5" ht="14.25" customHeight="1" x14ac:dyDescent="0.25">
      <c r="A110" s="86"/>
      <c r="B110" s="79"/>
      <c r="C110" s="218" t="s">
        <v>180</v>
      </c>
      <c r="D110" s="37" t="s">
        <v>456</v>
      </c>
      <c r="E110" s="192">
        <f>+'[7]PRESUPUESTO 2015'!BB113</f>
        <v>2986000</v>
      </c>
    </row>
    <row r="111" spans="1:5" ht="26.4" x14ac:dyDescent="0.25">
      <c r="A111" s="86"/>
      <c r="B111" s="79"/>
      <c r="C111" s="218" t="s">
        <v>182</v>
      </c>
      <c r="D111" s="37" t="s">
        <v>276</v>
      </c>
      <c r="E111" s="192">
        <f>+'[7]PRESUPUESTO 2015'!BB114</f>
        <v>6823000</v>
      </c>
    </row>
    <row r="112" spans="1:5" ht="18" customHeight="1" x14ac:dyDescent="0.25">
      <c r="A112" s="86"/>
      <c r="B112" s="79"/>
      <c r="C112" s="218" t="s">
        <v>183</v>
      </c>
      <c r="D112" s="37" t="s">
        <v>184</v>
      </c>
      <c r="E112" s="192">
        <f>+'[7]PRESUPUESTO 2015'!BB115</f>
        <v>200000</v>
      </c>
    </row>
    <row r="113" spans="1:5" ht="10.199999999999999" customHeight="1" x14ac:dyDescent="0.25">
      <c r="A113" s="86"/>
      <c r="B113" s="79"/>
      <c r="C113" s="219"/>
      <c r="D113" s="67"/>
      <c r="E113" s="193"/>
    </row>
    <row r="114" spans="1:5" ht="14.25" customHeight="1" x14ac:dyDescent="0.25">
      <c r="A114" s="86"/>
      <c r="B114" s="79"/>
      <c r="C114" s="211" t="s">
        <v>404</v>
      </c>
      <c r="D114" s="191" t="s">
        <v>405</v>
      </c>
      <c r="E114" s="165">
        <f>SUM(E116)</f>
        <v>558423.16999999993</v>
      </c>
    </row>
    <row r="115" spans="1:5" ht="14.25" customHeight="1" x14ac:dyDescent="0.25">
      <c r="A115" s="86"/>
      <c r="B115" s="79"/>
      <c r="C115" s="212"/>
      <c r="D115" s="120"/>
      <c r="E115" s="121"/>
    </row>
    <row r="116" spans="1:5" ht="14.25" customHeight="1" x14ac:dyDescent="0.25">
      <c r="A116" s="86"/>
      <c r="B116" s="79"/>
      <c r="C116" s="220" t="s">
        <v>406</v>
      </c>
      <c r="D116" s="181" t="s">
        <v>407</v>
      </c>
      <c r="E116" s="192">
        <f>+'[7]PRESUPUESTO 2015'!BB119</f>
        <v>558423.16999999993</v>
      </c>
    </row>
    <row r="117" spans="1:5" ht="14.25" customHeight="1" x14ac:dyDescent="0.25">
      <c r="A117" s="86"/>
      <c r="B117" s="79"/>
      <c r="C117" s="224"/>
      <c r="D117" s="182"/>
      <c r="E117" s="194"/>
    </row>
    <row r="118" spans="1:5" ht="14.25" customHeight="1" x14ac:dyDescent="0.25">
      <c r="A118" s="86"/>
      <c r="B118" s="79"/>
      <c r="C118" s="211" t="s">
        <v>185</v>
      </c>
      <c r="D118" s="191" t="s">
        <v>186</v>
      </c>
      <c r="E118" s="165">
        <f>SUM(E120:E122)</f>
        <v>958423.14000000013</v>
      </c>
    </row>
    <row r="119" spans="1:5" ht="14.25" customHeight="1" outlineLevel="1" x14ac:dyDescent="0.25">
      <c r="A119" s="86"/>
      <c r="B119" s="79"/>
      <c r="C119" s="212"/>
      <c r="D119" s="120"/>
      <c r="E119" s="121"/>
    </row>
    <row r="120" spans="1:5" ht="14.25" hidden="1" customHeight="1" x14ac:dyDescent="0.25">
      <c r="A120" s="86"/>
      <c r="B120" s="79"/>
      <c r="C120" s="220" t="s">
        <v>408</v>
      </c>
      <c r="D120" s="181" t="s">
        <v>409</v>
      </c>
      <c r="E120" s="192">
        <f>+'[7]PRESUPUESTO 2015'!BB123</f>
        <v>0</v>
      </c>
    </row>
    <row r="121" spans="1:5" ht="14.25" customHeight="1" x14ac:dyDescent="0.25">
      <c r="A121" s="86"/>
      <c r="B121" s="79"/>
      <c r="C121" s="218" t="s">
        <v>187</v>
      </c>
      <c r="D121" s="37" t="s">
        <v>188</v>
      </c>
      <c r="E121" s="192">
        <f>+'[7]PRESUPUESTO 2015'!BB124</f>
        <v>558423.14000000013</v>
      </c>
    </row>
    <row r="122" spans="1:5" ht="14.25" customHeight="1" x14ac:dyDescent="0.25">
      <c r="A122" s="86"/>
      <c r="B122" s="79"/>
      <c r="C122" s="218" t="s">
        <v>189</v>
      </c>
      <c r="D122" s="37" t="s">
        <v>190</v>
      </c>
      <c r="E122" s="192">
        <f>+'[7]PRESUPUESTO 2015'!BB125</f>
        <v>400000</v>
      </c>
    </row>
    <row r="123" spans="1:5" ht="14.25" customHeight="1" thickBot="1" x14ac:dyDescent="0.3">
      <c r="A123" s="86"/>
      <c r="B123" s="79"/>
      <c r="C123" s="227"/>
      <c r="D123" s="188"/>
      <c r="E123" s="196"/>
    </row>
    <row r="124" spans="1:5" ht="18" customHeight="1" collapsed="1" thickBot="1" x14ac:dyDescent="0.3">
      <c r="A124" s="86"/>
      <c r="B124" s="79"/>
      <c r="C124" s="222">
        <v>2</v>
      </c>
      <c r="D124" s="98" t="s">
        <v>22</v>
      </c>
      <c r="E124" s="149">
        <f>+E126+E133+E137+E146+E151</f>
        <v>37227877.659999996</v>
      </c>
    </row>
    <row r="125" spans="1:5" ht="14.25" customHeight="1" x14ac:dyDescent="0.25">
      <c r="A125" s="86"/>
      <c r="B125" s="79"/>
      <c r="C125" s="223"/>
      <c r="D125" s="185"/>
      <c r="E125" s="186"/>
    </row>
    <row r="126" spans="1:5" ht="14.25" customHeight="1" x14ac:dyDescent="0.25">
      <c r="A126" s="86"/>
      <c r="B126" s="79"/>
      <c r="C126" s="211" t="s">
        <v>191</v>
      </c>
      <c r="D126" s="191" t="s">
        <v>192</v>
      </c>
      <c r="E126" s="165">
        <f>SUM(E128:E131)</f>
        <v>11688419</v>
      </c>
    </row>
    <row r="127" spans="1:5" ht="14.25" customHeight="1" outlineLevel="1" x14ac:dyDescent="0.25">
      <c r="A127" s="86"/>
      <c r="B127" s="79"/>
      <c r="C127" s="212"/>
      <c r="D127" s="120"/>
      <c r="E127" s="121"/>
    </row>
    <row r="128" spans="1:5" ht="14.25" hidden="1" customHeight="1" outlineLevel="1" x14ac:dyDescent="0.25">
      <c r="A128" s="86"/>
      <c r="B128" s="79"/>
      <c r="C128" s="218" t="s">
        <v>193</v>
      </c>
      <c r="D128" s="37" t="s">
        <v>194</v>
      </c>
      <c r="E128" s="192">
        <f>+'[7]PRESUPUESTO 2015'!BB131</f>
        <v>0</v>
      </c>
    </row>
    <row r="129" spans="1:5" ht="14.25" customHeight="1" x14ac:dyDescent="0.25">
      <c r="A129" s="86"/>
      <c r="B129" s="79"/>
      <c r="C129" s="218" t="s">
        <v>195</v>
      </c>
      <c r="D129" s="37" t="s">
        <v>196</v>
      </c>
      <c r="E129" s="192">
        <f>+'[7]PRESUPUESTO 2015'!BB132</f>
        <v>691200</v>
      </c>
    </row>
    <row r="130" spans="1:5" ht="14.25" customHeight="1" outlineLevel="1" x14ac:dyDescent="0.25">
      <c r="A130" s="86"/>
      <c r="B130" s="79"/>
      <c r="C130" s="218" t="s">
        <v>197</v>
      </c>
      <c r="D130" s="37" t="s">
        <v>198</v>
      </c>
      <c r="E130" s="192">
        <f>+'[7]PRESUPUESTO 2015'!BB133+1366629</f>
        <v>10131919</v>
      </c>
    </row>
    <row r="131" spans="1:5" ht="14.25" customHeight="1" x14ac:dyDescent="0.25">
      <c r="A131" s="86"/>
      <c r="B131" s="79"/>
      <c r="C131" s="218" t="s">
        <v>199</v>
      </c>
      <c r="D131" s="37" t="s">
        <v>457</v>
      </c>
      <c r="E131" s="192">
        <f>+'[7]PRESUPUESTO 2015'!BB134</f>
        <v>865300</v>
      </c>
    </row>
    <row r="132" spans="1:5" ht="14.25" customHeight="1" outlineLevel="1" x14ac:dyDescent="0.25">
      <c r="A132" s="86"/>
      <c r="B132" s="79"/>
      <c r="C132" s="219"/>
      <c r="D132" s="67"/>
      <c r="E132" s="193"/>
    </row>
    <row r="133" spans="1:5" ht="14.25" customHeight="1" x14ac:dyDescent="0.25">
      <c r="A133" s="86"/>
      <c r="B133" s="79"/>
      <c r="C133" s="211" t="s">
        <v>349</v>
      </c>
      <c r="D133" s="191" t="s">
        <v>350</v>
      </c>
      <c r="E133" s="165">
        <f>SUM(E135)</f>
        <v>2001230</v>
      </c>
    </row>
    <row r="134" spans="1:5" ht="14.25" customHeight="1" x14ac:dyDescent="0.25">
      <c r="A134" s="86"/>
      <c r="B134" s="79"/>
      <c r="C134" s="212"/>
      <c r="D134" s="120"/>
      <c r="E134" s="121"/>
    </row>
    <row r="135" spans="1:5" ht="14.25" customHeight="1" x14ac:dyDescent="0.25">
      <c r="A135" s="86"/>
      <c r="B135" s="79"/>
      <c r="C135" s="220" t="s">
        <v>351</v>
      </c>
      <c r="D135" s="181" t="s">
        <v>362</v>
      </c>
      <c r="E135" s="192">
        <f>+'[7]PRESUPUESTO 2015'!BB138</f>
        <v>2001230</v>
      </c>
    </row>
    <row r="136" spans="1:5" ht="14.25" customHeight="1" x14ac:dyDescent="0.25">
      <c r="A136" s="86"/>
      <c r="B136" s="79"/>
      <c r="C136" s="224"/>
      <c r="D136" s="182"/>
      <c r="E136" s="194"/>
    </row>
    <row r="137" spans="1:5" ht="14.25" customHeight="1" x14ac:dyDescent="0.25">
      <c r="A137" s="86"/>
      <c r="B137" s="79"/>
      <c r="C137" s="211" t="s">
        <v>201</v>
      </c>
      <c r="D137" s="191" t="s">
        <v>277</v>
      </c>
      <c r="E137" s="165">
        <f>SUM(E139:E144)</f>
        <v>1963812</v>
      </c>
    </row>
    <row r="138" spans="1:5" ht="14.25" customHeight="1" x14ac:dyDescent="0.25">
      <c r="A138" s="86"/>
      <c r="B138" s="79"/>
      <c r="C138" s="212"/>
      <c r="D138" s="120"/>
      <c r="E138" s="121"/>
    </row>
    <row r="139" spans="1:5" ht="14.25" customHeight="1" x14ac:dyDescent="0.25">
      <c r="A139" s="86"/>
      <c r="B139" s="79"/>
      <c r="C139" s="218" t="s">
        <v>202</v>
      </c>
      <c r="D139" s="37" t="s">
        <v>203</v>
      </c>
      <c r="E139" s="192">
        <f>+'[7]PRESUPUESTO 2015'!BB142</f>
        <v>410252</v>
      </c>
    </row>
    <row r="140" spans="1:5" ht="14.25" customHeight="1" x14ac:dyDescent="0.25">
      <c r="A140" s="86"/>
      <c r="B140" s="79"/>
      <c r="C140" s="218" t="s">
        <v>204</v>
      </c>
      <c r="D140" s="37" t="s">
        <v>458</v>
      </c>
      <c r="E140" s="192">
        <f>+'[7]PRESUPUESTO 2015'!BB143</f>
        <v>37750</v>
      </c>
    </row>
    <row r="141" spans="1:5" ht="14.25" customHeight="1" x14ac:dyDescent="0.25">
      <c r="A141" s="86"/>
      <c r="B141" s="79"/>
      <c r="C141" s="218" t="s">
        <v>206</v>
      </c>
      <c r="D141" s="37" t="s">
        <v>207</v>
      </c>
      <c r="E141" s="192">
        <f>+'[7]PRESUPUESTO 2015'!BB144</f>
        <v>1158720</v>
      </c>
    </row>
    <row r="142" spans="1:5" ht="14.25" customHeight="1" x14ac:dyDescent="0.25">
      <c r="A142" s="86"/>
      <c r="B142" s="79"/>
      <c r="C142" s="218" t="s">
        <v>208</v>
      </c>
      <c r="D142" s="37" t="s">
        <v>209</v>
      </c>
      <c r="E142" s="192">
        <f>+'[7]PRESUPUESTO 2015'!BB145</f>
        <v>80000</v>
      </c>
    </row>
    <row r="143" spans="1:5" ht="14.25" customHeight="1" x14ac:dyDescent="0.25">
      <c r="A143" s="86"/>
      <c r="B143" s="79"/>
      <c r="C143" s="218" t="s">
        <v>210</v>
      </c>
      <c r="D143" s="37" t="s">
        <v>211</v>
      </c>
      <c r="E143" s="192">
        <f>+'[7]PRESUPUESTO 2015'!BB146</f>
        <v>45210</v>
      </c>
    </row>
    <row r="144" spans="1:5" ht="14.25" customHeight="1" x14ac:dyDescent="0.25">
      <c r="A144" s="86"/>
      <c r="B144" s="79"/>
      <c r="C144" s="218" t="s">
        <v>212</v>
      </c>
      <c r="D144" s="37" t="s">
        <v>459</v>
      </c>
      <c r="E144" s="192">
        <f>+'[7]PRESUPUESTO 2015'!BB147</f>
        <v>231880</v>
      </c>
    </row>
    <row r="145" spans="1:5" ht="14.25" customHeight="1" x14ac:dyDescent="0.25">
      <c r="A145" s="86"/>
      <c r="B145" s="79"/>
      <c r="C145" s="219"/>
      <c r="D145" s="67"/>
      <c r="E145" s="193"/>
    </row>
    <row r="146" spans="1:5" ht="14.25" customHeight="1" outlineLevel="1" x14ac:dyDescent="0.25">
      <c r="A146" s="86"/>
      <c r="B146" s="79"/>
      <c r="C146" s="211" t="s">
        <v>214</v>
      </c>
      <c r="D146" s="191" t="s">
        <v>215</v>
      </c>
      <c r="E146" s="165">
        <f>SUM(E148:E149)</f>
        <v>883876</v>
      </c>
    </row>
    <row r="147" spans="1:5" ht="14.25" customHeight="1" outlineLevel="1" x14ac:dyDescent="0.25">
      <c r="A147" s="86"/>
      <c r="B147" s="79"/>
      <c r="C147" s="212"/>
      <c r="D147" s="120"/>
      <c r="E147" s="121"/>
    </row>
    <row r="148" spans="1:5" ht="14.25" customHeight="1" x14ac:dyDescent="0.25">
      <c r="A148" s="86"/>
      <c r="B148" s="79"/>
      <c r="C148" s="218" t="s">
        <v>216</v>
      </c>
      <c r="D148" s="37" t="s">
        <v>217</v>
      </c>
      <c r="E148" s="192">
        <f>+'[7]PRESUPUESTO 2015'!BB151</f>
        <v>45400</v>
      </c>
    </row>
    <row r="149" spans="1:5" ht="14.25" customHeight="1" x14ac:dyDescent="0.25">
      <c r="A149" s="86"/>
      <c r="B149" s="79"/>
      <c r="C149" s="218" t="s">
        <v>218</v>
      </c>
      <c r="D149" s="37" t="s">
        <v>219</v>
      </c>
      <c r="E149" s="192">
        <f>+'[7]PRESUPUESTO 2015'!BB152</f>
        <v>838476</v>
      </c>
    </row>
    <row r="150" spans="1:5" ht="18" customHeight="1" x14ac:dyDescent="0.25">
      <c r="A150" s="86"/>
      <c r="B150" s="79"/>
      <c r="C150" s="219"/>
      <c r="D150" s="67"/>
      <c r="E150" s="193"/>
    </row>
    <row r="151" spans="1:5" ht="14.25" customHeight="1" x14ac:dyDescent="0.25">
      <c r="A151" s="86"/>
      <c r="B151" s="79"/>
      <c r="C151" s="211" t="s">
        <v>220</v>
      </c>
      <c r="D151" s="191" t="s">
        <v>278</v>
      </c>
      <c r="E151" s="165">
        <f>SUM(E153:E160)</f>
        <v>20690540.66</v>
      </c>
    </row>
    <row r="152" spans="1:5" ht="14.25" customHeight="1" x14ac:dyDescent="0.25">
      <c r="A152" s="86"/>
      <c r="B152" s="79"/>
      <c r="C152" s="212"/>
      <c r="D152" s="120"/>
      <c r="E152" s="121"/>
    </row>
    <row r="153" spans="1:5" ht="14.25" customHeight="1" x14ac:dyDescent="0.25">
      <c r="A153" s="86"/>
      <c r="B153" s="79"/>
      <c r="C153" s="218" t="s">
        <v>221</v>
      </c>
      <c r="D153" s="94" t="s">
        <v>222</v>
      </c>
      <c r="E153" s="192">
        <f>+'[7]PRESUPUESTO 2015'!BB156+1350000</f>
        <v>3597601.66</v>
      </c>
    </row>
    <row r="154" spans="1:5" ht="14.25" customHeight="1" outlineLevel="1" x14ac:dyDescent="0.25">
      <c r="A154" s="86"/>
      <c r="B154" s="79"/>
      <c r="C154" s="218" t="s">
        <v>223</v>
      </c>
      <c r="D154" s="94" t="s">
        <v>279</v>
      </c>
      <c r="E154" s="192">
        <f>+'[7]PRESUPUESTO 2015'!BB157</f>
        <v>189000</v>
      </c>
    </row>
    <row r="155" spans="1:5" ht="14.25" customHeight="1" x14ac:dyDescent="0.25">
      <c r="A155" s="86"/>
      <c r="B155" s="79"/>
      <c r="C155" s="218" t="s">
        <v>224</v>
      </c>
      <c r="D155" s="94" t="s">
        <v>225</v>
      </c>
      <c r="E155" s="192">
        <f>+'[7]PRESUPUESTO 2015'!BB158+1350000</f>
        <v>11168612</v>
      </c>
    </row>
    <row r="156" spans="1:5" ht="14.25" customHeight="1" x14ac:dyDescent="0.25">
      <c r="A156" s="86"/>
      <c r="B156" s="79"/>
      <c r="C156" s="218" t="s">
        <v>226</v>
      </c>
      <c r="D156" s="94" t="s">
        <v>227</v>
      </c>
      <c r="E156" s="192">
        <f>+'[7]PRESUPUESTO 2015'!BB159</f>
        <v>3741934</v>
      </c>
    </row>
    <row r="157" spans="1:5" ht="14.25" customHeight="1" x14ac:dyDescent="0.25">
      <c r="A157" s="86"/>
      <c r="B157" s="79"/>
      <c r="C157" s="218" t="s">
        <v>228</v>
      </c>
      <c r="D157" s="94" t="s">
        <v>229</v>
      </c>
      <c r="E157" s="192">
        <f>+'[7]PRESUPUESTO 2015'!BB160</f>
        <v>1124443</v>
      </c>
    </row>
    <row r="158" spans="1:5" ht="14.25" customHeight="1" outlineLevel="1" x14ac:dyDescent="0.25">
      <c r="A158" s="86"/>
      <c r="B158" s="79"/>
      <c r="C158" s="218" t="s">
        <v>230</v>
      </c>
      <c r="D158" s="94" t="s">
        <v>231</v>
      </c>
      <c r="E158" s="192">
        <f>+'[7]PRESUPUESTO 2015'!BB161</f>
        <v>763950</v>
      </c>
    </row>
    <row r="159" spans="1:5" ht="14.25" customHeight="1" outlineLevel="1" x14ac:dyDescent="0.25">
      <c r="A159" s="86"/>
      <c r="B159" s="79"/>
      <c r="C159" s="218" t="s">
        <v>366</v>
      </c>
      <c r="D159" s="94" t="s">
        <v>410</v>
      </c>
      <c r="E159" s="192">
        <f>+'[7]PRESUPUESTO 2015'!BB162</f>
        <v>69200</v>
      </c>
    </row>
    <row r="160" spans="1:5" ht="14.25" customHeight="1" outlineLevel="1" x14ac:dyDescent="0.25">
      <c r="A160" s="86"/>
      <c r="B160" s="79"/>
      <c r="C160" s="218" t="s">
        <v>232</v>
      </c>
      <c r="D160" s="94" t="s">
        <v>460</v>
      </c>
      <c r="E160" s="192">
        <f>+'[7]PRESUPUESTO 2015'!BB163</f>
        <v>35800</v>
      </c>
    </row>
    <row r="161" spans="1:5" ht="14.25" customHeight="1" outlineLevel="1" collapsed="1" thickBot="1" x14ac:dyDescent="0.3">
      <c r="A161" s="86"/>
      <c r="B161" s="79"/>
      <c r="C161" s="227"/>
      <c r="D161" s="188"/>
      <c r="E161" s="196"/>
    </row>
    <row r="162" spans="1:5" ht="17.25" customHeight="1" outlineLevel="1" thickBot="1" x14ac:dyDescent="0.3">
      <c r="A162" s="86"/>
      <c r="B162" s="79"/>
      <c r="C162" s="222">
        <v>5</v>
      </c>
      <c r="D162" s="98" t="s">
        <v>57</v>
      </c>
      <c r="E162" s="149">
        <f>+E164+E175+E180</f>
        <v>7846500</v>
      </c>
    </row>
    <row r="163" spans="1:5" ht="14.25" customHeight="1" outlineLevel="1" x14ac:dyDescent="0.25">
      <c r="A163" s="86"/>
      <c r="B163" s="79"/>
      <c r="C163" s="223"/>
      <c r="D163" s="185"/>
      <c r="E163" s="186"/>
    </row>
    <row r="164" spans="1:5" ht="14.25" customHeight="1" outlineLevel="1" x14ac:dyDescent="0.25">
      <c r="A164" s="86"/>
      <c r="B164" s="79"/>
      <c r="C164" s="211" t="s">
        <v>234</v>
      </c>
      <c r="D164" s="191" t="s">
        <v>235</v>
      </c>
      <c r="E164" s="165">
        <f>SUM(E167:E173)</f>
        <v>7500000</v>
      </c>
    </row>
    <row r="165" spans="1:5" ht="14.25" customHeight="1" outlineLevel="1" x14ac:dyDescent="0.25">
      <c r="A165" s="86"/>
      <c r="B165" s="79"/>
      <c r="C165" s="212"/>
      <c r="D165" s="120"/>
      <c r="E165" s="121"/>
    </row>
    <row r="166" spans="1:5" ht="14.25" hidden="1" customHeight="1" outlineLevel="1" x14ac:dyDescent="0.25">
      <c r="A166" s="86"/>
      <c r="B166" s="79"/>
      <c r="C166" s="93" t="s">
        <v>430</v>
      </c>
      <c r="D166" s="94" t="s">
        <v>431</v>
      </c>
      <c r="E166" s="192">
        <f>+'[7]PRESUPUESTO 2015'!BB169</f>
        <v>0</v>
      </c>
    </row>
    <row r="167" spans="1:5" ht="14.25" hidden="1" customHeight="1" outlineLevel="1" x14ac:dyDescent="0.25">
      <c r="A167" s="86"/>
      <c r="B167" s="79"/>
      <c r="C167" s="218" t="s">
        <v>236</v>
      </c>
      <c r="D167" s="37" t="s">
        <v>237</v>
      </c>
      <c r="E167" s="192">
        <f>+'[7]PRESUPUESTO 2015'!BB170</f>
        <v>0</v>
      </c>
    </row>
    <row r="168" spans="1:5" ht="14.25" hidden="1" customHeight="1" outlineLevel="1" x14ac:dyDescent="0.25">
      <c r="A168" s="86"/>
      <c r="B168" s="79"/>
      <c r="C168" s="218" t="s">
        <v>238</v>
      </c>
      <c r="D168" s="37" t="s">
        <v>239</v>
      </c>
      <c r="E168" s="192">
        <f>+'[7]PRESUPUESTO 2015'!BB171</f>
        <v>0</v>
      </c>
    </row>
    <row r="169" spans="1:5" ht="14.25" customHeight="1" outlineLevel="1" x14ac:dyDescent="0.25">
      <c r="A169" s="86"/>
      <c r="B169" s="79"/>
      <c r="C169" s="218" t="s">
        <v>240</v>
      </c>
      <c r="D169" s="37" t="s">
        <v>241</v>
      </c>
      <c r="E169" s="192">
        <f>+'[7]PRESUPUESTO 2015'!BB172</f>
        <v>795000</v>
      </c>
    </row>
    <row r="170" spans="1:5" ht="14.25" customHeight="1" outlineLevel="1" x14ac:dyDescent="0.25">
      <c r="A170" s="86"/>
      <c r="B170" s="79"/>
      <c r="C170" s="218" t="s">
        <v>242</v>
      </c>
      <c r="D170" s="37" t="s">
        <v>243</v>
      </c>
      <c r="E170" s="192">
        <f>+'[7]PRESUPUESTO 2015'!BB173+2000000</f>
        <v>6640000</v>
      </c>
    </row>
    <row r="171" spans="1:5" ht="14.25" hidden="1" customHeight="1" outlineLevel="1" x14ac:dyDescent="0.25">
      <c r="A171" s="86"/>
      <c r="B171" s="79"/>
      <c r="C171" s="218" t="s">
        <v>244</v>
      </c>
      <c r="D171" s="37" t="s">
        <v>245</v>
      </c>
      <c r="E171" s="192">
        <f>+'[7]PRESUPUESTO 2015'!BB174</f>
        <v>0</v>
      </c>
    </row>
    <row r="172" spans="1:5" ht="14.25" hidden="1" customHeight="1" outlineLevel="1" x14ac:dyDescent="0.25">
      <c r="A172" s="86"/>
      <c r="B172" s="79"/>
      <c r="C172" s="218" t="s">
        <v>246</v>
      </c>
      <c r="D172" s="37" t="s">
        <v>247</v>
      </c>
      <c r="E172" s="192">
        <f>+'[7]PRESUPUESTO 2015'!BB175</f>
        <v>0</v>
      </c>
    </row>
    <row r="173" spans="1:5" ht="11.4" customHeight="1" x14ac:dyDescent="0.25">
      <c r="A173" s="86"/>
      <c r="B173" s="79"/>
      <c r="C173" s="218" t="s">
        <v>248</v>
      </c>
      <c r="D173" s="94" t="s">
        <v>461</v>
      </c>
      <c r="E173" s="192">
        <f>+'[7]PRESUPUESTO 2015'!BB176</f>
        <v>65000</v>
      </c>
    </row>
    <row r="174" spans="1:5" ht="18" hidden="1" customHeight="1" x14ac:dyDescent="0.25">
      <c r="A174" s="86"/>
      <c r="B174" s="79"/>
      <c r="C174" s="219"/>
      <c r="D174" s="67"/>
      <c r="E174" s="193"/>
    </row>
    <row r="175" spans="1:5" ht="14.25" hidden="1" customHeight="1" x14ac:dyDescent="0.25">
      <c r="A175" s="86"/>
      <c r="B175" s="79"/>
      <c r="C175" s="211" t="s">
        <v>250</v>
      </c>
      <c r="D175" s="191" t="s">
        <v>251</v>
      </c>
      <c r="E175" s="165">
        <f>SUM(E177:E178)</f>
        <v>0</v>
      </c>
    </row>
    <row r="176" spans="1:5" ht="14.25" hidden="1" customHeight="1" x14ac:dyDescent="0.25">
      <c r="A176" s="86"/>
      <c r="B176" s="79"/>
      <c r="C176" s="212"/>
      <c r="D176" s="120"/>
      <c r="E176" s="121"/>
    </row>
    <row r="177" spans="1:5" ht="14.25" hidden="1" customHeight="1" x14ac:dyDescent="0.25">
      <c r="A177" s="86"/>
      <c r="B177" s="79"/>
      <c r="C177" s="218" t="s">
        <v>252</v>
      </c>
      <c r="D177" s="37" t="s">
        <v>253</v>
      </c>
      <c r="E177" s="192">
        <f>+'[7]PRESUPUESTO 2015'!BB180</f>
        <v>0</v>
      </c>
    </row>
    <row r="178" spans="1:5" ht="14.25" hidden="1" customHeight="1" outlineLevel="1" x14ac:dyDescent="0.25">
      <c r="A178" s="86"/>
      <c r="B178" s="79"/>
      <c r="C178" s="218" t="s">
        <v>254</v>
      </c>
      <c r="D178" s="37" t="s">
        <v>255</v>
      </c>
      <c r="E178" s="192">
        <f>+'[7]PRESUPUESTO 2015'!BB181</f>
        <v>0</v>
      </c>
    </row>
    <row r="179" spans="1:5" ht="14.25" customHeight="1" collapsed="1" x14ac:dyDescent="0.25">
      <c r="A179" s="86"/>
      <c r="B179" s="79"/>
      <c r="C179" s="228"/>
      <c r="D179" s="38"/>
      <c r="E179" s="48"/>
    </row>
    <row r="180" spans="1:5" ht="14.25" customHeight="1" x14ac:dyDescent="0.25">
      <c r="A180" s="86"/>
      <c r="B180" s="79"/>
      <c r="C180" s="211" t="s">
        <v>258</v>
      </c>
      <c r="D180" s="191" t="s">
        <v>251</v>
      </c>
      <c r="E180" s="165">
        <f>SUM(E182:E183)</f>
        <v>346500</v>
      </c>
    </row>
    <row r="181" spans="1:5" ht="14.25" customHeight="1" x14ac:dyDescent="0.25">
      <c r="A181" s="86"/>
      <c r="B181" s="79"/>
      <c r="C181" s="212"/>
      <c r="D181" s="120"/>
      <c r="E181" s="121"/>
    </row>
    <row r="182" spans="1:5" ht="14.25" customHeight="1" x14ac:dyDescent="0.25">
      <c r="A182" s="86"/>
      <c r="B182" s="79"/>
      <c r="C182" s="218" t="s">
        <v>411</v>
      </c>
      <c r="D182" s="37" t="s">
        <v>412</v>
      </c>
      <c r="E182" s="192">
        <f>+'[7]PRESUPUESTO 2015'!BB185</f>
        <v>346500</v>
      </c>
    </row>
    <row r="183" spans="1:5" ht="13.2" hidden="1" customHeight="1" thickBot="1" x14ac:dyDescent="0.3">
      <c r="A183" s="86"/>
      <c r="B183" s="79"/>
      <c r="C183" s="218" t="s">
        <v>259</v>
      </c>
      <c r="D183" s="37" t="s">
        <v>260</v>
      </c>
      <c r="E183" s="192">
        <f>+'[7]PRESUPUESTO 2015'!BB186</f>
        <v>0</v>
      </c>
    </row>
    <row r="184" spans="1:5" ht="13.2" customHeight="1" thickBot="1" x14ac:dyDescent="0.3">
      <c r="A184" s="86"/>
      <c r="B184" s="79"/>
      <c r="C184" s="227"/>
      <c r="D184" s="188"/>
      <c r="E184" s="196"/>
    </row>
    <row r="185" spans="1:5" ht="17.25" customHeight="1" thickBot="1" x14ac:dyDescent="0.3">
      <c r="A185" s="86"/>
      <c r="B185" s="79"/>
      <c r="C185" s="222">
        <v>6</v>
      </c>
      <c r="D185" s="98" t="s">
        <v>261</v>
      </c>
      <c r="E185" s="149">
        <f>+E187+E192+E196+E200</f>
        <v>13677690</v>
      </c>
    </row>
    <row r="186" spans="1:5" ht="12.75" customHeight="1" x14ac:dyDescent="0.25">
      <c r="A186" s="86"/>
      <c r="B186" s="79"/>
      <c r="C186" s="223"/>
      <c r="D186" s="185"/>
      <c r="E186" s="186"/>
    </row>
    <row r="187" spans="1:5" ht="13.2" customHeight="1" x14ac:dyDescent="0.25">
      <c r="A187" s="86"/>
      <c r="B187" s="79"/>
      <c r="C187" s="211" t="s">
        <v>262</v>
      </c>
      <c r="D187" s="191" t="s">
        <v>280</v>
      </c>
      <c r="E187" s="165">
        <f>SUM(E189:E190)</f>
        <v>11500000</v>
      </c>
    </row>
    <row r="188" spans="1:5" ht="14.25" customHeight="1" x14ac:dyDescent="0.25">
      <c r="A188" s="86"/>
      <c r="B188" s="79"/>
      <c r="C188" s="212"/>
      <c r="D188" s="120"/>
      <c r="E188" s="121"/>
    </row>
    <row r="189" spans="1:5" ht="14.25" customHeight="1" x14ac:dyDescent="0.25">
      <c r="A189" s="86"/>
      <c r="B189" s="79"/>
      <c r="C189" s="229" t="s">
        <v>353</v>
      </c>
      <c r="D189" s="187" t="s">
        <v>354</v>
      </c>
      <c r="E189" s="192">
        <f>+'[7]PRESUPUESTO 2015'!BB192</f>
        <v>3500000</v>
      </c>
    </row>
    <row r="190" spans="1:5" ht="14.25" customHeight="1" x14ac:dyDescent="0.25">
      <c r="A190" s="86"/>
      <c r="B190" s="79"/>
      <c r="C190" s="229" t="s">
        <v>263</v>
      </c>
      <c r="D190" s="187" t="s">
        <v>462</v>
      </c>
      <c r="E190" s="192">
        <f>+'[7]PRESUPUESTO 2015'!BB193</f>
        <v>8000000</v>
      </c>
    </row>
    <row r="191" spans="1:5" ht="14.25" customHeight="1" x14ac:dyDescent="0.25">
      <c r="A191" s="86"/>
      <c r="B191" s="79"/>
      <c r="C191" s="230"/>
      <c r="D191" s="189"/>
      <c r="E191" s="194"/>
    </row>
    <row r="192" spans="1:5" ht="14.25" customHeight="1" x14ac:dyDescent="0.25">
      <c r="A192" s="86"/>
      <c r="B192" s="79"/>
      <c r="C192" s="211" t="s">
        <v>264</v>
      </c>
      <c r="D192" s="191" t="s">
        <v>265</v>
      </c>
      <c r="E192" s="165">
        <f>SUM(E194)</f>
        <v>1997690</v>
      </c>
    </row>
    <row r="193" spans="1:5" ht="10.95" customHeight="1" x14ac:dyDescent="0.25">
      <c r="A193" s="86"/>
      <c r="B193" s="79"/>
      <c r="C193" s="212"/>
      <c r="D193" s="120"/>
      <c r="E193" s="121"/>
    </row>
    <row r="194" spans="1:5" ht="18" customHeight="1" x14ac:dyDescent="0.25">
      <c r="A194" s="86"/>
      <c r="B194" s="79"/>
      <c r="C194" s="229" t="s">
        <v>345</v>
      </c>
      <c r="D194" s="187" t="s">
        <v>36</v>
      </c>
      <c r="E194" s="192">
        <f>+'[7]PRESUPUESTO 2015'!BB197-20950000</f>
        <v>1997690</v>
      </c>
    </row>
    <row r="195" spans="1:5" ht="14.25" hidden="1" customHeight="1" x14ac:dyDescent="0.25">
      <c r="A195" s="86"/>
      <c r="B195" s="79"/>
      <c r="C195" s="230"/>
      <c r="D195" s="189"/>
      <c r="E195" s="194"/>
    </row>
    <row r="196" spans="1:5" ht="14.25" hidden="1" customHeight="1" x14ac:dyDescent="0.25">
      <c r="A196" s="86"/>
      <c r="B196" s="79"/>
      <c r="C196" s="211" t="s">
        <v>378</v>
      </c>
      <c r="D196" s="191" t="s">
        <v>414</v>
      </c>
      <c r="E196" s="165">
        <f>SUM(E198)</f>
        <v>0</v>
      </c>
    </row>
    <row r="197" spans="1:5" ht="14.25" hidden="1" customHeight="1" x14ac:dyDescent="0.25">
      <c r="A197" s="86"/>
      <c r="B197" s="79"/>
      <c r="C197" s="212"/>
      <c r="D197" s="120"/>
      <c r="E197" s="121"/>
    </row>
    <row r="198" spans="1:5" ht="14.25" hidden="1" customHeight="1" outlineLevel="1" x14ac:dyDescent="0.25">
      <c r="A198" s="86"/>
      <c r="B198" s="79"/>
      <c r="C198" s="229" t="s">
        <v>380</v>
      </c>
      <c r="D198" s="187" t="s">
        <v>381</v>
      </c>
      <c r="E198" s="192">
        <f>+'[7]PRESUPUESTO 2015'!BB201</f>
        <v>0</v>
      </c>
    </row>
    <row r="199" spans="1:5" ht="14.25" customHeight="1" collapsed="1" x14ac:dyDescent="0.25">
      <c r="A199" s="86"/>
      <c r="B199" s="79"/>
      <c r="C199" s="230"/>
      <c r="D199" s="189"/>
      <c r="E199" s="194"/>
    </row>
    <row r="200" spans="1:5" ht="15" customHeight="1" x14ac:dyDescent="0.25">
      <c r="A200" s="86"/>
      <c r="B200" s="79"/>
      <c r="C200" s="211" t="s">
        <v>266</v>
      </c>
      <c r="D200" s="191" t="s">
        <v>281</v>
      </c>
      <c r="E200" s="165">
        <f>SUM(E202:E203)</f>
        <v>180000</v>
      </c>
    </row>
    <row r="201" spans="1:5" ht="10.199999999999999" customHeight="1" x14ac:dyDescent="0.25">
      <c r="A201" s="86"/>
      <c r="B201" s="79"/>
      <c r="C201" s="212"/>
      <c r="D201" s="120"/>
      <c r="E201" s="121"/>
    </row>
    <row r="202" spans="1:5" hidden="1" x14ac:dyDescent="0.25">
      <c r="A202" s="86"/>
      <c r="B202" s="79"/>
      <c r="C202" s="220" t="s">
        <v>267</v>
      </c>
      <c r="D202" s="181" t="s">
        <v>282</v>
      </c>
      <c r="E202" s="192">
        <f>+'[7]PRESUPUESTO 2015'!BB205</f>
        <v>0</v>
      </c>
    </row>
    <row r="203" spans="1:5" x14ac:dyDescent="0.25">
      <c r="A203" s="86"/>
      <c r="B203" s="79"/>
      <c r="C203" s="220" t="s">
        <v>359</v>
      </c>
      <c r="D203" s="181" t="s">
        <v>368</v>
      </c>
      <c r="E203" s="192">
        <f>+'[7]PRESUPUESTO 2015'!BB206</f>
        <v>180000</v>
      </c>
    </row>
    <row r="204" spans="1:5" hidden="1" x14ac:dyDescent="0.25">
      <c r="A204" s="86"/>
      <c r="B204" s="79"/>
      <c r="C204" s="231"/>
      <c r="D204" s="190"/>
      <c r="E204" s="197"/>
    </row>
    <row r="205" spans="1:5" ht="17.25" hidden="1" customHeight="1" x14ac:dyDescent="0.25">
      <c r="A205" s="86"/>
      <c r="B205" s="79"/>
      <c r="C205" s="222">
        <v>9</v>
      </c>
      <c r="D205" s="98" t="s">
        <v>58</v>
      </c>
      <c r="E205" s="149">
        <f>E207</f>
        <v>0</v>
      </c>
    </row>
    <row r="206" spans="1:5" hidden="1" x14ac:dyDescent="0.25">
      <c r="A206" s="86"/>
      <c r="B206" s="79"/>
      <c r="C206" s="223"/>
      <c r="D206" s="185"/>
      <c r="E206" s="186"/>
    </row>
    <row r="207" spans="1:5" ht="16.5" hidden="1" customHeight="1" x14ac:dyDescent="0.25">
      <c r="A207" s="86"/>
      <c r="B207" s="79"/>
      <c r="C207" s="211" t="s">
        <v>268</v>
      </c>
      <c r="D207" s="191" t="s">
        <v>269</v>
      </c>
      <c r="E207" s="165">
        <f>SUM(E209:E210)</f>
        <v>0</v>
      </c>
    </row>
    <row r="208" spans="1:5" hidden="1" x14ac:dyDescent="0.25">
      <c r="A208" s="86"/>
      <c r="B208" s="79"/>
      <c r="C208" s="212"/>
      <c r="D208" s="120"/>
      <c r="E208" s="121"/>
    </row>
    <row r="209" spans="1:7" hidden="1" x14ac:dyDescent="0.25">
      <c r="A209" s="86"/>
      <c r="B209" s="79"/>
      <c r="C209" s="218" t="s">
        <v>270</v>
      </c>
      <c r="D209" s="57" t="s">
        <v>60</v>
      </c>
      <c r="E209" s="192">
        <f>+'[7]PRESUPUESTO 2015'!BB212</f>
        <v>0</v>
      </c>
    </row>
    <row r="210" spans="1:7" hidden="1" x14ac:dyDescent="0.25">
      <c r="A210" s="86"/>
      <c r="B210" s="79"/>
      <c r="C210" s="220" t="s">
        <v>271</v>
      </c>
      <c r="D210" s="181" t="s">
        <v>283</v>
      </c>
      <c r="E210" s="192">
        <f>+'[7]PRESUPUESTO 2015'!BB213</f>
        <v>0</v>
      </c>
    </row>
    <row r="211" spans="1:7" ht="13.8" thickBot="1" x14ac:dyDescent="0.3">
      <c r="A211" s="86"/>
      <c r="B211" s="79"/>
      <c r="C211" s="232"/>
      <c r="D211" s="233"/>
      <c r="E211" s="234"/>
    </row>
    <row r="212" spans="1:7" ht="21.9" customHeight="1" thickBot="1" x14ac:dyDescent="0.3">
      <c r="A212" s="201" t="s">
        <v>423</v>
      </c>
      <c r="B212" s="202">
        <f>SUM(B13:B211)</f>
        <v>3663200000</v>
      </c>
      <c r="C212" s="1592" t="s">
        <v>424</v>
      </c>
      <c r="D212" s="1593"/>
      <c r="E212" s="206" t="e">
        <f>+E205+E185+E162+E124+E50+E10</f>
        <v>#REF!</v>
      </c>
      <c r="F212" s="238"/>
      <c r="G212" s="238"/>
    </row>
    <row r="214" spans="1:7" ht="13.8" thickBot="1" x14ac:dyDescent="0.3"/>
    <row r="215" spans="1:7" ht="21.9" customHeight="1" thickBot="1" x14ac:dyDescent="0.3">
      <c r="A215" s="236" t="s">
        <v>421</v>
      </c>
      <c r="B215" s="237" t="s">
        <v>44</v>
      </c>
      <c r="C215" s="1596" t="s">
        <v>422</v>
      </c>
      <c r="D215" s="1597"/>
      <c r="E215" s="200" t="s">
        <v>44</v>
      </c>
    </row>
    <row r="216" spans="1:7" ht="13.8" thickBot="1" x14ac:dyDescent="0.3"/>
    <row r="217" spans="1:7" ht="21.9" customHeight="1" thickBot="1" x14ac:dyDescent="0.3">
      <c r="A217" s="98" t="s">
        <v>307</v>
      </c>
      <c r="B217" s="98"/>
      <c r="C217" s="199" t="s">
        <v>70</v>
      </c>
      <c r="D217" s="98" t="s">
        <v>53</v>
      </c>
      <c r="E217" s="203">
        <f>E220+E226+E231+E240+E248+E253</f>
        <v>1372212915</v>
      </c>
    </row>
    <row r="218" spans="1:7" hidden="1" x14ac:dyDescent="0.25">
      <c r="A218" s="14"/>
      <c r="C218" s="198"/>
      <c r="D218" s="179" t="s">
        <v>390</v>
      </c>
      <c r="E218" s="180">
        <f>E222+E223+E228+E233+E234+E235+E236+E237</f>
        <v>1102890715</v>
      </c>
    </row>
    <row r="219" spans="1:7" x14ac:dyDescent="0.25">
      <c r="C219" s="235"/>
      <c r="D219" s="120"/>
      <c r="E219" s="121"/>
    </row>
    <row r="220" spans="1:7" x14ac:dyDescent="0.25">
      <c r="A220" s="18" t="s">
        <v>310</v>
      </c>
      <c r="B220" s="89">
        <f>+'[7]CLASIFICACION DE INGRESOS 2015'!F25</f>
        <v>2554100000</v>
      </c>
      <c r="C220" s="211" t="s">
        <v>325</v>
      </c>
      <c r="D220" s="155" t="s">
        <v>71</v>
      </c>
      <c r="E220" s="165">
        <f>SUM(E222:E224)</f>
        <v>672462498</v>
      </c>
    </row>
    <row r="221" spans="1:7" x14ac:dyDescent="0.25">
      <c r="C221" s="212"/>
      <c r="D221" s="120"/>
      <c r="E221" s="121"/>
    </row>
    <row r="222" spans="1:7" hidden="1" x14ac:dyDescent="0.25">
      <c r="C222" s="213" t="s">
        <v>72</v>
      </c>
      <c r="D222" s="37" t="s">
        <v>441</v>
      </c>
      <c r="E222" s="192">
        <f>+'[7]PRESUPUESTO 2015'!BD18</f>
        <v>0</v>
      </c>
    </row>
    <row r="223" spans="1:7" x14ac:dyDescent="0.25">
      <c r="C223" s="213" t="s">
        <v>73</v>
      </c>
      <c r="D223" s="37" t="s">
        <v>442</v>
      </c>
      <c r="E223" s="192">
        <f>+'[7]PRESUPUESTO 2015'!BD19</f>
        <v>671462498</v>
      </c>
    </row>
    <row r="224" spans="1:7" x14ac:dyDescent="0.25">
      <c r="C224" s="213" t="s">
        <v>391</v>
      </c>
      <c r="D224" s="37" t="s">
        <v>374</v>
      </c>
      <c r="E224" s="192">
        <f>+'[7]PRESUPUESTO 2015'!BD20</f>
        <v>1000000</v>
      </c>
    </row>
    <row r="225" spans="3:5" x14ac:dyDescent="0.25">
      <c r="C225" s="214"/>
      <c r="D225" s="67"/>
      <c r="E225" s="193"/>
    </row>
    <row r="226" spans="3:5" x14ac:dyDescent="0.25">
      <c r="C226" s="211" t="s">
        <v>74</v>
      </c>
      <c r="D226" s="155" t="s">
        <v>75</v>
      </c>
      <c r="E226" s="165">
        <f>SUM(E228:E229)</f>
        <v>96735889</v>
      </c>
    </row>
    <row r="227" spans="3:5" x14ac:dyDescent="0.25">
      <c r="C227" s="212"/>
      <c r="D227" s="120"/>
      <c r="E227" s="121"/>
    </row>
    <row r="228" spans="3:5" x14ac:dyDescent="0.25">
      <c r="C228" s="213" t="s">
        <v>76</v>
      </c>
      <c r="D228" s="37" t="s">
        <v>35</v>
      </c>
      <c r="E228" s="192">
        <f>+'[7]PRESUPUESTO 2015'!BD24</f>
        <v>96735889</v>
      </c>
    </row>
    <row r="229" spans="3:5" hidden="1" x14ac:dyDescent="0.25">
      <c r="C229" s="215" t="s">
        <v>77</v>
      </c>
      <c r="D229" s="181" t="s">
        <v>17</v>
      </c>
      <c r="E229" s="192">
        <f>+'[7]PRESUPUESTO 2015'!BD25</f>
        <v>0</v>
      </c>
    </row>
    <row r="230" spans="3:5" x14ac:dyDescent="0.25">
      <c r="C230" s="216"/>
      <c r="D230" s="182"/>
      <c r="E230" s="194"/>
    </row>
    <row r="231" spans="3:5" x14ac:dyDescent="0.25">
      <c r="C231" s="211" t="s">
        <v>78</v>
      </c>
      <c r="D231" s="155" t="s">
        <v>79</v>
      </c>
      <c r="E231" s="165">
        <f>SUM(E233:E237)</f>
        <v>334692328</v>
      </c>
    </row>
    <row r="232" spans="3:5" x14ac:dyDescent="0.25">
      <c r="C232" s="212"/>
      <c r="D232" s="120"/>
      <c r="E232" s="121"/>
    </row>
    <row r="233" spans="3:5" x14ac:dyDescent="0.25">
      <c r="C233" s="213" t="s">
        <v>80</v>
      </c>
      <c r="D233" s="37" t="s">
        <v>443</v>
      </c>
      <c r="E233" s="192">
        <f>+'[7]PRESUPUESTO 2015'!BD29</f>
        <v>48260224</v>
      </c>
    </row>
    <row r="234" spans="3:5" x14ac:dyDescent="0.25">
      <c r="C234" s="213" t="s">
        <v>82</v>
      </c>
      <c r="D234" s="37" t="s">
        <v>444</v>
      </c>
      <c r="E234" s="192">
        <f>+'[7]PRESUPUESTO 2015'!BD30</f>
        <v>102889947</v>
      </c>
    </row>
    <row r="235" spans="3:5" x14ac:dyDescent="0.25">
      <c r="C235" s="213" t="s">
        <v>84</v>
      </c>
      <c r="D235" s="37" t="s">
        <v>14</v>
      </c>
      <c r="E235" s="192">
        <f>+'[7]PRESUPUESTO 2015'!BD31</f>
        <v>83816654</v>
      </c>
    </row>
    <row r="236" spans="3:5" x14ac:dyDescent="0.25">
      <c r="C236" s="213" t="s">
        <v>86</v>
      </c>
      <c r="D236" s="37" t="s">
        <v>445</v>
      </c>
      <c r="E236" s="192">
        <f>+'[7]PRESUPUESTO 2015'!BD32</f>
        <v>77912573</v>
      </c>
    </row>
    <row r="237" spans="3:5" x14ac:dyDescent="0.25">
      <c r="C237" s="213" t="s">
        <v>87</v>
      </c>
      <c r="D237" s="37" t="s">
        <v>88</v>
      </c>
      <c r="E237" s="192">
        <f>+'[7]PRESUPUESTO 2015'!BD33</f>
        <v>21812930</v>
      </c>
    </row>
    <row r="238" spans="3:5" x14ac:dyDescent="0.25">
      <c r="C238" s="214"/>
      <c r="D238" s="67"/>
      <c r="E238" s="192"/>
    </row>
    <row r="239" spans="3:5" x14ac:dyDescent="0.25">
      <c r="C239" s="217"/>
      <c r="D239" s="179" t="s">
        <v>392</v>
      </c>
      <c r="E239" s="180">
        <f>E242+E243+E244+E245+E246+E250+E251</f>
        <v>268322200</v>
      </c>
    </row>
    <row r="240" spans="3:5" x14ac:dyDescent="0.25">
      <c r="C240" s="211" t="s">
        <v>89</v>
      </c>
      <c r="D240" s="155" t="s">
        <v>273</v>
      </c>
      <c r="E240" s="165">
        <f>SUM(E242:E246)</f>
        <v>222463867</v>
      </c>
    </row>
    <row r="241" spans="3:5" x14ac:dyDescent="0.25">
      <c r="C241" s="212"/>
      <c r="D241" s="120"/>
      <c r="E241" s="121"/>
    </row>
    <row r="242" spans="3:5" x14ac:dyDescent="0.25">
      <c r="C242" s="218" t="s">
        <v>90</v>
      </c>
      <c r="D242" s="37" t="s">
        <v>446</v>
      </c>
      <c r="E242" s="192">
        <f>+'[7]PRESUPUESTO 2015'!BD38</f>
        <v>146033314</v>
      </c>
    </row>
    <row r="243" spans="3:5" x14ac:dyDescent="0.25">
      <c r="C243" s="218" t="s">
        <v>92</v>
      </c>
      <c r="D243" s="37" t="s">
        <v>447</v>
      </c>
      <c r="E243" s="192">
        <f>+'[7]PRESUPUESTO 2015'!BD39</f>
        <v>5095370</v>
      </c>
    </row>
    <row r="244" spans="3:5" x14ac:dyDescent="0.25">
      <c r="C244" s="218" t="s">
        <v>93</v>
      </c>
      <c r="D244" s="37" t="s">
        <v>448</v>
      </c>
      <c r="E244" s="192">
        <f>+'[7]PRESUPUESTO 2015'!BD40</f>
        <v>15286110</v>
      </c>
    </row>
    <row r="245" spans="3:5" x14ac:dyDescent="0.25">
      <c r="C245" s="218" t="s">
        <v>94</v>
      </c>
      <c r="D245" s="37" t="s">
        <v>95</v>
      </c>
      <c r="E245" s="192">
        <f>+'[7]PRESUPUESTO 2015'!BD41</f>
        <v>50953703</v>
      </c>
    </row>
    <row r="246" spans="3:5" x14ac:dyDescent="0.25">
      <c r="C246" s="218" t="s">
        <v>96</v>
      </c>
      <c r="D246" s="37" t="s">
        <v>449</v>
      </c>
      <c r="E246" s="192">
        <f>+'[7]PRESUPUESTO 2015'!BD42</f>
        <v>5095370</v>
      </c>
    </row>
    <row r="247" spans="3:5" x14ac:dyDescent="0.25">
      <c r="C247" s="219"/>
      <c r="D247" s="67"/>
      <c r="E247" s="193"/>
    </row>
    <row r="248" spans="3:5" x14ac:dyDescent="0.25">
      <c r="C248" s="211" t="s">
        <v>98</v>
      </c>
      <c r="D248" s="191" t="s">
        <v>99</v>
      </c>
      <c r="E248" s="165">
        <f>SUM(E250:E251)</f>
        <v>45858333</v>
      </c>
    </row>
    <row r="249" spans="3:5" x14ac:dyDescent="0.25">
      <c r="C249" s="212"/>
      <c r="D249" s="120"/>
      <c r="E249" s="121"/>
    </row>
    <row r="250" spans="3:5" x14ac:dyDescent="0.25">
      <c r="C250" s="218" t="s">
        <v>100</v>
      </c>
      <c r="D250" s="183" t="s">
        <v>450</v>
      </c>
      <c r="E250" s="192">
        <f>+'[7]PRESUPUESTO 2015'!BD46</f>
        <v>15286110</v>
      </c>
    </row>
    <row r="251" spans="3:5" x14ac:dyDescent="0.25">
      <c r="C251" s="218" t="s">
        <v>101</v>
      </c>
      <c r="D251" s="183" t="s">
        <v>451</v>
      </c>
      <c r="E251" s="192">
        <f>+'[7]PRESUPUESTO 2015'!BD47</f>
        <v>30572223</v>
      </c>
    </row>
    <row r="252" spans="3:5" hidden="1" x14ac:dyDescent="0.25">
      <c r="C252" s="219"/>
      <c r="D252" s="67"/>
      <c r="E252" s="193"/>
    </row>
    <row r="253" spans="3:5" hidden="1" x14ac:dyDescent="0.25">
      <c r="C253" s="211" t="s">
        <v>393</v>
      </c>
      <c r="D253" s="191" t="s">
        <v>394</v>
      </c>
      <c r="E253" s="165">
        <f>SUM(E255)</f>
        <v>0</v>
      </c>
    </row>
    <row r="254" spans="3:5" hidden="1" x14ac:dyDescent="0.25">
      <c r="C254" s="212"/>
      <c r="D254" s="120"/>
      <c r="E254" s="121"/>
    </row>
    <row r="255" spans="3:5" hidden="1" x14ac:dyDescent="0.25">
      <c r="C255" s="220" t="s">
        <v>395</v>
      </c>
      <c r="D255" s="181" t="s">
        <v>396</v>
      </c>
      <c r="E255" s="192">
        <f>+'[7]PRESUPUESTO 2015'!BD51</f>
        <v>0</v>
      </c>
    </row>
    <row r="256" spans="3:5" ht="13.8" thickBot="1" x14ac:dyDescent="0.3">
      <c r="C256" s="221"/>
      <c r="D256" s="184"/>
      <c r="E256" s="195"/>
    </row>
    <row r="257" spans="1:5" ht="17.25" customHeight="1" thickBot="1" x14ac:dyDescent="0.3">
      <c r="A257" s="86"/>
      <c r="B257" s="79"/>
      <c r="C257" s="222" t="s">
        <v>103</v>
      </c>
      <c r="D257" s="98" t="s">
        <v>54</v>
      </c>
      <c r="E257" s="149">
        <f>+E259+E266+E274+E283+E293+E300+E304+E310+E321+E325</f>
        <v>604572554</v>
      </c>
    </row>
    <row r="258" spans="1:5" x14ac:dyDescent="0.25">
      <c r="C258" s="223"/>
      <c r="D258" s="185"/>
      <c r="E258" s="186"/>
    </row>
    <row r="259" spans="1:5" x14ac:dyDescent="0.25">
      <c r="C259" s="211" t="s">
        <v>104</v>
      </c>
      <c r="D259" s="191" t="s">
        <v>105</v>
      </c>
      <c r="E259" s="165">
        <f>SUM(E261:E264)</f>
        <v>97610073</v>
      </c>
    </row>
    <row r="260" spans="1:5" x14ac:dyDescent="0.25">
      <c r="C260" s="212"/>
      <c r="D260" s="120"/>
      <c r="E260" s="121"/>
    </row>
    <row r="261" spans="1:5" x14ac:dyDescent="0.25">
      <c r="C261" s="220" t="s">
        <v>106</v>
      </c>
      <c r="D261" s="181" t="s">
        <v>377</v>
      </c>
      <c r="E261" s="192">
        <f>+'[7]PRESUPUESTO 2015'!BD57</f>
        <v>60421702</v>
      </c>
    </row>
    <row r="262" spans="1:5" x14ac:dyDescent="0.25">
      <c r="C262" s="218" t="s">
        <v>108</v>
      </c>
      <c r="D262" s="37" t="s">
        <v>109</v>
      </c>
      <c r="E262" s="192">
        <f>+'[7]PRESUPUESTO 2015'!BD58</f>
        <v>33856611</v>
      </c>
    </row>
    <row r="263" spans="1:5" x14ac:dyDescent="0.25">
      <c r="C263" s="218" t="s">
        <v>110</v>
      </c>
      <c r="D263" s="37" t="s">
        <v>111</v>
      </c>
      <c r="E263" s="192">
        <f>+'[7]PRESUPUESTO 2015'!BD59</f>
        <v>3331760</v>
      </c>
    </row>
    <row r="264" spans="1:5" hidden="1" x14ac:dyDescent="0.25">
      <c r="C264" s="218" t="s">
        <v>112</v>
      </c>
      <c r="D264" s="37" t="s">
        <v>113</v>
      </c>
      <c r="E264" s="192">
        <f>+'[7]PRESUPUESTO 2015'!BD60</f>
        <v>0</v>
      </c>
    </row>
    <row r="265" spans="1:5" x14ac:dyDescent="0.25">
      <c r="C265" s="224"/>
      <c r="D265" s="182"/>
      <c r="E265" s="194"/>
    </row>
    <row r="266" spans="1:5" x14ac:dyDescent="0.25">
      <c r="C266" s="211" t="s">
        <v>114</v>
      </c>
      <c r="D266" s="191" t="s">
        <v>115</v>
      </c>
      <c r="E266" s="165">
        <f>SUM(E268:E272)</f>
        <v>17975722</v>
      </c>
    </row>
    <row r="267" spans="1:5" x14ac:dyDescent="0.25">
      <c r="C267" s="212"/>
      <c r="D267" s="120"/>
      <c r="E267" s="121"/>
    </row>
    <row r="268" spans="1:5" x14ac:dyDescent="0.25">
      <c r="C268" s="220" t="s">
        <v>116</v>
      </c>
      <c r="D268" s="181" t="s">
        <v>117</v>
      </c>
      <c r="E268" s="192">
        <f>+'[7]PRESUPUESTO 2015'!BD64-9148035</f>
        <v>2591339</v>
      </c>
    </row>
    <row r="269" spans="1:5" x14ac:dyDescent="0.25">
      <c r="C269" s="220" t="s">
        <v>118</v>
      </c>
      <c r="D269" s="187" t="s">
        <v>119</v>
      </c>
      <c r="E269" s="192">
        <f>+'[7]PRESUPUESTO 2015'!BD65-13811527</f>
        <v>5802962</v>
      </c>
    </row>
    <row r="270" spans="1:5" x14ac:dyDescent="0.25">
      <c r="C270" s="218" t="s">
        <v>120</v>
      </c>
      <c r="D270" s="37" t="s">
        <v>121</v>
      </c>
      <c r="E270" s="192">
        <f>+'[7]PRESUPUESTO 2015'!BD66</f>
        <v>1250000</v>
      </c>
    </row>
    <row r="271" spans="1:5" x14ac:dyDescent="0.25">
      <c r="C271" s="218" t="s">
        <v>326</v>
      </c>
      <c r="D271" s="37" t="s">
        <v>122</v>
      </c>
      <c r="E271" s="192">
        <f>+'[7]PRESUPUESTO 2015'!BD67-9918737</f>
        <v>8331421</v>
      </c>
    </row>
    <row r="272" spans="1:5" hidden="1" x14ac:dyDescent="0.25">
      <c r="C272" s="220" t="s">
        <v>123</v>
      </c>
      <c r="D272" s="181" t="s">
        <v>124</v>
      </c>
      <c r="E272" s="192">
        <f>+'[7]PRESUPUESTO 2015'!BD68</f>
        <v>0</v>
      </c>
    </row>
    <row r="273" spans="3:5" x14ac:dyDescent="0.25">
      <c r="C273" s="224"/>
      <c r="D273" s="182"/>
      <c r="E273" s="194"/>
    </row>
    <row r="274" spans="3:5" x14ac:dyDescent="0.25">
      <c r="C274" s="211" t="s">
        <v>125</v>
      </c>
      <c r="D274" s="191" t="s">
        <v>126</v>
      </c>
      <c r="E274" s="165">
        <f>SUM(E276:E281)</f>
        <v>17807430</v>
      </c>
    </row>
    <row r="275" spans="3:5" x14ac:dyDescent="0.25">
      <c r="C275" s="212"/>
      <c r="D275" s="120"/>
      <c r="E275" s="121"/>
    </row>
    <row r="276" spans="3:5" hidden="1" x14ac:dyDescent="0.25">
      <c r="C276" s="218" t="s">
        <v>127</v>
      </c>
      <c r="D276" s="37" t="s">
        <v>436</v>
      </c>
      <c r="E276" s="192">
        <f>+'[7]PRESUPUESTO 2015'!BD72</f>
        <v>0</v>
      </c>
    </row>
    <row r="277" spans="3:5" hidden="1" x14ac:dyDescent="0.25">
      <c r="C277" s="218" t="s">
        <v>129</v>
      </c>
      <c r="D277" s="37" t="s">
        <v>437</v>
      </c>
      <c r="E277" s="192">
        <f>+'[7]PRESUPUESTO 2015'!BD73</f>
        <v>0</v>
      </c>
    </row>
    <row r="278" spans="3:5" x14ac:dyDescent="0.25">
      <c r="C278" s="218" t="s">
        <v>131</v>
      </c>
      <c r="D278" s="37" t="s">
        <v>438</v>
      </c>
      <c r="E278" s="192">
        <f>+'[7]PRESUPUESTO 2015'!BD74</f>
        <v>14639430</v>
      </c>
    </row>
    <row r="279" spans="3:5" x14ac:dyDescent="0.25">
      <c r="C279" s="218" t="s">
        <v>133</v>
      </c>
      <c r="D279" s="37" t="s">
        <v>439</v>
      </c>
      <c r="E279" s="192">
        <f>+'[7]PRESUPUESTO 2015'!BD75</f>
        <v>1230000</v>
      </c>
    </row>
    <row r="280" spans="3:5" x14ac:dyDescent="0.25">
      <c r="C280" s="220" t="s">
        <v>137</v>
      </c>
      <c r="D280" s="181" t="s">
        <v>452</v>
      </c>
      <c r="E280" s="192">
        <f>+'[7]PRESUPUESTO 2015'!BD76</f>
        <v>1938000</v>
      </c>
    </row>
    <row r="281" spans="3:5" hidden="1" x14ac:dyDescent="0.25">
      <c r="C281" s="218" t="s">
        <v>397</v>
      </c>
      <c r="D281" s="37" t="s">
        <v>398</v>
      </c>
      <c r="E281" s="192">
        <f>+'[7]PRESUPUESTO 2015'!BD77</f>
        <v>0</v>
      </c>
    </row>
    <row r="282" spans="3:5" x14ac:dyDescent="0.25">
      <c r="C282" s="219"/>
      <c r="D282" s="67"/>
      <c r="E282" s="193"/>
    </row>
    <row r="283" spans="3:5" x14ac:dyDescent="0.25">
      <c r="C283" s="211" t="s">
        <v>139</v>
      </c>
      <c r="D283" s="191" t="s">
        <v>140</v>
      </c>
      <c r="E283" s="165">
        <f>SUM(E285:E291)</f>
        <v>46515992</v>
      </c>
    </row>
    <row r="284" spans="3:5" x14ac:dyDescent="0.25">
      <c r="C284" s="212"/>
      <c r="D284" s="120"/>
      <c r="E284" s="121"/>
    </row>
    <row r="285" spans="3:5" hidden="1" x14ac:dyDescent="0.25">
      <c r="C285" s="225" t="s">
        <v>399</v>
      </c>
      <c r="D285" s="37" t="s">
        <v>400</v>
      </c>
      <c r="E285" s="192">
        <f>+'[7]PRESUPUESTO 2015'!BD81</f>
        <v>0</v>
      </c>
    </row>
    <row r="286" spans="3:5" hidden="1" x14ac:dyDescent="0.25">
      <c r="C286" s="225"/>
      <c r="D286" s="37"/>
      <c r="E286" s="192">
        <f>+'[7]PRESUPUESTO 2015'!BD82</f>
        <v>0</v>
      </c>
    </row>
    <row r="287" spans="3:5" hidden="1" x14ac:dyDescent="0.25">
      <c r="C287" s="225" t="s">
        <v>343</v>
      </c>
      <c r="D287" s="37" t="s">
        <v>401</v>
      </c>
      <c r="E287" s="192">
        <f>+'[7]PRESUPUESTO 2015'!BD83</f>
        <v>0</v>
      </c>
    </row>
    <row r="288" spans="3:5" x14ac:dyDescent="0.25">
      <c r="C288" s="225" t="s">
        <v>141</v>
      </c>
      <c r="D288" s="37" t="s">
        <v>142</v>
      </c>
      <c r="E288" s="192">
        <f>+'[7]PRESUPUESTO 2015'!BD84</f>
        <v>31000000</v>
      </c>
    </row>
    <row r="289" spans="3:5" hidden="1" x14ac:dyDescent="0.25">
      <c r="C289" s="225" t="s">
        <v>143</v>
      </c>
      <c r="D289" s="37" t="s">
        <v>144</v>
      </c>
      <c r="E289" s="192">
        <f>+'[7]PRESUPUESTO 2015'!BD85</f>
        <v>0</v>
      </c>
    </row>
    <row r="290" spans="3:5" x14ac:dyDescent="0.25">
      <c r="C290" s="226" t="s">
        <v>145</v>
      </c>
      <c r="D290" s="181" t="s">
        <v>146</v>
      </c>
      <c r="E290" s="192">
        <f>+'[7]PRESUPUESTO 2015'!BD86-21002687</f>
        <v>15515992</v>
      </c>
    </row>
    <row r="291" spans="3:5" hidden="1" x14ac:dyDescent="0.25">
      <c r="C291" s="226" t="s">
        <v>147</v>
      </c>
      <c r="D291" s="181" t="s">
        <v>148</v>
      </c>
      <c r="E291" s="192">
        <v>0</v>
      </c>
    </row>
    <row r="292" spans="3:5" x14ac:dyDescent="0.25">
      <c r="C292" s="219"/>
      <c r="D292" s="67"/>
      <c r="E292" s="193"/>
    </row>
    <row r="293" spans="3:5" x14ac:dyDescent="0.25">
      <c r="C293" s="211" t="s">
        <v>149</v>
      </c>
      <c r="D293" s="191" t="s">
        <v>150</v>
      </c>
      <c r="E293" s="165">
        <f>SUM(E295:E298)</f>
        <v>317908255</v>
      </c>
    </row>
    <row r="294" spans="3:5" x14ac:dyDescent="0.25">
      <c r="C294" s="212"/>
      <c r="D294" s="120"/>
      <c r="E294" s="121"/>
    </row>
    <row r="295" spans="3:5" x14ac:dyDescent="0.25">
      <c r="C295" s="218" t="s">
        <v>151</v>
      </c>
      <c r="D295" s="37" t="s">
        <v>152</v>
      </c>
      <c r="E295" s="192">
        <f>+'[7]PRESUPUESTO 2015'!BD91</f>
        <v>6275105</v>
      </c>
    </row>
    <row r="296" spans="3:5" x14ac:dyDescent="0.25">
      <c r="C296" s="218" t="s">
        <v>153</v>
      </c>
      <c r="D296" s="37" t="s">
        <v>453</v>
      </c>
      <c r="E296" s="192">
        <f>+'[7]PRESUPUESTO 2015'!BD92</f>
        <v>308283150</v>
      </c>
    </row>
    <row r="297" spans="3:5" x14ac:dyDescent="0.25">
      <c r="C297" s="218" t="s">
        <v>155</v>
      </c>
      <c r="D297" s="37" t="s">
        <v>156</v>
      </c>
      <c r="E297" s="192">
        <f>+'[7]PRESUPUESTO 2015'!BD93</f>
        <v>2000000</v>
      </c>
    </row>
    <row r="298" spans="3:5" x14ac:dyDescent="0.25">
      <c r="C298" s="218" t="s">
        <v>157</v>
      </c>
      <c r="D298" s="37" t="s">
        <v>454</v>
      </c>
      <c r="E298" s="192">
        <f>+'[7]PRESUPUESTO 2015'!BD94</f>
        <v>1350000</v>
      </c>
    </row>
    <row r="299" spans="3:5" x14ac:dyDescent="0.25">
      <c r="C299" s="219"/>
      <c r="D299" s="67"/>
      <c r="E299" s="193"/>
    </row>
    <row r="300" spans="3:5" x14ac:dyDescent="0.25">
      <c r="C300" s="211" t="s">
        <v>159</v>
      </c>
      <c r="D300" s="191" t="s">
        <v>275</v>
      </c>
      <c r="E300" s="165">
        <f>SUM(E302)</f>
        <v>42100000</v>
      </c>
    </row>
    <row r="301" spans="3:5" x14ac:dyDescent="0.25">
      <c r="C301" s="212"/>
      <c r="D301" s="120"/>
      <c r="E301" s="121"/>
    </row>
    <row r="302" spans="3:5" x14ac:dyDescent="0.25">
      <c r="C302" s="220" t="s">
        <v>160</v>
      </c>
      <c r="D302" s="181" t="s">
        <v>161</v>
      </c>
      <c r="E302" s="192">
        <f>+'[7]PRESUPUESTO 2015'!BD98</f>
        <v>42100000</v>
      </c>
    </row>
    <row r="303" spans="3:5" x14ac:dyDescent="0.25">
      <c r="C303" s="224"/>
      <c r="D303" s="182"/>
      <c r="E303" s="194"/>
    </row>
    <row r="304" spans="3:5" x14ac:dyDescent="0.25">
      <c r="C304" s="211" t="s">
        <v>162</v>
      </c>
      <c r="D304" s="191" t="s">
        <v>163</v>
      </c>
      <c r="E304" s="165">
        <f>SUM(E306:E308)</f>
        <v>46723668</v>
      </c>
    </row>
    <row r="305" spans="3:5" x14ac:dyDescent="0.25">
      <c r="C305" s="212"/>
      <c r="D305" s="120"/>
      <c r="E305" s="121"/>
    </row>
    <row r="306" spans="3:5" x14ac:dyDescent="0.25">
      <c r="C306" s="218" t="s">
        <v>164</v>
      </c>
      <c r="D306" s="37" t="s">
        <v>165</v>
      </c>
      <c r="E306" s="192">
        <f>+'[7]PRESUPUESTO 2015'!BD102</f>
        <v>46623668</v>
      </c>
    </row>
    <row r="307" spans="3:5" x14ac:dyDescent="0.25">
      <c r="C307" s="218" t="s">
        <v>166</v>
      </c>
      <c r="D307" s="37" t="s">
        <v>167</v>
      </c>
      <c r="E307" s="192">
        <f>+'[7]PRESUPUESTO 2015'!BD103</f>
        <v>100000</v>
      </c>
    </row>
    <row r="308" spans="3:5" hidden="1" x14ac:dyDescent="0.25">
      <c r="C308" s="220" t="s">
        <v>168</v>
      </c>
      <c r="D308" s="181" t="s">
        <v>169</v>
      </c>
      <c r="E308" s="192">
        <f>+'[7]PRESUPUESTO 2015'!BD104</f>
        <v>0</v>
      </c>
    </row>
    <row r="309" spans="3:5" x14ac:dyDescent="0.25">
      <c r="C309" s="224"/>
      <c r="D309" s="182"/>
      <c r="E309" s="194"/>
    </row>
    <row r="310" spans="3:5" x14ac:dyDescent="0.25">
      <c r="C310" s="211" t="s">
        <v>170</v>
      </c>
      <c r="D310" s="191" t="s">
        <v>171</v>
      </c>
      <c r="E310" s="165">
        <f>SUM(E312:E319)</f>
        <v>15940000</v>
      </c>
    </row>
    <row r="311" spans="3:5" x14ac:dyDescent="0.25">
      <c r="C311" s="212"/>
      <c r="D311" s="120"/>
      <c r="E311" s="121"/>
    </row>
    <row r="312" spans="3:5" hidden="1" x14ac:dyDescent="0.25">
      <c r="C312" s="218" t="s">
        <v>172</v>
      </c>
      <c r="D312" s="37" t="s">
        <v>173</v>
      </c>
      <c r="E312" s="192">
        <f>+'[7]PRESUPUESTO 2015'!BD108</f>
        <v>0</v>
      </c>
    </row>
    <row r="313" spans="3:5" hidden="1" x14ac:dyDescent="0.25">
      <c r="C313" s="218" t="s">
        <v>174</v>
      </c>
      <c r="D313" s="37" t="s">
        <v>175</v>
      </c>
      <c r="E313" s="192">
        <f>+'[7]PRESUPUESTO 2015'!BD109</f>
        <v>0</v>
      </c>
    </row>
    <row r="314" spans="3:5" hidden="1" x14ac:dyDescent="0.25">
      <c r="C314" s="218" t="s">
        <v>402</v>
      </c>
      <c r="D314" s="37" t="s">
        <v>455</v>
      </c>
      <c r="E314" s="192">
        <f>+'[7]PRESUPUESTO 2015'!BD110</f>
        <v>0</v>
      </c>
    </row>
    <row r="315" spans="3:5" x14ac:dyDescent="0.25">
      <c r="C315" s="218" t="s">
        <v>176</v>
      </c>
      <c r="D315" s="37" t="s">
        <v>177</v>
      </c>
      <c r="E315" s="192">
        <f>+'[7]PRESUPUESTO 2015'!BD111</f>
        <v>14940000</v>
      </c>
    </row>
    <row r="316" spans="3:5" hidden="1" x14ac:dyDescent="0.25">
      <c r="C316" s="218" t="s">
        <v>178</v>
      </c>
      <c r="D316" s="37" t="s">
        <v>179</v>
      </c>
      <c r="E316" s="192">
        <f>+'[7]PRESUPUESTO 2015'!BD112</f>
        <v>0</v>
      </c>
    </row>
    <row r="317" spans="3:5" x14ac:dyDescent="0.25">
      <c r="C317" s="218" t="s">
        <v>180</v>
      </c>
      <c r="D317" s="37" t="s">
        <v>456</v>
      </c>
      <c r="E317" s="192">
        <f>+'[7]PRESUPUESTO 2015'!BD113</f>
        <v>250000</v>
      </c>
    </row>
    <row r="318" spans="3:5" ht="26.4" x14ac:dyDescent="0.25">
      <c r="C318" s="218" t="s">
        <v>182</v>
      </c>
      <c r="D318" s="37" t="s">
        <v>276</v>
      </c>
      <c r="E318" s="192">
        <f>+'[7]PRESUPUESTO 2015'!BD114</f>
        <v>750000</v>
      </c>
    </row>
    <row r="319" spans="3:5" hidden="1" x14ac:dyDescent="0.25">
      <c r="C319" s="218" t="s">
        <v>183</v>
      </c>
      <c r="D319" s="37" t="s">
        <v>184</v>
      </c>
      <c r="E319" s="192">
        <f>+'[7]PRESUPUESTO 2015'!BD115</f>
        <v>0</v>
      </c>
    </row>
    <row r="320" spans="3:5" x14ac:dyDescent="0.25">
      <c r="C320" s="219"/>
      <c r="D320" s="67"/>
      <c r="E320" s="193"/>
    </row>
    <row r="321" spans="1:5" x14ac:dyDescent="0.25">
      <c r="C321" s="211" t="s">
        <v>404</v>
      </c>
      <c r="D321" s="191" t="s">
        <v>405</v>
      </c>
      <c r="E321" s="165">
        <f>SUM(E323)</f>
        <v>895707</v>
      </c>
    </row>
    <row r="322" spans="1:5" x14ac:dyDescent="0.25">
      <c r="C322" s="212"/>
      <c r="D322" s="120"/>
      <c r="E322" s="121"/>
    </row>
    <row r="323" spans="1:5" x14ac:dyDescent="0.25">
      <c r="C323" s="220" t="s">
        <v>406</v>
      </c>
      <c r="D323" s="181" t="s">
        <v>407</v>
      </c>
      <c r="E323" s="192">
        <f>+'[7]PRESUPUESTO 2015'!BD119</f>
        <v>895707</v>
      </c>
    </row>
    <row r="324" spans="1:5" x14ac:dyDescent="0.25">
      <c r="C324" s="224"/>
      <c r="D324" s="182"/>
      <c r="E324" s="194"/>
    </row>
    <row r="325" spans="1:5" x14ac:dyDescent="0.25">
      <c r="C325" s="211" t="s">
        <v>185</v>
      </c>
      <c r="D325" s="191" t="s">
        <v>186</v>
      </c>
      <c r="E325" s="165">
        <f>SUM(E327:E329)</f>
        <v>1095707</v>
      </c>
    </row>
    <row r="326" spans="1:5" x14ac:dyDescent="0.25">
      <c r="C326" s="212"/>
      <c r="D326" s="120"/>
      <c r="E326" s="121"/>
    </row>
    <row r="327" spans="1:5" hidden="1" x14ac:dyDescent="0.25">
      <c r="C327" s="220" t="s">
        <v>408</v>
      </c>
      <c r="D327" s="181" t="s">
        <v>409</v>
      </c>
      <c r="E327" s="192">
        <f>+'[7]PRESUPUESTO 2015'!BD123</f>
        <v>0</v>
      </c>
    </row>
    <row r="328" spans="1:5" x14ac:dyDescent="0.25">
      <c r="C328" s="218" t="s">
        <v>187</v>
      </c>
      <c r="D328" s="37" t="s">
        <v>188</v>
      </c>
      <c r="E328" s="192">
        <f>+'[7]PRESUPUESTO 2015'!BD124</f>
        <v>895707</v>
      </c>
    </row>
    <row r="329" spans="1:5" x14ac:dyDescent="0.25">
      <c r="C329" s="218" t="s">
        <v>189</v>
      </c>
      <c r="D329" s="37" t="s">
        <v>190</v>
      </c>
      <c r="E329" s="192">
        <f>+'[7]PRESUPUESTO 2015'!BD125</f>
        <v>200000</v>
      </c>
    </row>
    <row r="330" spans="1:5" ht="13.8" thickBot="1" x14ac:dyDescent="0.3">
      <c r="C330" s="227"/>
      <c r="D330" s="188"/>
      <c r="E330" s="196"/>
    </row>
    <row r="331" spans="1:5" ht="17.25" customHeight="1" thickBot="1" x14ac:dyDescent="0.3">
      <c r="A331" s="86"/>
      <c r="B331" s="79"/>
      <c r="C331" s="222">
        <v>2</v>
      </c>
      <c r="D331" s="98" t="s">
        <v>22</v>
      </c>
      <c r="E331" s="149">
        <f>+E333+E340+E344+E353+E358</f>
        <v>84872864</v>
      </c>
    </row>
    <row r="332" spans="1:5" x14ac:dyDescent="0.25">
      <c r="C332" s="223"/>
      <c r="D332" s="185"/>
      <c r="E332" s="186"/>
    </row>
    <row r="333" spans="1:5" x14ac:dyDescent="0.25">
      <c r="C333" s="211" t="s">
        <v>191</v>
      </c>
      <c r="D333" s="191" t="s">
        <v>192</v>
      </c>
      <c r="E333" s="165">
        <f>SUM(E335:E338)</f>
        <v>59968826</v>
      </c>
    </row>
    <row r="334" spans="1:5" x14ac:dyDescent="0.25">
      <c r="C334" s="212"/>
      <c r="D334" s="120"/>
      <c r="E334" s="121"/>
    </row>
    <row r="335" spans="1:5" x14ac:dyDescent="0.25">
      <c r="C335" s="218" t="s">
        <v>193</v>
      </c>
      <c r="D335" s="37" t="s">
        <v>194</v>
      </c>
      <c r="E335" s="192">
        <f>+'[7]PRESUPUESTO 2015'!BD131</f>
        <v>39547210</v>
      </c>
    </row>
    <row r="336" spans="1:5" x14ac:dyDescent="0.25">
      <c r="C336" s="218" t="s">
        <v>195</v>
      </c>
      <c r="D336" s="37" t="s">
        <v>196</v>
      </c>
      <c r="E336" s="192">
        <f>+'[7]PRESUPUESTO 2015'!BD132</f>
        <v>1523052</v>
      </c>
    </row>
    <row r="337" spans="3:5" x14ac:dyDescent="0.25">
      <c r="C337" s="218" t="s">
        <v>197</v>
      </c>
      <c r="D337" s="37" t="s">
        <v>198</v>
      </c>
      <c r="E337" s="192">
        <f>+'[7]PRESUPUESTO 2015'!BD133</f>
        <v>18537754</v>
      </c>
    </row>
    <row r="338" spans="3:5" x14ac:dyDescent="0.25">
      <c r="C338" s="218" t="s">
        <v>199</v>
      </c>
      <c r="D338" s="37" t="s">
        <v>457</v>
      </c>
      <c r="E338" s="192">
        <f>+'[7]PRESUPUESTO 2015'!BD134</f>
        <v>360810</v>
      </c>
    </row>
    <row r="339" spans="3:5" hidden="1" x14ac:dyDescent="0.25">
      <c r="C339" s="219"/>
      <c r="D339" s="67"/>
      <c r="E339" s="193"/>
    </row>
    <row r="340" spans="3:5" hidden="1" x14ac:dyDescent="0.25">
      <c r="C340" s="211" t="s">
        <v>349</v>
      </c>
      <c r="D340" s="191" t="s">
        <v>350</v>
      </c>
      <c r="E340" s="165">
        <f>SUM(E342)</f>
        <v>0</v>
      </c>
    </row>
    <row r="341" spans="3:5" hidden="1" x14ac:dyDescent="0.25">
      <c r="C341" s="212"/>
      <c r="D341" s="120"/>
      <c r="E341" s="121"/>
    </row>
    <row r="342" spans="3:5" hidden="1" x14ac:dyDescent="0.25">
      <c r="C342" s="220" t="s">
        <v>351</v>
      </c>
      <c r="D342" s="181" t="s">
        <v>362</v>
      </c>
      <c r="E342" s="192">
        <f>+'[7]PRESUPUESTO 2015'!BD138</f>
        <v>0</v>
      </c>
    </row>
    <row r="343" spans="3:5" x14ac:dyDescent="0.25">
      <c r="C343" s="224"/>
      <c r="D343" s="182"/>
      <c r="E343" s="194"/>
    </row>
    <row r="344" spans="3:5" x14ac:dyDescent="0.25">
      <c r="C344" s="211" t="s">
        <v>201</v>
      </c>
      <c r="D344" s="191" t="s">
        <v>277</v>
      </c>
      <c r="E344" s="165">
        <f>SUM(E346:E351)</f>
        <v>1781881</v>
      </c>
    </row>
    <row r="345" spans="3:5" x14ac:dyDescent="0.25">
      <c r="C345" s="212"/>
      <c r="D345" s="120"/>
      <c r="E345" s="121"/>
    </row>
    <row r="346" spans="3:5" x14ac:dyDescent="0.25">
      <c r="C346" s="218" t="s">
        <v>202</v>
      </c>
      <c r="D346" s="37" t="s">
        <v>203</v>
      </c>
      <c r="E346" s="192">
        <f>+'[7]PRESUPUESTO 2015'!BD142</f>
        <v>1652940</v>
      </c>
    </row>
    <row r="347" spans="3:5" hidden="1" x14ac:dyDescent="0.25">
      <c r="C347" s="218" t="s">
        <v>204</v>
      </c>
      <c r="D347" s="37" t="s">
        <v>458</v>
      </c>
      <c r="E347" s="192">
        <f>+'[7]PRESUPUESTO 2015'!BD143</f>
        <v>0</v>
      </c>
    </row>
    <row r="348" spans="3:5" x14ac:dyDescent="0.25">
      <c r="C348" s="218" t="s">
        <v>206</v>
      </c>
      <c r="D348" s="37" t="s">
        <v>207</v>
      </c>
      <c r="E348" s="192">
        <f>+'[7]PRESUPUESTO 2015'!BD144</f>
        <v>116173</v>
      </c>
    </row>
    <row r="349" spans="3:5" hidden="1" x14ac:dyDescent="0.25">
      <c r="C349" s="218" t="s">
        <v>208</v>
      </c>
      <c r="D349" s="37" t="s">
        <v>209</v>
      </c>
      <c r="E349" s="192">
        <f>+'[7]PRESUPUESTO 2015'!BD145</f>
        <v>0</v>
      </c>
    </row>
    <row r="350" spans="3:5" x14ac:dyDescent="0.25">
      <c r="C350" s="218" t="s">
        <v>210</v>
      </c>
      <c r="D350" s="37" t="s">
        <v>211</v>
      </c>
      <c r="E350" s="192">
        <f>+'[7]PRESUPUESTO 2015'!BD146</f>
        <v>12768</v>
      </c>
    </row>
    <row r="351" spans="3:5" hidden="1" x14ac:dyDescent="0.25">
      <c r="C351" s="218" t="s">
        <v>212</v>
      </c>
      <c r="D351" s="37" t="s">
        <v>459</v>
      </c>
      <c r="E351" s="192">
        <f>+'[7]PRESUPUESTO 2015'!BD147</f>
        <v>0</v>
      </c>
    </row>
    <row r="352" spans="3:5" x14ac:dyDescent="0.25">
      <c r="C352" s="219"/>
      <c r="D352" s="67"/>
      <c r="E352" s="193"/>
    </row>
    <row r="353" spans="3:5" x14ac:dyDescent="0.25">
      <c r="C353" s="211" t="s">
        <v>214</v>
      </c>
      <c r="D353" s="191" t="s">
        <v>215</v>
      </c>
      <c r="E353" s="165">
        <f>SUM(E355:E356)</f>
        <v>13025260</v>
      </c>
    </row>
    <row r="354" spans="3:5" x14ac:dyDescent="0.25">
      <c r="C354" s="212"/>
      <c r="D354" s="120"/>
      <c r="E354" s="121"/>
    </row>
    <row r="355" spans="3:5" hidden="1" x14ac:dyDescent="0.25">
      <c r="C355" s="218" t="s">
        <v>216</v>
      </c>
      <c r="D355" s="37" t="s">
        <v>217</v>
      </c>
      <c r="E355" s="192">
        <f>+'[7]PRESUPUESTO 2015'!BD151</f>
        <v>0</v>
      </c>
    </row>
    <row r="356" spans="3:5" x14ac:dyDescent="0.25">
      <c r="C356" s="218" t="s">
        <v>218</v>
      </c>
      <c r="D356" s="37" t="s">
        <v>219</v>
      </c>
      <c r="E356" s="192">
        <f>+'[7]PRESUPUESTO 2015'!BD152</f>
        <v>13025260</v>
      </c>
    </row>
    <row r="357" spans="3:5" x14ac:dyDescent="0.25">
      <c r="C357" s="219"/>
      <c r="D357" s="67"/>
      <c r="E357" s="193"/>
    </row>
    <row r="358" spans="3:5" x14ac:dyDescent="0.25">
      <c r="C358" s="211" t="s">
        <v>220</v>
      </c>
      <c r="D358" s="191" t="s">
        <v>278</v>
      </c>
      <c r="E358" s="165">
        <f>SUM(E360:E367)</f>
        <v>10096897</v>
      </c>
    </row>
    <row r="359" spans="3:5" x14ac:dyDescent="0.25">
      <c r="C359" s="212"/>
      <c r="D359" s="120"/>
      <c r="E359" s="121"/>
    </row>
    <row r="360" spans="3:5" x14ac:dyDescent="0.25">
      <c r="C360" s="218" t="s">
        <v>221</v>
      </c>
      <c r="D360" s="94" t="s">
        <v>222</v>
      </c>
      <c r="E360" s="192">
        <f>+'[7]PRESUPUESTO 2015'!BD156</f>
        <v>1274341</v>
      </c>
    </row>
    <row r="361" spans="3:5" hidden="1" x14ac:dyDescent="0.25">
      <c r="C361" s="218" t="s">
        <v>223</v>
      </c>
      <c r="D361" s="94" t="s">
        <v>279</v>
      </c>
      <c r="E361" s="192">
        <f>+'[7]PRESUPUESTO 2015'!BD157</f>
        <v>0</v>
      </c>
    </row>
    <row r="362" spans="3:5" x14ac:dyDescent="0.25">
      <c r="C362" s="218" t="s">
        <v>224</v>
      </c>
      <c r="D362" s="94" t="s">
        <v>225</v>
      </c>
      <c r="E362" s="192">
        <f>+'[7]PRESUPUESTO 2015'!BD158</f>
        <v>4389856</v>
      </c>
    </row>
    <row r="363" spans="3:5" x14ac:dyDescent="0.25">
      <c r="C363" s="218" t="s">
        <v>226</v>
      </c>
      <c r="D363" s="94" t="s">
        <v>227</v>
      </c>
      <c r="E363" s="192">
        <f>+'[7]PRESUPUESTO 2015'!BD159</f>
        <v>3486108</v>
      </c>
    </row>
    <row r="364" spans="3:5" x14ac:dyDescent="0.25">
      <c r="C364" s="218" t="s">
        <v>228</v>
      </c>
      <c r="D364" s="94" t="s">
        <v>229</v>
      </c>
      <c r="E364" s="192">
        <f>+'[7]PRESUPUESTO 2015'!BD160</f>
        <v>946592</v>
      </c>
    </row>
    <row r="365" spans="3:5" hidden="1" x14ac:dyDescent="0.25">
      <c r="C365" s="218" t="s">
        <v>230</v>
      </c>
      <c r="D365" s="94" t="s">
        <v>231</v>
      </c>
      <c r="E365" s="192">
        <f>+'[7]PRESUPUESTO 2015'!BD161</f>
        <v>0</v>
      </c>
    </row>
    <row r="366" spans="3:5" hidden="1" x14ac:dyDescent="0.25">
      <c r="C366" s="218" t="s">
        <v>366</v>
      </c>
      <c r="D366" s="94" t="s">
        <v>410</v>
      </c>
      <c r="E366" s="192">
        <f>+'[7]PRESUPUESTO 2015'!BD162</f>
        <v>0</v>
      </c>
    </row>
    <row r="367" spans="3:5" hidden="1" x14ac:dyDescent="0.25">
      <c r="C367" s="218" t="s">
        <v>232</v>
      </c>
      <c r="D367" s="94" t="s">
        <v>460</v>
      </c>
      <c r="E367" s="192">
        <f>+'[7]PRESUPUESTO 2015'!BD163</f>
        <v>0</v>
      </c>
    </row>
    <row r="368" spans="3:5" ht="13.8" thickBot="1" x14ac:dyDescent="0.3">
      <c r="C368" s="227"/>
      <c r="D368" s="188"/>
      <c r="E368" s="196"/>
    </row>
    <row r="369" spans="3:5" ht="13.8" thickBot="1" x14ac:dyDescent="0.3">
      <c r="C369" s="222">
        <v>5</v>
      </c>
      <c r="D369" s="98" t="s">
        <v>57</v>
      </c>
      <c r="E369" s="149">
        <f>+E371+E382+E387</f>
        <v>7596800</v>
      </c>
    </row>
    <row r="370" spans="3:5" x14ac:dyDescent="0.25">
      <c r="C370" s="223"/>
      <c r="D370" s="185"/>
      <c r="E370" s="186"/>
    </row>
    <row r="371" spans="3:5" x14ac:dyDescent="0.25">
      <c r="C371" s="211" t="s">
        <v>234</v>
      </c>
      <c r="D371" s="191" t="s">
        <v>235</v>
      </c>
      <c r="E371" s="165">
        <f>SUM(E373:E380)</f>
        <v>7596800</v>
      </c>
    </row>
    <row r="372" spans="3:5" x14ac:dyDescent="0.25">
      <c r="C372" s="212"/>
      <c r="D372" s="120"/>
      <c r="E372" s="121"/>
    </row>
    <row r="373" spans="3:5" hidden="1" x14ac:dyDescent="0.25">
      <c r="C373" s="93" t="s">
        <v>430</v>
      </c>
      <c r="D373" s="94" t="s">
        <v>431</v>
      </c>
      <c r="E373" s="192">
        <f>+'[7]PRESUPUESTO 2015'!BD169</f>
        <v>0</v>
      </c>
    </row>
    <row r="374" spans="3:5" hidden="1" x14ac:dyDescent="0.25">
      <c r="C374" s="218" t="s">
        <v>236</v>
      </c>
      <c r="D374" s="37" t="s">
        <v>237</v>
      </c>
      <c r="E374" s="192">
        <f>+'[7]PRESUPUESTO 2015'!BD170</f>
        <v>0</v>
      </c>
    </row>
    <row r="375" spans="3:5" x14ac:dyDescent="0.25">
      <c r="C375" s="218" t="s">
        <v>238</v>
      </c>
      <c r="D375" s="37" t="s">
        <v>239</v>
      </c>
      <c r="E375" s="192">
        <f>+'[7]PRESUPUESTO 2015'!BD171</f>
        <v>710000</v>
      </c>
    </row>
    <row r="376" spans="3:5" x14ac:dyDescent="0.25">
      <c r="C376" s="218" t="s">
        <v>240</v>
      </c>
      <c r="D376" s="37" t="s">
        <v>241</v>
      </c>
      <c r="E376" s="192">
        <f>+'[7]PRESUPUESTO 2015'!BD172</f>
        <v>386800</v>
      </c>
    </row>
    <row r="377" spans="3:5" x14ac:dyDescent="0.25">
      <c r="C377" s="218" t="s">
        <v>242</v>
      </c>
      <c r="D377" s="37" t="s">
        <v>243</v>
      </c>
      <c r="E377" s="192">
        <f>+'[7]PRESUPUESTO 2015'!BD173</f>
        <v>6320000</v>
      </c>
    </row>
    <row r="378" spans="3:5" hidden="1" x14ac:dyDescent="0.25">
      <c r="C378" s="218" t="s">
        <v>244</v>
      </c>
      <c r="D378" s="37" t="s">
        <v>245</v>
      </c>
      <c r="E378" s="192">
        <f>+'[7]PRESUPUESTO 2015'!BD174</f>
        <v>0</v>
      </c>
    </row>
    <row r="379" spans="3:5" hidden="1" x14ac:dyDescent="0.25">
      <c r="C379" s="218" t="s">
        <v>246</v>
      </c>
      <c r="D379" s="37" t="s">
        <v>247</v>
      </c>
      <c r="E379" s="192">
        <f>+'[7]PRESUPUESTO 2015'!BD175</f>
        <v>0</v>
      </c>
    </row>
    <row r="380" spans="3:5" x14ac:dyDescent="0.25">
      <c r="C380" s="218" t="s">
        <v>248</v>
      </c>
      <c r="D380" s="94" t="s">
        <v>461</v>
      </c>
      <c r="E380" s="192">
        <f>+'[7]PRESUPUESTO 2015'!BD176</f>
        <v>180000</v>
      </c>
    </row>
    <row r="381" spans="3:5" hidden="1" x14ac:dyDescent="0.25">
      <c r="C381" s="219"/>
      <c r="D381" s="67"/>
      <c r="E381" s="193"/>
    </row>
    <row r="382" spans="3:5" hidden="1" x14ac:dyDescent="0.25">
      <c r="C382" s="211" t="s">
        <v>250</v>
      </c>
      <c r="D382" s="191" t="s">
        <v>251</v>
      </c>
      <c r="E382" s="165">
        <f>SUM(E384:E385)</f>
        <v>0</v>
      </c>
    </row>
    <row r="383" spans="3:5" hidden="1" x14ac:dyDescent="0.25">
      <c r="C383" s="212"/>
      <c r="D383" s="120"/>
      <c r="E383" s="121"/>
    </row>
    <row r="384" spans="3:5" hidden="1" x14ac:dyDescent="0.25">
      <c r="C384" s="218" t="s">
        <v>252</v>
      </c>
      <c r="D384" s="37" t="s">
        <v>253</v>
      </c>
      <c r="E384" s="192">
        <f>+'[7]PRESUPUESTO 2015'!BD180</f>
        <v>0</v>
      </c>
    </row>
    <row r="385" spans="3:5" hidden="1" x14ac:dyDescent="0.25">
      <c r="C385" s="218" t="s">
        <v>254</v>
      </c>
      <c r="D385" s="37" t="s">
        <v>255</v>
      </c>
      <c r="E385" s="192">
        <f>+'[7]PRESUPUESTO 2015'!BD181</f>
        <v>0</v>
      </c>
    </row>
    <row r="386" spans="3:5" hidden="1" x14ac:dyDescent="0.25">
      <c r="C386" s="228"/>
      <c r="D386" s="38"/>
      <c r="E386" s="48"/>
    </row>
    <row r="387" spans="3:5" hidden="1" x14ac:dyDescent="0.25">
      <c r="C387" s="211" t="s">
        <v>258</v>
      </c>
      <c r="D387" s="191" t="s">
        <v>251</v>
      </c>
      <c r="E387" s="165">
        <f>SUM(E389:E390)</f>
        <v>0</v>
      </c>
    </row>
    <row r="388" spans="3:5" hidden="1" x14ac:dyDescent="0.25">
      <c r="C388" s="212"/>
      <c r="D388" s="120"/>
      <c r="E388" s="121"/>
    </row>
    <row r="389" spans="3:5" hidden="1" x14ac:dyDescent="0.25">
      <c r="C389" s="218" t="s">
        <v>411</v>
      </c>
      <c r="D389" s="37" t="s">
        <v>412</v>
      </c>
      <c r="E389" s="192">
        <f>+'[7]PRESUPUESTO 2015'!BD185</f>
        <v>0</v>
      </c>
    </row>
    <row r="390" spans="3:5" hidden="1" x14ac:dyDescent="0.25">
      <c r="C390" s="218" t="s">
        <v>259</v>
      </c>
      <c r="D390" s="37" t="s">
        <v>260</v>
      </c>
      <c r="E390" s="192">
        <f>+'[7]PRESUPUESTO 2015'!BD186</f>
        <v>0</v>
      </c>
    </row>
    <row r="391" spans="3:5" ht="13.8" thickBot="1" x14ac:dyDescent="0.3">
      <c r="C391" s="227"/>
      <c r="D391" s="188"/>
      <c r="E391" s="196"/>
    </row>
    <row r="392" spans="3:5" ht="13.8" thickBot="1" x14ac:dyDescent="0.3">
      <c r="C392" s="222">
        <v>6</v>
      </c>
      <c r="D392" s="98" t="s">
        <v>261</v>
      </c>
      <c r="E392" s="149">
        <f>+E394+E399+E403+E407</f>
        <v>484844867</v>
      </c>
    </row>
    <row r="393" spans="3:5" x14ac:dyDescent="0.25">
      <c r="C393" s="223"/>
      <c r="D393" s="185"/>
      <c r="E393" s="186"/>
    </row>
    <row r="394" spans="3:5" x14ac:dyDescent="0.25">
      <c r="C394" s="211" t="s">
        <v>262</v>
      </c>
      <c r="D394" s="191" t="s">
        <v>280</v>
      </c>
      <c r="E394" s="165">
        <f>SUM(E396:E397)</f>
        <v>476500000</v>
      </c>
    </row>
    <row r="395" spans="3:5" x14ac:dyDescent="0.25">
      <c r="C395" s="212"/>
      <c r="D395" s="120"/>
      <c r="E395" s="121"/>
    </row>
    <row r="396" spans="3:5" x14ac:dyDescent="0.25">
      <c r="C396" s="229" t="s">
        <v>353</v>
      </c>
      <c r="D396" s="187" t="s">
        <v>354</v>
      </c>
      <c r="E396" s="192">
        <f>+'[7]PRESUPUESTO 2015'!BD192</f>
        <v>476500000</v>
      </c>
    </row>
    <row r="397" spans="3:5" hidden="1" x14ac:dyDescent="0.25">
      <c r="C397" s="229" t="s">
        <v>263</v>
      </c>
      <c r="D397" s="187" t="s">
        <v>462</v>
      </c>
      <c r="E397" s="192">
        <f>+'[7]PRESUPUESTO 2015'!BD193</f>
        <v>0</v>
      </c>
    </row>
    <row r="398" spans="3:5" x14ac:dyDescent="0.25">
      <c r="C398" s="230"/>
      <c r="D398" s="189"/>
      <c r="E398" s="194"/>
    </row>
    <row r="399" spans="3:5" x14ac:dyDescent="0.25">
      <c r="C399" s="211" t="s">
        <v>264</v>
      </c>
      <c r="D399" s="191" t="s">
        <v>265</v>
      </c>
      <c r="E399" s="165">
        <f>SUM(E401)</f>
        <v>8344867</v>
      </c>
    </row>
    <row r="400" spans="3:5" x14ac:dyDescent="0.25">
      <c r="C400" s="212"/>
      <c r="D400" s="120"/>
      <c r="E400" s="121"/>
    </row>
    <row r="401" spans="3:5" x14ac:dyDescent="0.25">
      <c r="C401" s="229" t="s">
        <v>345</v>
      </c>
      <c r="D401" s="187" t="s">
        <v>36</v>
      </c>
      <c r="E401" s="192">
        <f>+'[7]PRESUPUESTO 2015'!BD197</f>
        <v>8344867</v>
      </c>
    </row>
    <row r="402" spans="3:5" hidden="1" x14ac:dyDescent="0.25">
      <c r="C402" s="230"/>
      <c r="D402" s="189"/>
      <c r="E402" s="194"/>
    </row>
    <row r="403" spans="3:5" hidden="1" x14ac:dyDescent="0.25">
      <c r="C403" s="211" t="s">
        <v>378</v>
      </c>
      <c r="D403" s="191" t="s">
        <v>414</v>
      </c>
      <c r="E403" s="165">
        <f>SUM(E405)</f>
        <v>0</v>
      </c>
    </row>
    <row r="404" spans="3:5" hidden="1" x14ac:dyDescent="0.25">
      <c r="C404" s="212"/>
      <c r="D404" s="120"/>
      <c r="E404" s="121"/>
    </row>
    <row r="405" spans="3:5" hidden="1" x14ac:dyDescent="0.25">
      <c r="C405" s="229" t="s">
        <v>380</v>
      </c>
      <c r="D405" s="187" t="s">
        <v>381</v>
      </c>
      <c r="E405" s="192">
        <f>+'[7]PRESUPUESTO 2015'!BD201</f>
        <v>0</v>
      </c>
    </row>
    <row r="406" spans="3:5" hidden="1" x14ac:dyDescent="0.25">
      <c r="C406" s="230"/>
      <c r="D406" s="189"/>
      <c r="E406" s="194"/>
    </row>
    <row r="407" spans="3:5" hidden="1" x14ac:dyDescent="0.25">
      <c r="C407" s="211" t="s">
        <v>266</v>
      </c>
      <c r="D407" s="191" t="s">
        <v>281</v>
      </c>
      <c r="E407" s="165">
        <f>SUM(E409:E410)</f>
        <v>0</v>
      </c>
    </row>
    <row r="408" spans="3:5" hidden="1" x14ac:dyDescent="0.25">
      <c r="C408" s="212"/>
      <c r="D408" s="120"/>
      <c r="E408" s="121"/>
    </row>
    <row r="409" spans="3:5" hidden="1" x14ac:dyDescent="0.25">
      <c r="C409" s="220" t="s">
        <v>267</v>
      </c>
      <c r="D409" s="181" t="s">
        <v>282</v>
      </c>
      <c r="E409" s="192">
        <f>+'[7]PRESUPUESTO 2015'!BD205</f>
        <v>0</v>
      </c>
    </row>
    <row r="410" spans="3:5" hidden="1" x14ac:dyDescent="0.25">
      <c r="C410" s="220" t="s">
        <v>359</v>
      </c>
      <c r="D410" s="181" t="s">
        <v>368</v>
      </c>
      <c r="E410" s="192">
        <f>+'[7]PRESUPUESTO 2015'!BD206</f>
        <v>0</v>
      </c>
    </row>
    <row r="411" spans="3:5" hidden="1" x14ac:dyDescent="0.25">
      <c r="C411" s="231"/>
      <c r="D411" s="190"/>
      <c r="E411" s="197"/>
    </row>
    <row r="412" spans="3:5" ht="13.8" hidden="1" thickBot="1" x14ac:dyDescent="0.3">
      <c r="C412" s="222">
        <v>9</v>
      </c>
      <c r="D412" s="98" t="s">
        <v>58</v>
      </c>
      <c r="E412" s="149">
        <f>E414</f>
        <v>0</v>
      </c>
    </row>
    <row r="413" spans="3:5" hidden="1" x14ac:dyDescent="0.25">
      <c r="C413" s="223"/>
      <c r="D413" s="185"/>
      <c r="E413" s="186"/>
    </row>
    <row r="414" spans="3:5" hidden="1" x14ac:dyDescent="0.25">
      <c r="C414" s="211" t="s">
        <v>268</v>
      </c>
      <c r="D414" s="191" t="s">
        <v>269</v>
      </c>
      <c r="E414" s="165">
        <f>SUM(E416:E417)</f>
        <v>0</v>
      </c>
    </row>
    <row r="415" spans="3:5" hidden="1" x14ac:dyDescent="0.25">
      <c r="C415" s="212"/>
      <c r="D415" s="120"/>
      <c r="E415" s="121"/>
    </row>
    <row r="416" spans="3:5" hidden="1" x14ac:dyDescent="0.25">
      <c r="C416" s="218" t="s">
        <v>270</v>
      </c>
      <c r="D416" s="57" t="s">
        <v>60</v>
      </c>
      <c r="E416" s="192">
        <f>+'[7]PRESUPUESTO 2015'!BD212</f>
        <v>0</v>
      </c>
    </row>
    <row r="417" spans="1:6" hidden="1" x14ac:dyDescent="0.25">
      <c r="C417" s="220" t="s">
        <v>271</v>
      </c>
      <c r="D417" s="181" t="s">
        <v>283</v>
      </c>
      <c r="E417" s="192">
        <f>+'[7]PRESUPUESTO 2015'!BD213</f>
        <v>0</v>
      </c>
    </row>
    <row r="418" spans="1:6" ht="13.8" thickBot="1" x14ac:dyDescent="0.3">
      <c r="C418" s="232"/>
      <c r="D418" s="233"/>
      <c r="E418" s="234"/>
    </row>
    <row r="419" spans="1:6" ht="21.9" customHeight="1" thickBot="1" x14ac:dyDescent="0.3">
      <c r="A419" s="201" t="s">
        <v>423</v>
      </c>
      <c r="B419" s="202">
        <f>SUM(B220:B418)</f>
        <v>2554100000</v>
      </c>
      <c r="C419" s="1592" t="s">
        <v>424</v>
      </c>
      <c r="D419" s="1593"/>
      <c r="E419" s="206">
        <f>+E392+E369+E331+E257+E217</f>
        <v>2554100000</v>
      </c>
      <c r="F419" s="238"/>
    </row>
    <row r="421" spans="1:6" ht="13.8" thickBot="1" x14ac:dyDescent="0.3"/>
    <row r="422" spans="1:6" ht="21.9" customHeight="1" thickBot="1" x14ac:dyDescent="0.3">
      <c r="A422" s="236" t="s">
        <v>421</v>
      </c>
      <c r="B422" s="237" t="s">
        <v>44</v>
      </c>
      <c r="C422" s="1596" t="s">
        <v>422</v>
      </c>
      <c r="D422" s="1597"/>
      <c r="E422" s="200" t="s">
        <v>44</v>
      </c>
    </row>
    <row r="423" spans="1:6" ht="13.8" thickBot="1" x14ac:dyDescent="0.3"/>
    <row r="424" spans="1:6" ht="21.9" hidden="1" customHeight="1" x14ac:dyDescent="0.25">
      <c r="C424" s="199" t="s">
        <v>70</v>
      </c>
      <c r="D424" s="98" t="s">
        <v>53</v>
      </c>
      <c r="E424" s="203">
        <f>E427+E433+E438+E447+E455+E460</f>
        <v>0</v>
      </c>
    </row>
    <row r="425" spans="1:6" ht="13.8" hidden="1" thickBot="1" x14ac:dyDescent="0.3">
      <c r="C425" s="198"/>
      <c r="D425" s="179" t="s">
        <v>390</v>
      </c>
      <c r="E425" s="180">
        <f>E429+E430+E435+E440+E441+E442+E443+E444</f>
        <v>0</v>
      </c>
    </row>
    <row r="426" spans="1:6" ht="13.8" hidden="1" thickBot="1" x14ac:dyDescent="0.3">
      <c r="C426" s="235"/>
      <c r="D426" s="120"/>
      <c r="E426" s="121"/>
    </row>
    <row r="427" spans="1:6" ht="13.8" hidden="1" thickBot="1" x14ac:dyDescent="0.3">
      <c r="C427" s="211" t="s">
        <v>325</v>
      </c>
      <c r="D427" s="155" t="s">
        <v>71</v>
      </c>
      <c r="E427" s="165">
        <f>SUM(E429:E431)</f>
        <v>0</v>
      </c>
    </row>
    <row r="428" spans="1:6" ht="13.8" hidden="1" thickBot="1" x14ac:dyDescent="0.3">
      <c r="C428" s="212"/>
      <c r="D428" s="120"/>
      <c r="E428" s="121"/>
    </row>
    <row r="429" spans="1:6" ht="13.8" hidden="1" thickBot="1" x14ac:dyDescent="0.3">
      <c r="C429" s="213" t="s">
        <v>72</v>
      </c>
      <c r="D429" s="37" t="s">
        <v>37</v>
      </c>
      <c r="E429" s="192"/>
    </row>
    <row r="430" spans="1:6" ht="13.8" hidden="1" thickBot="1" x14ac:dyDescent="0.3">
      <c r="C430" s="213" t="s">
        <v>73</v>
      </c>
      <c r="D430" s="37" t="s">
        <v>30</v>
      </c>
      <c r="E430" s="192"/>
    </row>
    <row r="431" spans="1:6" ht="13.8" hidden="1" thickBot="1" x14ac:dyDescent="0.3">
      <c r="C431" s="213" t="s">
        <v>391</v>
      </c>
      <c r="D431" s="37" t="s">
        <v>374</v>
      </c>
      <c r="E431" s="192"/>
    </row>
    <row r="432" spans="1:6" ht="13.8" hidden="1" thickBot="1" x14ac:dyDescent="0.3">
      <c r="C432" s="214"/>
      <c r="D432" s="67"/>
      <c r="E432" s="193"/>
    </row>
    <row r="433" spans="3:5" ht="13.8" hidden="1" thickBot="1" x14ac:dyDescent="0.3">
      <c r="C433" s="211" t="s">
        <v>74</v>
      </c>
      <c r="D433" s="155" t="s">
        <v>75</v>
      </c>
      <c r="E433" s="165">
        <f>SUM(E435:E436)</f>
        <v>0</v>
      </c>
    </row>
    <row r="434" spans="3:5" ht="13.8" hidden="1" thickBot="1" x14ac:dyDescent="0.3">
      <c r="C434" s="212"/>
      <c r="D434" s="120"/>
      <c r="E434" s="121"/>
    </row>
    <row r="435" spans="3:5" ht="13.8" hidden="1" thickBot="1" x14ac:dyDescent="0.3">
      <c r="C435" s="213" t="s">
        <v>76</v>
      </c>
      <c r="D435" s="37" t="s">
        <v>35</v>
      </c>
      <c r="E435" s="192">
        <v>0</v>
      </c>
    </row>
    <row r="436" spans="3:5" ht="13.8" hidden="1" thickBot="1" x14ac:dyDescent="0.3">
      <c r="C436" s="215" t="s">
        <v>77</v>
      </c>
      <c r="D436" s="181" t="s">
        <v>17</v>
      </c>
      <c r="E436" s="192"/>
    </row>
    <row r="437" spans="3:5" ht="13.8" hidden="1" thickBot="1" x14ac:dyDescent="0.3">
      <c r="C437" s="216"/>
      <c r="D437" s="182"/>
      <c r="E437" s="194"/>
    </row>
    <row r="438" spans="3:5" ht="13.8" hidden="1" thickBot="1" x14ac:dyDescent="0.3">
      <c r="C438" s="211" t="s">
        <v>78</v>
      </c>
      <c r="D438" s="155" t="s">
        <v>79</v>
      </c>
      <c r="E438" s="165">
        <f>SUM(E440:E444)</f>
        <v>0</v>
      </c>
    </row>
    <row r="439" spans="3:5" ht="13.8" hidden="1" thickBot="1" x14ac:dyDescent="0.3">
      <c r="C439" s="212"/>
      <c r="D439" s="120"/>
      <c r="E439" s="121"/>
    </row>
    <row r="440" spans="3:5" ht="13.8" hidden="1" thickBot="1" x14ac:dyDescent="0.3">
      <c r="C440" s="213" t="s">
        <v>80</v>
      </c>
      <c r="D440" s="37" t="s">
        <v>81</v>
      </c>
      <c r="E440" s="192"/>
    </row>
    <row r="441" spans="3:5" ht="13.8" hidden="1" thickBot="1" x14ac:dyDescent="0.3">
      <c r="C441" s="213" t="s">
        <v>82</v>
      </c>
      <c r="D441" s="37" t="s">
        <v>83</v>
      </c>
      <c r="E441" s="192"/>
    </row>
    <row r="442" spans="3:5" ht="13.8" hidden="1" thickBot="1" x14ac:dyDescent="0.3">
      <c r="C442" s="213" t="s">
        <v>84</v>
      </c>
      <c r="D442" s="37" t="s">
        <v>85</v>
      </c>
      <c r="E442" s="192"/>
    </row>
    <row r="443" spans="3:5" ht="13.8" hidden="1" thickBot="1" x14ac:dyDescent="0.3">
      <c r="C443" s="213" t="s">
        <v>86</v>
      </c>
      <c r="D443" s="37" t="s">
        <v>18</v>
      </c>
      <c r="E443" s="192"/>
    </row>
    <row r="444" spans="3:5" ht="13.8" hidden="1" thickBot="1" x14ac:dyDescent="0.3">
      <c r="C444" s="213" t="s">
        <v>87</v>
      </c>
      <c r="D444" s="37" t="s">
        <v>88</v>
      </c>
      <c r="E444" s="192"/>
    </row>
    <row r="445" spans="3:5" ht="13.8" hidden="1" thickBot="1" x14ac:dyDescent="0.3">
      <c r="C445" s="214"/>
      <c r="D445" s="67"/>
      <c r="E445" s="192"/>
    </row>
    <row r="446" spans="3:5" ht="13.8" hidden="1" thickBot="1" x14ac:dyDescent="0.3">
      <c r="C446" s="217"/>
      <c r="D446" s="179" t="s">
        <v>392</v>
      </c>
      <c r="E446" s="180">
        <f>E449+E450+E451+E452+E453+E457+E458</f>
        <v>0</v>
      </c>
    </row>
    <row r="447" spans="3:5" ht="13.8" hidden="1" thickBot="1" x14ac:dyDescent="0.3">
      <c r="C447" s="211" t="s">
        <v>89</v>
      </c>
      <c r="D447" s="155" t="s">
        <v>273</v>
      </c>
      <c r="E447" s="165">
        <f>SUM(E449:E453)</f>
        <v>0</v>
      </c>
    </row>
    <row r="448" spans="3:5" ht="13.8" hidden="1" thickBot="1" x14ac:dyDescent="0.3">
      <c r="C448" s="212"/>
      <c r="D448" s="120"/>
      <c r="E448" s="121"/>
    </row>
    <row r="449" spans="1:5" ht="13.8" hidden="1" thickBot="1" x14ac:dyDescent="0.3">
      <c r="C449" s="218" t="s">
        <v>90</v>
      </c>
      <c r="D449" s="37" t="s">
        <v>91</v>
      </c>
      <c r="E449" s="192">
        <v>0</v>
      </c>
    </row>
    <row r="450" spans="1:5" ht="13.8" hidden="1" thickBot="1" x14ac:dyDescent="0.3">
      <c r="C450" s="218" t="s">
        <v>92</v>
      </c>
      <c r="D450" s="37" t="s">
        <v>55</v>
      </c>
      <c r="E450" s="192">
        <v>0</v>
      </c>
    </row>
    <row r="451" spans="1:5" ht="13.8" hidden="1" thickBot="1" x14ac:dyDescent="0.3">
      <c r="C451" s="218" t="s">
        <v>93</v>
      </c>
      <c r="D451" s="37" t="s">
        <v>19</v>
      </c>
      <c r="E451" s="192">
        <v>0</v>
      </c>
    </row>
    <row r="452" spans="1:5" ht="13.8" hidden="1" thickBot="1" x14ac:dyDescent="0.3">
      <c r="C452" s="218" t="s">
        <v>94</v>
      </c>
      <c r="D452" s="37" t="s">
        <v>95</v>
      </c>
      <c r="E452" s="192">
        <v>0</v>
      </c>
    </row>
    <row r="453" spans="1:5" ht="13.8" hidden="1" thickBot="1" x14ac:dyDescent="0.3">
      <c r="C453" s="218" t="s">
        <v>96</v>
      </c>
      <c r="D453" s="37" t="s">
        <v>97</v>
      </c>
      <c r="E453" s="192">
        <v>0</v>
      </c>
    </row>
    <row r="454" spans="1:5" ht="13.8" hidden="1" thickBot="1" x14ac:dyDescent="0.3">
      <c r="C454" s="219"/>
      <c r="D454" s="67"/>
      <c r="E454" s="193"/>
    </row>
    <row r="455" spans="1:5" ht="13.8" hidden="1" thickBot="1" x14ac:dyDescent="0.3">
      <c r="C455" s="211" t="s">
        <v>98</v>
      </c>
      <c r="D455" s="191" t="s">
        <v>99</v>
      </c>
      <c r="E455" s="165">
        <f>SUM(E457:E458)</f>
        <v>0</v>
      </c>
    </row>
    <row r="456" spans="1:5" ht="13.8" hidden="1" thickBot="1" x14ac:dyDescent="0.3">
      <c r="C456" s="212"/>
      <c r="D456" s="120"/>
      <c r="E456" s="121"/>
    </row>
    <row r="457" spans="1:5" ht="27" hidden="1" thickBot="1" x14ac:dyDescent="0.3">
      <c r="C457" s="218" t="s">
        <v>100</v>
      </c>
      <c r="D457" s="183" t="s">
        <v>274</v>
      </c>
      <c r="E457" s="192">
        <v>0</v>
      </c>
    </row>
    <row r="458" spans="1:5" ht="13.8" hidden="1" thickBot="1" x14ac:dyDescent="0.3">
      <c r="C458" s="218" t="s">
        <v>101</v>
      </c>
      <c r="D458" s="183" t="s">
        <v>102</v>
      </c>
      <c r="E458" s="192">
        <v>0</v>
      </c>
    </row>
    <row r="459" spans="1:5" ht="13.8" hidden="1" thickBot="1" x14ac:dyDescent="0.3">
      <c r="C459" s="219"/>
      <c r="D459" s="67"/>
      <c r="E459" s="193"/>
    </row>
    <row r="460" spans="1:5" ht="13.8" hidden="1" thickBot="1" x14ac:dyDescent="0.3">
      <c r="C460" s="211" t="s">
        <v>393</v>
      </c>
      <c r="D460" s="191" t="s">
        <v>394</v>
      </c>
      <c r="E460" s="165">
        <f>SUM(E462)</f>
        <v>0</v>
      </c>
    </row>
    <row r="461" spans="1:5" ht="13.8" hidden="1" thickBot="1" x14ac:dyDescent="0.3">
      <c r="C461" s="212"/>
      <c r="D461" s="120"/>
      <c r="E461" s="121"/>
    </row>
    <row r="462" spans="1:5" ht="13.8" hidden="1" thickBot="1" x14ac:dyDescent="0.3">
      <c r="C462" s="220" t="s">
        <v>395</v>
      </c>
      <c r="D462" s="181" t="s">
        <v>396</v>
      </c>
      <c r="E462" s="192"/>
    </row>
    <row r="463" spans="1:5" ht="13.8" hidden="1" thickBot="1" x14ac:dyDescent="0.3">
      <c r="C463" s="221"/>
      <c r="D463" s="184"/>
      <c r="E463" s="195"/>
    </row>
    <row r="464" spans="1:5" ht="24" customHeight="1" thickBot="1" x14ac:dyDescent="0.3">
      <c r="A464" s="201" t="s">
        <v>289</v>
      </c>
      <c r="B464" s="202"/>
      <c r="C464" s="222" t="s">
        <v>103</v>
      </c>
      <c r="D464" s="98" t="s">
        <v>54</v>
      </c>
      <c r="E464" s="149">
        <f>+E490</f>
        <v>3000000</v>
      </c>
    </row>
    <row r="465" spans="3:5" hidden="1" x14ac:dyDescent="0.25">
      <c r="C465" s="223"/>
      <c r="D465" s="185"/>
      <c r="E465" s="186"/>
    </row>
    <row r="466" spans="3:5" hidden="1" x14ac:dyDescent="0.25">
      <c r="C466" s="211" t="s">
        <v>104</v>
      </c>
      <c r="D466" s="191" t="s">
        <v>105</v>
      </c>
      <c r="E466" s="165">
        <f>SUM(E468:E471)</f>
        <v>0</v>
      </c>
    </row>
    <row r="467" spans="3:5" hidden="1" x14ac:dyDescent="0.25">
      <c r="C467" s="212"/>
      <c r="D467" s="120"/>
      <c r="E467" s="121"/>
    </row>
    <row r="468" spans="3:5" hidden="1" x14ac:dyDescent="0.25">
      <c r="C468" s="220" t="s">
        <v>106</v>
      </c>
      <c r="D468" s="181" t="s">
        <v>377</v>
      </c>
      <c r="E468" s="192"/>
    </row>
    <row r="469" spans="3:5" hidden="1" x14ac:dyDescent="0.25">
      <c r="C469" s="218" t="s">
        <v>108</v>
      </c>
      <c r="D469" s="37" t="s">
        <v>109</v>
      </c>
      <c r="E469" s="192"/>
    </row>
    <row r="470" spans="3:5" hidden="1" x14ac:dyDescent="0.25">
      <c r="C470" s="218" t="s">
        <v>110</v>
      </c>
      <c r="D470" s="37" t="s">
        <v>111</v>
      </c>
      <c r="E470" s="192"/>
    </row>
    <row r="471" spans="3:5" hidden="1" x14ac:dyDescent="0.25">
      <c r="C471" s="218" t="s">
        <v>112</v>
      </c>
      <c r="D471" s="37" t="s">
        <v>113</v>
      </c>
      <c r="E471" s="192"/>
    </row>
    <row r="472" spans="3:5" hidden="1" x14ac:dyDescent="0.25">
      <c r="C472" s="224"/>
      <c r="D472" s="182"/>
      <c r="E472" s="194"/>
    </row>
    <row r="473" spans="3:5" hidden="1" x14ac:dyDescent="0.25">
      <c r="C473" s="211" t="s">
        <v>114</v>
      </c>
      <c r="D473" s="191" t="s">
        <v>115</v>
      </c>
      <c r="E473" s="165">
        <f>SUM(E475:E479)</f>
        <v>0</v>
      </c>
    </row>
    <row r="474" spans="3:5" hidden="1" x14ac:dyDescent="0.25">
      <c r="C474" s="212"/>
      <c r="D474" s="120"/>
      <c r="E474" s="121"/>
    </row>
    <row r="475" spans="3:5" hidden="1" x14ac:dyDescent="0.25">
      <c r="C475" s="220" t="s">
        <v>116</v>
      </c>
      <c r="D475" s="181" t="s">
        <v>117</v>
      </c>
      <c r="E475" s="192"/>
    </row>
    <row r="476" spans="3:5" hidden="1" x14ac:dyDescent="0.25">
      <c r="C476" s="220" t="s">
        <v>118</v>
      </c>
      <c r="D476" s="187" t="s">
        <v>119</v>
      </c>
      <c r="E476" s="192"/>
    </row>
    <row r="477" spans="3:5" hidden="1" x14ac:dyDescent="0.25">
      <c r="C477" s="218" t="s">
        <v>120</v>
      </c>
      <c r="D477" s="37" t="s">
        <v>121</v>
      </c>
      <c r="E477" s="192"/>
    </row>
    <row r="478" spans="3:5" hidden="1" x14ac:dyDescent="0.25">
      <c r="C478" s="218" t="s">
        <v>326</v>
      </c>
      <c r="D478" s="37" t="s">
        <v>122</v>
      </c>
      <c r="E478" s="192"/>
    </row>
    <row r="479" spans="3:5" hidden="1" x14ac:dyDescent="0.25">
      <c r="C479" s="220" t="s">
        <v>123</v>
      </c>
      <c r="D479" s="181" t="s">
        <v>124</v>
      </c>
      <c r="E479" s="192"/>
    </row>
    <row r="480" spans="3:5" hidden="1" x14ac:dyDescent="0.25">
      <c r="C480" s="224"/>
      <c r="D480" s="182"/>
      <c r="E480" s="194"/>
    </row>
    <row r="481" spans="1:5" hidden="1" x14ac:dyDescent="0.25">
      <c r="C481" s="211" t="s">
        <v>125</v>
      </c>
      <c r="D481" s="191" t="s">
        <v>126</v>
      </c>
      <c r="E481" s="165">
        <f>SUM(E483:E488)</f>
        <v>0</v>
      </c>
    </row>
    <row r="482" spans="1:5" hidden="1" x14ac:dyDescent="0.25">
      <c r="C482" s="212"/>
      <c r="D482" s="120"/>
      <c r="E482" s="121"/>
    </row>
    <row r="483" spans="1:5" hidden="1" x14ac:dyDescent="0.25">
      <c r="C483" s="218" t="s">
        <v>127</v>
      </c>
      <c r="D483" s="37" t="s">
        <v>128</v>
      </c>
      <c r="E483" s="192"/>
    </row>
    <row r="484" spans="1:5" hidden="1" x14ac:dyDescent="0.25">
      <c r="C484" s="218" t="s">
        <v>129</v>
      </c>
      <c r="D484" s="37" t="s">
        <v>130</v>
      </c>
      <c r="E484" s="192"/>
    </row>
    <row r="485" spans="1:5" hidden="1" x14ac:dyDescent="0.25">
      <c r="C485" s="218" t="s">
        <v>131</v>
      </c>
      <c r="D485" s="37" t="s">
        <v>132</v>
      </c>
      <c r="E485" s="192"/>
    </row>
    <row r="486" spans="1:5" hidden="1" x14ac:dyDescent="0.25">
      <c r="C486" s="218" t="s">
        <v>133</v>
      </c>
      <c r="D486" s="37" t="s">
        <v>134</v>
      </c>
      <c r="E486" s="192"/>
    </row>
    <row r="487" spans="1:5" hidden="1" x14ac:dyDescent="0.25">
      <c r="C487" s="220" t="s">
        <v>137</v>
      </c>
      <c r="D487" s="181" t="s">
        <v>138</v>
      </c>
      <c r="E487" s="192"/>
    </row>
    <row r="488" spans="1:5" hidden="1" x14ac:dyDescent="0.25">
      <c r="C488" s="218" t="s">
        <v>397</v>
      </c>
      <c r="D488" s="37" t="s">
        <v>398</v>
      </c>
      <c r="E488" s="192"/>
    </row>
    <row r="489" spans="1:5" x14ac:dyDescent="0.25">
      <c r="C489" s="219"/>
      <c r="D489" s="67"/>
      <c r="E489" s="193"/>
    </row>
    <row r="490" spans="1:5" x14ac:dyDescent="0.25">
      <c r="A490" s="81" t="s">
        <v>429</v>
      </c>
      <c r="B490" s="89">
        <f>+'[7]CLASIFICACION DE INGRESOS 2015'!F17</f>
        <v>3000000</v>
      </c>
      <c r="C490" s="211" t="s">
        <v>139</v>
      </c>
      <c r="D490" s="191" t="s">
        <v>140</v>
      </c>
      <c r="E490" s="165">
        <f>SUM(E492:E498)</f>
        <v>3000000</v>
      </c>
    </row>
    <row r="491" spans="1:5" x14ac:dyDescent="0.25">
      <c r="C491" s="212"/>
      <c r="D491" s="120"/>
      <c r="E491" s="121"/>
    </row>
    <row r="492" spans="1:5" hidden="1" x14ac:dyDescent="0.25">
      <c r="C492" s="225" t="s">
        <v>399</v>
      </c>
      <c r="D492" s="37" t="s">
        <v>400</v>
      </c>
      <c r="E492" s="192"/>
    </row>
    <row r="493" spans="1:5" hidden="1" x14ac:dyDescent="0.25">
      <c r="C493" s="225"/>
      <c r="D493" s="37"/>
      <c r="E493" s="192"/>
    </row>
    <row r="494" spans="1:5" hidden="1" x14ac:dyDescent="0.25">
      <c r="C494" s="225" t="s">
        <v>343</v>
      </c>
      <c r="D494" s="37" t="s">
        <v>401</v>
      </c>
      <c r="E494" s="192"/>
    </row>
    <row r="495" spans="1:5" hidden="1" x14ac:dyDescent="0.25">
      <c r="C495" s="225" t="s">
        <v>141</v>
      </c>
      <c r="D495" s="37" t="s">
        <v>142</v>
      </c>
      <c r="E495" s="192"/>
    </row>
    <row r="496" spans="1:5" hidden="1" x14ac:dyDescent="0.25">
      <c r="C496" s="225" t="s">
        <v>143</v>
      </c>
      <c r="D496" s="37" t="s">
        <v>144</v>
      </c>
      <c r="E496" s="192"/>
    </row>
    <row r="497" spans="3:5" hidden="1" x14ac:dyDescent="0.25">
      <c r="C497" s="226" t="s">
        <v>145</v>
      </c>
      <c r="D497" s="181" t="s">
        <v>146</v>
      </c>
      <c r="E497" s="192"/>
    </row>
    <row r="498" spans="3:5" x14ac:dyDescent="0.25">
      <c r="C498" s="226" t="s">
        <v>147</v>
      </c>
      <c r="D498" s="181" t="s">
        <v>148</v>
      </c>
      <c r="E498" s="192">
        <v>3000000</v>
      </c>
    </row>
    <row r="499" spans="3:5" hidden="1" x14ac:dyDescent="0.25">
      <c r="C499" s="219"/>
      <c r="D499" s="67"/>
      <c r="E499" s="193"/>
    </row>
    <row r="500" spans="3:5" hidden="1" x14ac:dyDescent="0.25">
      <c r="C500" s="211" t="s">
        <v>149</v>
      </c>
      <c r="D500" s="191" t="s">
        <v>150</v>
      </c>
      <c r="E500" s="165">
        <f>SUM(E502:E505)</f>
        <v>7231650</v>
      </c>
    </row>
    <row r="501" spans="3:5" hidden="1" x14ac:dyDescent="0.25">
      <c r="C501" s="212"/>
      <c r="D501" s="120"/>
      <c r="E501" s="121"/>
    </row>
    <row r="502" spans="3:5" hidden="1" x14ac:dyDescent="0.25">
      <c r="C502" s="218" t="s">
        <v>151</v>
      </c>
      <c r="D502" s="37" t="s">
        <v>152</v>
      </c>
      <c r="E502" s="192">
        <v>2231650</v>
      </c>
    </row>
    <row r="503" spans="3:5" hidden="1" x14ac:dyDescent="0.25">
      <c r="C503" s="218" t="s">
        <v>153</v>
      </c>
      <c r="D503" s="37" t="s">
        <v>154</v>
      </c>
      <c r="E503" s="192">
        <v>5000000</v>
      </c>
    </row>
    <row r="504" spans="3:5" hidden="1" x14ac:dyDescent="0.25">
      <c r="C504" s="218" t="s">
        <v>155</v>
      </c>
      <c r="D504" s="37" t="s">
        <v>156</v>
      </c>
      <c r="E504" s="192"/>
    </row>
    <row r="505" spans="3:5" hidden="1" x14ac:dyDescent="0.25">
      <c r="C505" s="218" t="s">
        <v>157</v>
      </c>
      <c r="D505" s="37" t="s">
        <v>158</v>
      </c>
      <c r="E505" s="192"/>
    </row>
    <row r="506" spans="3:5" hidden="1" x14ac:dyDescent="0.25">
      <c r="C506" s="219"/>
      <c r="D506" s="67"/>
      <c r="E506" s="193"/>
    </row>
    <row r="507" spans="3:5" hidden="1" x14ac:dyDescent="0.25">
      <c r="C507" s="211" t="s">
        <v>159</v>
      </c>
      <c r="D507" s="191" t="s">
        <v>275</v>
      </c>
      <c r="E507" s="165">
        <f>SUM(E509)</f>
        <v>0</v>
      </c>
    </row>
    <row r="508" spans="3:5" hidden="1" x14ac:dyDescent="0.25">
      <c r="C508" s="212"/>
      <c r="D508" s="120"/>
      <c r="E508" s="121"/>
    </row>
    <row r="509" spans="3:5" hidden="1" x14ac:dyDescent="0.25">
      <c r="C509" s="220" t="s">
        <v>160</v>
      </c>
      <c r="D509" s="181" t="s">
        <v>161</v>
      </c>
      <c r="E509" s="192"/>
    </row>
    <row r="510" spans="3:5" hidden="1" x14ac:dyDescent="0.25">
      <c r="C510" s="224"/>
      <c r="D510" s="182"/>
      <c r="E510" s="194"/>
    </row>
    <row r="511" spans="3:5" hidden="1" x14ac:dyDescent="0.25">
      <c r="C511" s="211" t="s">
        <v>162</v>
      </c>
      <c r="D511" s="191" t="s">
        <v>163</v>
      </c>
      <c r="E511" s="165">
        <f>SUM(E513:E515)</f>
        <v>0</v>
      </c>
    </row>
    <row r="512" spans="3:5" hidden="1" x14ac:dyDescent="0.25">
      <c r="C512" s="212"/>
      <c r="D512" s="120"/>
      <c r="E512" s="121"/>
    </row>
    <row r="513" spans="3:5" hidden="1" x14ac:dyDescent="0.25">
      <c r="C513" s="218" t="s">
        <v>164</v>
      </c>
      <c r="D513" s="37" t="s">
        <v>165</v>
      </c>
      <c r="E513" s="192"/>
    </row>
    <row r="514" spans="3:5" hidden="1" x14ac:dyDescent="0.25">
      <c r="C514" s="218" t="s">
        <v>166</v>
      </c>
      <c r="D514" s="37" t="s">
        <v>167</v>
      </c>
      <c r="E514" s="192"/>
    </row>
    <row r="515" spans="3:5" hidden="1" x14ac:dyDescent="0.25">
      <c r="C515" s="220" t="s">
        <v>168</v>
      </c>
      <c r="D515" s="181" t="s">
        <v>169</v>
      </c>
      <c r="E515" s="192"/>
    </row>
    <row r="516" spans="3:5" hidden="1" x14ac:dyDescent="0.25">
      <c r="C516" s="224"/>
      <c r="D516" s="182"/>
      <c r="E516" s="194"/>
    </row>
    <row r="517" spans="3:5" hidden="1" x14ac:dyDescent="0.25">
      <c r="C517" s="211" t="s">
        <v>170</v>
      </c>
      <c r="D517" s="191" t="s">
        <v>171</v>
      </c>
      <c r="E517" s="165">
        <f>SUM(E519:E526)</f>
        <v>0</v>
      </c>
    </row>
    <row r="518" spans="3:5" hidden="1" x14ac:dyDescent="0.25">
      <c r="C518" s="212"/>
      <c r="D518" s="120"/>
      <c r="E518" s="121"/>
    </row>
    <row r="519" spans="3:5" hidden="1" x14ac:dyDescent="0.25">
      <c r="C519" s="218" t="s">
        <v>172</v>
      </c>
      <c r="D519" s="37" t="s">
        <v>173</v>
      </c>
      <c r="E519" s="192"/>
    </row>
    <row r="520" spans="3:5" hidden="1" x14ac:dyDescent="0.25">
      <c r="C520" s="218" t="s">
        <v>174</v>
      </c>
      <c r="D520" s="37" t="s">
        <v>175</v>
      </c>
      <c r="E520" s="192"/>
    </row>
    <row r="521" spans="3:5" hidden="1" x14ac:dyDescent="0.25">
      <c r="C521" s="218" t="s">
        <v>402</v>
      </c>
      <c r="D521" s="37" t="s">
        <v>403</v>
      </c>
      <c r="E521" s="192"/>
    </row>
    <row r="522" spans="3:5" hidden="1" x14ac:dyDescent="0.25">
      <c r="C522" s="218" t="s">
        <v>176</v>
      </c>
      <c r="D522" s="37" t="s">
        <v>177</v>
      </c>
      <c r="E522" s="192"/>
    </row>
    <row r="523" spans="3:5" hidden="1" x14ac:dyDescent="0.25">
      <c r="C523" s="218" t="s">
        <v>178</v>
      </c>
      <c r="D523" s="37" t="s">
        <v>179</v>
      </c>
      <c r="E523" s="192"/>
    </row>
    <row r="524" spans="3:5" hidden="1" x14ac:dyDescent="0.25">
      <c r="C524" s="218" t="s">
        <v>180</v>
      </c>
      <c r="D524" s="37" t="s">
        <v>181</v>
      </c>
      <c r="E524" s="192"/>
    </row>
    <row r="525" spans="3:5" ht="26.4" hidden="1" x14ac:dyDescent="0.25">
      <c r="C525" s="218" t="s">
        <v>182</v>
      </c>
      <c r="D525" s="37" t="s">
        <v>276</v>
      </c>
      <c r="E525" s="192"/>
    </row>
    <row r="526" spans="3:5" hidden="1" x14ac:dyDescent="0.25">
      <c r="C526" s="218" t="s">
        <v>183</v>
      </c>
      <c r="D526" s="37" t="s">
        <v>184</v>
      </c>
      <c r="E526" s="192"/>
    </row>
    <row r="527" spans="3:5" hidden="1" x14ac:dyDescent="0.25">
      <c r="C527" s="219"/>
      <c r="D527" s="67"/>
      <c r="E527" s="193"/>
    </row>
    <row r="528" spans="3:5" hidden="1" x14ac:dyDescent="0.25">
      <c r="C528" s="211" t="s">
        <v>404</v>
      </c>
      <c r="D528" s="191" t="s">
        <v>405</v>
      </c>
      <c r="E528" s="165">
        <f>SUM(E530)</f>
        <v>0</v>
      </c>
    </row>
    <row r="529" spans="3:5" hidden="1" x14ac:dyDescent="0.25">
      <c r="C529" s="212"/>
      <c r="D529" s="120"/>
      <c r="E529" s="121"/>
    </row>
    <row r="530" spans="3:5" hidden="1" x14ac:dyDescent="0.25">
      <c r="C530" s="220" t="s">
        <v>406</v>
      </c>
      <c r="D530" s="181" t="s">
        <v>407</v>
      </c>
      <c r="E530" s="192"/>
    </row>
    <row r="531" spans="3:5" hidden="1" x14ac:dyDescent="0.25">
      <c r="C531" s="224"/>
      <c r="D531" s="182"/>
      <c r="E531" s="194"/>
    </row>
    <row r="532" spans="3:5" hidden="1" x14ac:dyDescent="0.25">
      <c r="C532" s="211" t="s">
        <v>185</v>
      </c>
      <c r="D532" s="191" t="s">
        <v>186</v>
      </c>
      <c r="E532" s="165">
        <f>SUM(E534:E536)</f>
        <v>0</v>
      </c>
    </row>
    <row r="533" spans="3:5" hidden="1" x14ac:dyDescent="0.25">
      <c r="C533" s="212"/>
      <c r="D533" s="120"/>
      <c r="E533" s="121"/>
    </row>
    <row r="534" spans="3:5" hidden="1" x14ac:dyDescent="0.25">
      <c r="C534" s="220" t="s">
        <v>408</v>
      </c>
      <c r="D534" s="181" t="s">
        <v>409</v>
      </c>
      <c r="E534" s="192"/>
    </row>
    <row r="535" spans="3:5" hidden="1" x14ac:dyDescent="0.25">
      <c r="C535" s="218" t="s">
        <v>187</v>
      </c>
      <c r="D535" s="37" t="s">
        <v>188</v>
      </c>
      <c r="E535" s="192"/>
    </row>
    <row r="536" spans="3:5" hidden="1" x14ac:dyDescent="0.25">
      <c r="C536" s="218" t="s">
        <v>189</v>
      </c>
      <c r="D536" s="37" t="s">
        <v>190</v>
      </c>
      <c r="E536" s="192"/>
    </row>
    <row r="537" spans="3:5" hidden="1" x14ac:dyDescent="0.25">
      <c r="C537" s="227"/>
      <c r="D537" s="188"/>
      <c r="E537" s="196"/>
    </row>
    <row r="538" spans="3:5" ht="13.8" hidden="1" thickBot="1" x14ac:dyDescent="0.3">
      <c r="C538" s="222">
        <v>2</v>
      </c>
      <c r="D538" s="98" t="s">
        <v>22</v>
      </c>
      <c r="E538" s="149" t="e">
        <f>+E540+E547+E551+E560+E565</f>
        <v>#REF!</v>
      </c>
    </row>
    <row r="539" spans="3:5" hidden="1" x14ac:dyDescent="0.25">
      <c r="C539" s="223"/>
      <c r="D539" s="185"/>
      <c r="E539" s="186"/>
    </row>
    <row r="540" spans="3:5" hidden="1" x14ac:dyDescent="0.25">
      <c r="C540" s="211" t="s">
        <v>191</v>
      </c>
      <c r="D540" s="191" t="s">
        <v>192</v>
      </c>
      <c r="E540" s="165">
        <f>SUM(E542:E545)</f>
        <v>0</v>
      </c>
    </row>
    <row r="541" spans="3:5" hidden="1" x14ac:dyDescent="0.25">
      <c r="C541" s="212"/>
      <c r="D541" s="120"/>
      <c r="E541" s="121"/>
    </row>
    <row r="542" spans="3:5" hidden="1" x14ac:dyDescent="0.25">
      <c r="C542" s="218" t="s">
        <v>193</v>
      </c>
      <c r="D542" s="37" t="s">
        <v>194</v>
      </c>
      <c r="E542" s="192"/>
    </row>
    <row r="543" spans="3:5" hidden="1" x14ac:dyDescent="0.25">
      <c r="C543" s="218" t="s">
        <v>195</v>
      </c>
      <c r="D543" s="37" t="s">
        <v>196</v>
      </c>
      <c r="E543" s="192"/>
    </row>
    <row r="544" spans="3:5" hidden="1" x14ac:dyDescent="0.25">
      <c r="C544" s="218" t="s">
        <v>197</v>
      </c>
      <c r="D544" s="37" t="s">
        <v>198</v>
      </c>
      <c r="E544" s="192"/>
    </row>
    <row r="545" spans="3:5" hidden="1" x14ac:dyDescent="0.25">
      <c r="C545" s="218" t="s">
        <v>199</v>
      </c>
      <c r="D545" s="37" t="s">
        <v>200</v>
      </c>
      <c r="E545" s="192"/>
    </row>
    <row r="546" spans="3:5" hidden="1" x14ac:dyDescent="0.25">
      <c r="C546" s="219"/>
      <c r="D546" s="67"/>
      <c r="E546" s="193"/>
    </row>
    <row r="547" spans="3:5" hidden="1" x14ac:dyDescent="0.25">
      <c r="C547" s="211" t="s">
        <v>349</v>
      </c>
      <c r="D547" s="191" t="s">
        <v>350</v>
      </c>
      <c r="E547" s="165" t="e">
        <f>SUM(E549)</f>
        <v>#REF!</v>
      </c>
    </row>
    <row r="548" spans="3:5" hidden="1" x14ac:dyDescent="0.25">
      <c r="C548" s="212"/>
      <c r="D548" s="120"/>
      <c r="E548" s="121"/>
    </row>
    <row r="549" spans="3:5" hidden="1" x14ac:dyDescent="0.25">
      <c r="C549" s="220" t="s">
        <v>351</v>
      </c>
      <c r="D549" s="181" t="s">
        <v>362</v>
      </c>
      <c r="E549" s="192" t="e">
        <f>+'[7]PRESUPUESTO 2015'!#REF!</f>
        <v>#REF!</v>
      </c>
    </row>
    <row r="550" spans="3:5" hidden="1" x14ac:dyDescent="0.25">
      <c r="C550" s="224"/>
      <c r="D550" s="182"/>
      <c r="E550" s="194"/>
    </row>
    <row r="551" spans="3:5" hidden="1" x14ac:dyDescent="0.25">
      <c r="C551" s="211" t="s">
        <v>201</v>
      </c>
      <c r="D551" s="191" t="s">
        <v>277</v>
      </c>
      <c r="E551" s="165">
        <f>SUM(E553:E558)</f>
        <v>0</v>
      </c>
    </row>
    <row r="552" spans="3:5" hidden="1" x14ac:dyDescent="0.25">
      <c r="C552" s="212"/>
      <c r="D552" s="120"/>
      <c r="E552" s="121"/>
    </row>
    <row r="553" spans="3:5" hidden="1" x14ac:dyDescent="0.25">
      <c r="C553" s="218" t="s">
        <v>202</v>
      </c>
      <c r="D553" s="37" t="s">
        <v>203</v>
      </c>
      <c r="E553" s="192"/>
    </row>
    <row r="554" spans="3:5" hidden="1" x14ac:dyDescent="0.25">
      <c r="C554" s="218" t="s">
        <v>204</v>
      </c>
      <c r="D554" s="37" t="s">
        <v>205</v>
      </c>
      <c r="E554" s="192"/>
    </row>
    <row r="555" spans="3:5" hidden="1" x14ac:dyDescent="0.25">
      <c r="C555" s="218" t="s">
        <v>206</v>
      </c>
      <c r="D555" s="37" t="s">
        <v>207</v>
      </c>
      <c r="E555" s="192"/>
    </row>
    <row r="556" spans="3:5" hidden="1" x14ac:dyDescent="0.25">
      <c r="C556" s="218" t="s">
        <v>208</v>
      </c>
      <c r="D556" s="37" t="s">
        <v>209</v>
      </c>
      <c r="E556" s="192"/>
    </row>
    <row r="557" spans="3:5" hidden="1" x14ac:dyDescent="0.25">
      <c r="C557" s="218" t="s">
        <v>210</v>
      </c>
      <c r="D557" s="37" t="s">
        <v>211</v>
      </c>
      <c r="E557" s="192"/>
    </row>
    <row r="558" spans="3:5" hidden="1" x14ac:dyDescent="0.25">
      <c r="C558" s="218" t="s">
        <v>212</v>
      </c>
      <c r="D558" s="37" t="s">
        <v>213</v>
      </c>
      <c r="E558" s="192"/>
    </row>
    <row r="559" spans="3:5" hidden="1" x14ac:dyDescent="0.25">
      <c r="C559" s="219"/>
      <c r="D559" s="67"/>
      <c r="E559" s="193"/>
    </row>
    <row r="560" spans="3:5" hidden="1" x14ac:dyDescent="0.25">
      <c r="C560" s="211" t="s">
        <v>214</v>
      </c>
      <c r="D560" s="191" t="s">
        <v>215</v>
      </c>
      <c r="E560" s="165">
        <f>SUM(E562:E563)</f>
        <v>0</v>
      </c>
    </row>
    <row r="561" spans="3:5" hidden="1" x14ac:dyDescent="0.25">
      <c r="C561" s="212"/>
      <c r="D561" s="120"/>
      <c r="E561" s="121"/>
    </row>
    <row r="562" spans="3:5" hidden="1" x14ac:dyDescent="0.25">
      <c r="C562" s="218" t="s">
        <v>216</v>
      </c>
      <c r="D562" s="37" t="s">
        <v>217</v>
      </c>
      <c r="E562" s="192"/>
    </row>
    <row r="563" spans="3:5" hidden="1" x14ac:dyDescent="0.25">
      <c r="C563" s="218" t="s">
        <v>218</v>
      </c>
      <c r="D563" s="37" t="s">
        <v>219</v>
      </c>
      <c r="E563" s="192"/>
    </row>
    <row r="564" spans="3:5" hidden="1" x14ac:dyDescent="0.25">
      <c r="C564" s="219"/>
      <c r="D564" s="67"/>
      <c r="E564" s="193"/>
    </row>
    <row r="565" spans="3:5" hidden="1" x14ac:dyDescent="0.25">
      <c r="C565" s="211" t="s">
        <v>220</v>
      </c>
      <c r="D565" s="191" t="s">
        <v>278</v>
      </c>
      <c r="E565" s="165">
        <f>SUM(E567:E573)</f>
        <v>0</v>
      </c>
    </row>
    <row r="566" spans="3:5" hidden="1" x14ac:dyDescent="0.25">
      <c r="C566" s="212"/>
      <c r="D566" s="120"/>
      <c r="E566" s="121"/>
    </row>
    <row r="567" spans="3:5" hidden="1" x14ac:dyDescent="0.25">
      <c r="C567" s="218" t="s">
        <v>221</v>
      </c>
      <c r="D567" s="37" t="s">
        <v>222</v>
      </c>
      <c r="E567" s="192"/>
    </row>
    <row r="568" spans="3:5" hidden="1" x14ac:dyDescent="0.25">
      <c r="C568" s="218" t="s">
        <v>223</v>
      </c>
      <c r="D568" s="37" t="s">
        <v>279</v>
      </c>
      <c r="E568" s="192"/>
    </row>
    <row r="569" spans="3:5" hidden="1" x14ac:dyDescent="0.25">
      <c r="C569" s="218" t="s">
        <v>224</v>
      </c>
      <c r="D569" s="37" t="s">
        <v>225</v>
      </c>
      <c r="E569" s="192"/>
    </row>
    <row r="570" spans="3:5" hidden="1" x14ac:dyDescent="0.25">
      <c r="C570" s="218" t="s">
        <v>226</v>
      </c>
      <c r="D570" s="37" t="s">
        <v>227</v>
      </c>
      <c r="E570" s="192"/>
    </row>
    <row r="571" spans="3:5" hidden="1" x14ac:dyDescent="0.25">
      <c r="C571" s="218" t="s">
        <v>228</v>
      </c>
      <c r="D571" s="37" t="s">
        <v>229</v>
      </c>
      <c r="E571" s="192"/>
    </row>
    <row r="572" spans="3:5" hidden="1" x14ac:dyDescent="0.25">
      <c r="C572" s="218" t="s">
        <v>366</v>
      </c>
      <c r="D572" s="37" t="s">
        <v>410</v>
      </c>
      <c r="E572" s="192"/>
    </row>
    <row r="573" spans="3:5" hidden="1" x14ac:dyDescent="0.25">
      <c r="C573" s="218" t="s">
        <v>232</v>
      </c>
      <c r="D573" s="37" t="s">
        <v>233</v>
      </c>
      <c r="E573" s="192"/>
    </row>
    <row r="574" spans="3:5" hidden="1" x14ac:dyDescent="0.25">
      <c r="C574" s="227"/>
      <c r="D574" s="188"/>
      <c r="E574" s="196"/>
    </row>
    <row r="575" spans="3:5" ht="13.8" hidden="1" thickBot="1" x14ac:dyDescent="0.3">
      <c r="C575" s="222">
        <v>5</v>
      </c>
      <c r="D575" s="98" t="s">
        <v>57</v>
      </c>
      <c r="E575" s="149">
        <f>+E577+E587+E592</f>
        <v>0</v>
      </c>
    </row>
    <row r="576" spans="3:5" hidden="1" x14ac:dyDescent="0.25">
      <c r="C576" s="223"/>
      <c r="D576" s="185"/>
      <c r="E576" s="186"/>
    </row>
    <row r="577" spans="3:5" hidden="1" x14ac:dyDescent="0.25">
      <c r="C577" s="211" t="s">
        <v>234</v>
      </c>
      <c r="D577" s="191" t="s">
        <v>235</v>
      </c>
      <c r="E577" s="165">
        <f>SUM(E579:E585)</f>
        <v>0</v>
      </c>
    </row>
    <row r="578" spans="3:5" hidden="1" x14ac:dyDescent="0.25">
      <c r="C578" s="212"/>
      <c r="D578" s="120"/>
      <c r="E578" s="121"/>
    </row>
    <row r="579" spans="3:5" hidden="1" x14ac:dyDescent="0.25">
      <c r="C579" s="218" t="s">
        <v>236</v>
      </c>
      <c r="D579" s="37" t="s">
        <v>237</v>
      </c>
      <c r="E579" s="192"/>
    </row>
    <row r="580" spans="3:5" hidden="1" x14ac:dyDescent="0.25">
      <c r="C580" s="218" t="s">
        <v>238</v>
      </c>
      <c r="D580" s="37" t="s">
        <v>239</v>
      </c>
      <c r="E580" s="192"/>
    </row>
    <row r="581" spans="3:5" hidden="1" x14ac:dyDescent="0.25">
      <c r="C581" s="218" t="s">
        <v>240</v>
      </c>
      <c r="D581" s="37" t="s">
        <v>241</v>
      </c>
      <c r="E581" s="192"/>
    </row>
    <row r="582" spans="3:5" hidden="1" x14ac:dyDescent="0.25">
      <c r="C582" s="218" t="s">
        <v>242</v>
      </c>
      <c r="D582" s="37" t="s">
        <v>243</v>
      </c>
      <c r="E582" s="192"/>
    </row>
    <row r="583" spans="3:5" hidden="1" x14ac:dyDescent="0.25">
      <c r="C583" s="218" t="s">
        <v>244</v>
      </c>
      <c r="D583" s="37" t="s">
        <v>245</v>
      </c>
      <c r="E583" s="192"/>
    </row>
    <row r="584" spans="3:5" hidden="1" x14ac:dyDescent="0.25">
      <c r="C584" s="218" t="s">
        <v>246</v>
      </c>
      <c r="D584" s="37" t="s">
        <v>247</v>
      </c>
      <c r="E584" s="192"/>
    </row>
    <row r="585" spans="3:5" hidden="1" x14ac:dyDescent="0.25">
      <c r="C585" s="218" t="s">
        <v>248</v>
      </c>
      <c r="D585" s="94" t="s">
        <v>249</v>
      </c>
      <c r="E585" s="192"/>
    </row>
    <row r="586" spans="3:5" hidden="1" x14ac:dyDescent="0.25">
      <c r="C586" s="219"/>
      <c r="D586" s="67"/>
      <c r="E586" s="193"/>
    </row>
    <row r="587" spans="3:5" hidden="1" x14ac:dyDescent="0.25">
      <c r="C587" s="211" t="s">
        <v>250</v>
      </c>
      <c r="D587" s="191" t="s">
        <v>251</v>
      </c>
      <c r="E587" s="165">
        <f>SUM(E589:E590)</f>
        <v>0</v>
      </c>
    </row>
    <row r="588" spans="3:5" hidden="1" x14ac:dyDescent="0.25">
      <c r="C588" s="212"/>
      <c r="D588" s="120"/>
      <c r="E588" s="121"/>
    </row>
    <row r="589" spans="3:5" hidden="1" x14ac:dyDescent="0.25">
      <c r="C589" s="218" t="s">
        <v>252</v>
      </c>
      <c r="D589" s="37" t="s">
        <v>253</v>
      </c>
      <c r="E589" s="192"/>
    </row>
    <row r="590" spans="3:5" hidden="1" x14ac:dyDescent="0.25">
      <c r="C590" s="218" t="s">
        <v>254</v>
      </c>
      <c r="D590" s="37" t="s">
        <v>255</v>
      </c>
      <c r="E590" s="192"/>
    </row>
    <row r="591" spans="3:5" hidden="1" x14ac:dyDescent="0.25">
      <c r="C591" s="228"/>
      <c r="D591" s="38"/>
      <c r="E591" s="48"/>
    </row>
    <row r="592" spans="3:5" hidden="1" x14ac:dyDescent="0.25">
      <c r="C592" s="211" t="s">
        <v>258</v>
      </c>
      <c r="D592" s="191" t="s">
        <v>251</v>
      </c>
      <c r="E592" s="165">
        <f>SUM(E594:E595)</f>
        <v>0</v>
      </c>
    </row>
    <row r="593" spans="3:5" hidden="1" x14ac:dyDescent="0.25">
      <c r="C593" s="212"/>
      <c r="D593" s="120"/>
      <c r="E593" s="121"/>
    </row>
    <row r="594" spans="3:5" hidden="1" x14ac:dyDescent="0.25">
      <c r="C594" s="218" t="s">
        <v>411</v>
      </c>
      <c r="D594" s="37" t="s">
        <v>412</v>
      </c>
      <c r="E594" s="192"/>
    </row>
    <row r="595" spans="3:5" hidden="1" x14ac:dyDescent="0.25">
      <c r="C595" s="218" t="s">
        <v>259</v>
      </c>
      <c r="D595" s="37" t="s">
        <v>260</v>
      </c>
      <c r="E595" s="192"/>
    </row>
    <row r="596" spans="3:5" hidden="1" x14ac:dyDescent="0.25">
      <c r="C596" s="227"/>
      <c r="D596" s="188"/>
      <c r="E596" s="196"/>
    </row>
    <row r="597" spans="3:5" ht="13.8" hidden="1" thickBot="1" x14ac:dyDescent="0.3">
      <c r="C597" s="222">
        <v>6</v>
      </c>
      <c r="D597" s="98" t="s">
        <v>261</v>
      </c>
      <c r="E597" s="149">
        <f>+E599+E604+E608+E612</f>
        <v>0</v>
      </c>
    </row>
    <row r="598" spans="3:5" hidden="1" x14ac:dyDescent="0.25">
      <c r="C598" s="223"/>
      <c r="D598" s="185"/>
      <c r="E598" s="186"/>
    </row>
    <row r="599" spans="3:5" hidden="1" x14ac:dyDescent="0.25">
      <c r="C599" s="211" t="s">
        <v>262</v>
      </c>
      <c r="D599" s="191" t="s">
        <v>280</v>
      </c>
      <c r="E599" s="165">
        <f>SUM(E601:E602)</f>
        <v>0</v>
      </c>
    </row>
    <row r="600" spans="3:5" hidden="1" x14ac:dyDescent="0.25">
      <c r="C600" s="212"/>
      <c r="D600" s="120"/>
      <c r="E600" s="121"/>
    </row>
    <row r="601" spans="3:5" hidden="1" x14ac:dyDescent="0.25">
      <c r="C601" s="229" t="s">
        <v>353</v>
      </c>
      <c r="D601" s="187" t="s">
        <v>413</v>
      </c>
      <c r="E601" s="192"/>
    </row>
    <row r="602" spans="3:5" hidden="1" x14ac:dyDescent="0.25">
      <c r="C602" s="229" t="s">
        <v>263</v>
      </c>
      <c r="D602" s="187" t="s">
        <v>59</v>
      </c>
      <c r="E602" s="192"/>
    </row>
    <row r="603" spans="3:5" hidden="1" x14ac:dyDescent="0.25">
      <c r="C603" s="230"/>
      <c r="D603" s="189"/>
      <c r="E603" s="194"/>
    </row>
    <row r="604" spans="3:5" hidden="1" x14ac:dyDescent="0.25">
      <c r="C604" s="211" t="s">
        <v>264</v>
      </c>
      <c r="D604" s="191" t="s">
        <v>265</v>
      </c>
      <c r="E604" s="165">
        <f>SUM(E606)</f>
        <v>0</v>
      </c>
    </row>
    <row r="605" spans="3:5" hidden="1" x14ac:dyDescent="0.25">
      <c r="C605" s="212"/>
      <c r="D605" s="120"/>
      <c r="E605" s="121"/>
    </row>
    <row r="606" spans="3:5" hidden="1" x14ac:dyDescent="0.25">
      <c r="C606" s="229" t="s">
        <v>345</v>
      </c>
      <c r="D606" s="187" t="s">
        <v>36</v>
      </c>
      <c r="E606" s="192"/>
    </row>
    <row r="607" spans="3:5" hidden="1" x14ac:dyDescent="0.25">
      <c r="C607" s="230"/>
      <c r="D607" s="189"/>
      <c r="E607" s="194"/>
    </row>
    <row r="608" spans="3:5" hidden="1" x14ac:dyDescent="0.25">
      <c r="C608" s="211" t="s">
        <v>378</v>
      </c>
      <c r="D608" s="191" t="s">
        <v>414</v>
      </c>
      <c r="E608" s="165">
        <f>SUM(E610)</f>
        <v>0</v>
      </c>
    </row>
    <row r="609" spans="1:5" hidden="1" x14ac:dyDescent="0.25">
      <c r="C609" s="212"/>
      <c r="D609" s="120"/>
      <c r="E609" s="121"/>
    </row>
    <row r="610" spans="1:5" hidden="1" x14ac:dyDescent="0.25">
      <c r="C610" s="229" t="s">
        <v>380</v>
      </c>
      <c r="D610" s="187" t="s">
        <v>381</v>
      </c>
      <c r="E610" s="192"/>
    </row>
    <row r="611" spans="1:5" hidden="1" x14ac:dyDescent="0.25">
      <c r="C611" s="230"/>
      <c r="D611" s="189"/>
      <c r="E611" s="194"/>
    </row>
    <row r="612" spans="1:5" hidden="1" x14ac:dyDescent="0.25">
      <c r="C612" s="211" t="s">
        <v>266</v>
      </c>
      <c r="D612" s="191" t="s">
        <v>281</v>
      </c>
      <c r="E612" s="165">
        <f>SUM(E614:E615)</f>
        <v>0</v>
      </c>
    </row>
    <row r="613" spans="1:5" hidden="1" x14ac:dyDescent="0.25">
      <c r="C613" s="212"/>
      <c r="D613" s="120"/>
      <c r="E613" s="121"/>
    </row>
    <row r="614" spans="1:5" hidden="1" x14ac:dyDescent="0.25">
      <c r="C614" s="220" t="s">
        <v>267</v>
      </c>
      <c r="D614" s="181" t="s">
        <v>282</v>
      </c>
      <c r="E614" s="192"/>
    </row>
    <row r="615" spans="1:5" hidden="1" x14ac:dyDescent="0.25">
      <c r="C615" s="220" t="s">
        <v>359</v>
      </c>
      <c r="D615" s="181" t="s">
        <v>368</v>
      </c>
      <c r="E615" s="192"/>
    </row>
    <row r="616" spans="1:5" hidden="1" x14ac:dyDescent="0.25">
      <c r="C616" s="231"/>
      <c r="D616" s="190"/>
      <c r="E616" s="197"/>
    </row>
    <row r="617" spans="1:5" ht="13.8" hidden="1" thickBot="1" x14ac:dyDescent="0.3">
      <c r="C617" s="222">
        <v>9</v>
      </c>
      <c r="D617" s="98" t="s">
        <v>58</v>
      </c>
      <c r="E617" s="149">
        <f>E619</f>
        <v>0</v>
      </c>
    </row>
    <row r="618" spans="1:5" hidden="1" x14ac:dyDescent="0.25">
      <c r="C618" s="223"/>
      <c r="D618" s="185"/>
      <c r="E618" s="186"/>
    </row>
    <row r="619" spans="1:5" hidden="1" x14ac:dyDescent="0.25">
      <c r="C619" s="211" t="s">
        <v>268</v>
      </c>
      <c r="D619" s="191" t="s">
        <v>269</v>
      </c>
      <c r="E619" s="165">
        <f>SUM(E621:E622)</f>
        <v>0</v>
      </c>
    </row>
    <row r="620" spans="1:5" hidden="1" x14ac:dyDescent="0.25">
      <c r="C620" s="212"/>
      <c r="D620" s="120"/>
      <c r="E620" s="121"/>
    </row>
    <row r="621" spans="1:5" hidden="1" x14ac:dyDescent="0.25">
      <c r="C621" s="218" t="s">
        <v>270</v>
      </c>
      <c r="D621" s="57" t="s">
        <v>60</v>
      </c>
      <c r="E621" s="192"/>
    </row>
    <row r="622" spans="1:5" hidden="1" x14ac:dyDescent="0.25">
      <c r="C622" s="220" t="s">
        <v>271</v>
      </c>
      <c r="D622" s="181" t="s">
        <v>283</v>
      </c>
      <c r="E622" s="192"/>
    </row>
    <row r="623" spans="1:5" ht="13.8" thickBot="1" x14ac:dyDescent="0.3">
      <c r="C623" s="232"/>
      <c r="D623" s="233"/>
      <c r="E623" s="234"/>
    </row>
    <row r="624" spans="1:5" ht="21.9" customHeight="1" thickBot="1" x14ac:dyDescent="0.3">
      <c r="A624" s="201" t="s">
        <v>423</v>
      </c>
      <c r="B624" s="202">
        <f>SUM(B425:B623)</f>
        <v>3000000</v>
      </c>
      <c r="C624" s="1592" t="s">
        <v>424</v>
      </c>
      <c r="D624" s="1593"/>
      <c r="E624" s="206">
        <f>+E617+E597+E575+E464+E424</f>
        <v>3000000</v>
      </c>
    </row>
    <row r="625" spans="1:5" ht="13.8" thickBot="1" x14ac:dyDescent="0.3"/>
    <row r="626" spans="1:5" ht="21.9" customHeight="1" thickBot="1" x14ac:dyDescent="0.3">
      <c r="A626" s="236" t="s">
        <v>421</v>
      </c>
      <c r="B626" s="237" t="s">
        <v>44</v>
      </c>
      <c r="C626" s="1596" t="s">
        <v>422</v>
      </c>
      <c r="D626" s="1597"/>
      <c r="E626" s="200" t="s">
        <v>44</v>
      </c>
    </row>
    <row r="627" spans="1:5" ht="13.8" thickBot="1" x14ac:dyDescent="0.3"/>
    <row r="628" spans="1:5" ht="21.9" customHeight="1" thickBot="1" x14ac:dyDescent="0.3">
      <c r="A628" s="201" t="s">
        <v>357</v>
      </c>
      <c r="B628" s="202"/>
      <c r="C628" s="199" t="s">
        <v>70</v>
      </c>
      <c r="D628" s="98" t="s">
        <v>53</v>
      </c>
      <c r="E628" s="203">
        <f>E631+E637+E642+E651+E659+E664</f>
        <v>0</v>
      </c>
    </row>
    <row r="629" spans="1:5" hidden="1" x14ac:dyDescent="0.25">
      <c r="A629" s="14"/>
      <c r="C629" s="198"/>
      <c r="D629" s="179" t="s">
        <v>390</v>
      </c>
      <c r="E629" s="180">
        <f>E633+E634+E639+E644+E645+E646+E647+E648</f>
        <v>0</v>
      </c>
    </row>
    <row r="630" spans="1:5" hidden="1" x14ac:dyDescent="0.25">
      <c r="B630" s="205"/>
      <c r="C630" s="235"/>
      <c r="D630" s="120"/>
      <c r="E630" s="121"/>
    </row>
    <row r="631" spans="1:5" hidden="1" x14ac:dyDescent="0.25">
      <c r="C631" s="211" t="s">
        <v>325</v>
      </c>
      <c r="D631" s="155" t="s">
        <v>71</v>
      </c>
      <c r="E631" s="165">
        <f>SUM(E633:E635)</f>
        <v>0</v>
      </c>
    </row>
    <row r="632" spans="1:5" hidden="1" x14ac:dyDescent="0.25">
      <c r="C632" s="212"/>
      <c r="D632" s="120"/>
      <c r="E632" s="121"/>
    </row>
    <row r="633" spans="1:5" hidden="1" x14ac:dyDescent="0.25">
      <c r="C633" s="213" t="s">
        <v>72</v>
      </c>
      <c r="D633" s="37" t="s">
        <v>37</v>
      </c>
      <c r="E633" s="192"/>
    </row>
    <row r="634" spans="1:5" hidden="1" x14ac:dyDescent="0.25">
      <c r="C634" s="213" t="s">
        <v>73</v>
      </c>
      <c r="D634" s="37" t="s">
        <v>30</v>
      </c>
      <c r="E634" s="192"/>
    </row>
    <row r="635" spans="1:5" hidden="1" x14ac:dyDescent="0.25">
      <c r="C635" s="213" t="s">
        <v>391</v>
      </c>
      <c r="D635" s="37" t="s">
        <v>374</v>
      </c>
      <c r="E635" s="192"/>
    </row>
    <row r="636" spans="1:5" hidden="1" x14ac:dyDescent="0.25">
      <c r="C636" s="214"/>
      <c r="D636" s="67"/>
      <c r="E636" s="193"/>
    </row>
    <row r="637" spans="1:5" hidden="1" x14ac:dyDescent="0.25">
      <c r="C637" s="211" t="s">
        <v>74</v>
      </c>
      <c r="D637" s="155" t="s">
        <v>75</v>
      </c>
      <c r="E637" s="165">
        <f>SUM(E639:E640)</f>
        <v>0</v>
      </c>
    </row>
    <row r="638" spans="1:5" hidden="1" x14ac:dyDescent="0.25">
      <c r="C638" s="212"/>
      <c r="D638" s="120"/>
      <c r="E638" s="121"/>
    </row>
    <row r="639" spans="1:5" hidden="1" x14ac:dyDescent="0.25">
      <c r="C639" s="213" t="s">
        <v>76</v>
      </c>
      <c r="D639" s="37" t="s">
        <v>35</v>
      </c>
      <c r="E639" s="192"/>
    </row>
    <row r="640" spans="1:5" hidden="1" x14ac:dyDescent="0.25">
      <c r="C640" s="215" t="s">
        <v>77</v>
      </c>
      <c r="D640" s="181" t="s">
        <v>17</v>
      </c>
      <c r="E640" s="192"/>
    </row>
    <row r="641" spans="3:5" hidden="1" x14ac:dyDescent="0.25">
      <c r="C641" s="216"/>
      <c r="D641" s="182"/>
      <c r="E641" s="194"/>
    </row>
    <row r="642" spans="3:5" hidden="1" x14ac:dyDescent="0.25">
      <c r="C642" s="211" t="s">
        <v>78</v>
      </c>
      <c r="D642" s="155" t="s">
        <v>79</v>
      </c>
      <c r="E642" s="165">
        <f>SUM(E644:E648)</f>
        <v>0</v>
      </c>
    </row>
    <row r="643" spans="3:5" hidden="1" x14ac:dyDescent="0.25">
      <c r="C643" s="212"/>
      <c r="D643" s="120"/>
      <c r="E643" s="121"/>
    </row>
    <row r="644" spans="3:5" hidden="1" x14ac:dyDescent="0.25">
      <c r="C644" s="213" t="s">
        <v>80</v>
      </c>
      <c r="D644" s="37" t="s">
        <v>81</v>
      </c>
      <c r="E644" s="192"/>
    </row>
    <row r="645" spans="3:5" hidden="1" x14ac:dyDescent="0.25">
      <c r="C645" s="213" t="s">
        <v>82</v>
      </c>
      <c r="D645" s="37" t="s">
        <v>83</v>
      </c>
      <c r="E645" s="192"/>
    </row>
    <row r="646" spans="3:5" hidden="1" x14ac:dyDescent="0.25">
      <c r="C646" s="213" t="s">
        <v>84</v>
      </c>
      <c r="D646" s="37" t="s">
        <v>85</v>
      </c>
      <c r="E646" s="192"/>
    </row>
    <row r="647" spans="3:5" hidden="1" x14ac:dyDescent="0.25">
      <c r="C647" s="213" t="s">
        <v>86</v>
      </c>
      <c r="D647" s="37" t="s">
        <v>18</v>
      </c>
      <c r="E647" s="192"/>
    </row>
    <row r="648" spans="3:5" hidden="1" x14ac:dyDescent="0.25">
      <c r="C648" s="213" t="s">
        <v>87</v>
      </c>
      <c r="D648" s="37" t="s">
        <v>88</v>
      </c>
      <c r="E648" s="192"/>
    </row>
    <row r="649" spans="3:5" hidden="1" x14ac:dyDescent="0.25">
      <c r="C649" s="214"/>
      <c r="D649" s="67"/>
      <c r="E649" s="192"/>
    </row>
    <row r="650" spans="3:5" hidden="1" x14ac:dyDescent="0.25">
      <c r="C650" s="217"/>
      <c r="D650" s="179" t="s">
        <v>392</v>
      </c>
      <c r="E650" s="180">
        <f>E653+E654+E655+E656+E657+E661+E662</f>
        <v>0</v>
      </c>
    </row>
    <row r="651" spans="3:5" hidden="1" x14ac:dyDescent="0.25">
      <c r="C651" s="211" t="s">
        <v>89</v>
      </c>
      <c r="D651" s="155" t="s">
        <v>273</v>
      </c>
      <c r="E651" s="165">
        <f>SUM(E653:E657)</f>
        <v>0</v>
      </c>
    </row>
    <row r="652" spans="3:5" hidden="1" x14ac:dyDescent="0.25">
      <c r="C652" s="212"/>
      <c r="D652" s="120"/>
      <c r="E652" s="121"/>
    </row>
    <row r="653" spans="3:5" hidden="1" x14ac:dyDescent="0.25">
      <c r="C653" s="218" t="s">
        <v>90</v>
      </c>
      <c r="D653" s="37" t="s">
        <v>91</v>
      </c>
      <c r="E653" s="192"/>
    </row>
    <row r="654" spans="3:5" hidden="1" x14ac:dyDescent="0.25">
      <c r="C654" s="218" t="s">
        <v>92</v>
      </c>
      <c r="D654" s="37" t="s">
        <v>55</v>
      </c>
      <c r="E654" s="192"/>
    </row>
    <row r="655" spans="3:5" hidden="1" x14ac:dyDescent="0.25">
      <c r="C655" s="218" t="s">
        <v>93</v>
      </c>
      <c r="D655" s="37" t="s">
        <v>19</v>
      </c>
      <c r="E655" s="192"/>
    </row>
    <row r="656" spans="3:5" hidden="1" x14ac:dyDescent="0.25">
      <c r="C656" s="218" t="s">
        <v>94</v>
      </c>
      <c r="D656" s="37" t="s">
        <v>95</v>
      </c>
      <c r="E656" s="192"/>
    </row>
    <row r="657" spans="1:5" hidden="1" x14ac:dyDescent="0.25">
      <c r="C657" s="218" t="s">
        <v>96</v>
      </c>
      <c r="D657" s="37" t="s">
        <v>97</v>
      </c>
      <c r="E657" s="192"/>
    </row>
    <row r="658" spans="1:5" hidden="1" x14ac:dyDescent="0.25">
      <c r="C658" s="219"/>
      <c r="D658" s="67"/>
      <c r="E658" s="193"/>
    </row>
    <row r="659" spans="1:5" hidden="1" x14ac:dyDescent="0.25">
      <c r="C659" s="211" t="s">
        <v>98</v>
      </c>
      <c r="D659" s="191" t="s">
        <v>99</v>
      </c>
      <c r="E659" s="165">
        <f>SUM(E661:E662)</f>
        <v>0</v>
      </c>
    </row>
    <row r="660" spans="1:5" hidden="1" x14ac:dyDescent="0.25">
      <c r="C660" s="212"/>
      <c r="D660" s="120"/>
      <c r="E660" s="121"/>
    </row>
    <row r="661" spans="1:5" ht="26.4" hidden="1" x14ac:dyDescent="0.25">
      <c r="C661" s="218" t="s">
        <v>100</v>
      </c>
      <c r="D661" s="183" t="s">
        <v>274</v>
      </c>
      <c r="E661" s="192"/>
    </row>
    <row r="662" spans="1:5" hidden="1" x14ac:dyDescent="0.25">
      <c r="C662" s="218" t="s">
        <v>101</v>
      </c>
      <c r="D662" s="183" t="s">
        <v>102</v>
      </c>
      <c r="E662" s="192"/>
    </row>
    <row r="663" spans="1:5" hidden="1" x14ac:dyDescent="0.25">
      <c r="C663" s="219"/>
      <c r="D663" s="67"/>
      <c r="E663" s="193"/>
    </row>
    <row r="664" spans="1:5" hidden="1" x14ac:dyDescent="0.25">
      <c r="C664" s="211" t="s">
        <v>393</v>
      </c>
      <c r="D664" s="191" t="s">
        <v>394</v>
      </c>
      <c r="E664" s="165">
        <f>SUM(E666)</f>
        <v>0</v>
      </c>
    </row>
    <row r="665" spans="1:5" hidden="1" x14ac:dyDescent="0.25">
      <c r="C665" s="212"/>
      <c r="D665" s="120"/>
      <c r="E665" s="121"/>
    </row>
    <row r="666" spans="1:5" hidden="1" x14ac:dyDescent="0.25">
      <c r="C666" s="220" t="s">
        <v>395</v>
      </c>
      <c r="D666" s="181" t="s">
        <v>396</v>
      </c>
      <c r="E666" s="192"/>
    </row>
    <row r="667" spans="1:5" hidden="1" x14ac:dyDescent="0.25">
      <c r="C667" s="221"/>
      <c r="D667" s="184"/>
      <c r="E667" s="195"/>
    </row>
    <row r="668" spans="1:5" ht="13.8" hidden="1" thickBot="1" x14ac:dyDescent="0.3">
      <c r="A668" s="204" t="s">
        <v>427</v>
      </c>
      <c r="C668" s="222" t="s">
        <v>103</v>
      </c>
      <c r="D668" s="98" t="s">
        <v>54</v>
      </c>
      <c r="E668" s="149">
        <f>+E670+E677+E685+E694+E704+E711+E715+E721+E732+E736</f>
        <v>0</v>
      </c>
    </row>
    <row r="669" spans="1:5" hidden="1" x14ac:dyDescent="0.25">
      <c r="C669" s="223"/>
      <c r="D669" s="185"/>
      <c r="E669" s="186"/>
    </row>
    <row r="670" spans="1:5" hidden="1" x14ac:dyDescent="0.25">
      <c r="C670" s="211" t="s">
        <v>104</v>
      </c>
      <c r="D670" s="191" t="s">
        <v>105</v>
      </c>
      <c r="E670" s="165">
        <f>SUM(E672:E675)</f>
        <v>0</v>
      </c>
    </row>
    <row r="671" spans="1:5" hidden="1" x14ac:dyDescent="0.25">
      <c r="C671" s="212"/>
      <c r="D671" s="120"/>
      <c r="E671" s="121"/>
    </row>
    <row r="672" spans="1:5" hidden="1" x14ac:dyDescent="0.25">
      <c r="C672" s="220" t="s">
        <v>106</v>
      </c>
      <c r="D672" s="181" t="s">
        <v>377</v>
      </c>
      <c r="E672" s="192"/>
    </row>
    <row r="673" spans="3:5" hidden="1" x14ac:dyDescent="0.25">
      <c r="C673" s="218" t="s">
        <v>108</v>
      </c>
      <c r="D673" s="37" t="s">
        <v>109</v>
      </c>
      <c r="E673" s="192"/>
    </row>
    <row r="674" spans="3:5" hidden="1" x14ac:dyDescent="0.25">
      <c r="C674" s="218" t="s">
        <v>110</v>
      </c>
      <c r="D674" s="37" t="s">
        <v>111</v>
      </c>
      <c r="E674" s="192"/>
    </row>
    <row r="675" spans="3:5" hidden="1" x14ac:dyDescent="0.25">
      <c r="C675" s="218" t="s">
        <v>112</v>
      </c>
      <c r="D675" s="37" t="s">
        <v>113</v>
      </c>
      <c r="E675" s="192"/>
    </row>
    <row r="676" spans="3:5" hidden="1" x14ac:dyDescent="0.25">
      <c r="C676" s="224"/>
      <c r="D676" s="182"/>
      <c r="E676" s="194"/>
    </row>
    <row r="677" spans="3:5" hidden="1" x14ac:dyDescent="0.25">
      <c r="C677" s="211" t="s">
        <v>114</v>
      </c>
      <c r="D677" s="191" t="s">
        <v>115</v>
      </c>
      <c r="E677" s="165">
        <f>SUM(E679:E683)</f>
        <v>0</v>
      </c>
    </row>
    <row r="678" spans="3:5" hidden="1" x14ac:dyDescent="0.25">
      <c r="C678" s="212"/>
      <c r="D678" s="120"/>
      <c r="E678" s="121"/>
    </row>
    <row r="679" spans="3:5" hidden="1" x14ac:dyDescent="0.25">
      <c r="C679" s="220" t="s">
        <v>116</v>
      </c>
      <c r="D679" s="181" t="s">
        <v>117</v>
      </c>
      <c r="E679" s="192"/>
    </row>
    <row r="680" spans="3:5" hidden="1" x14ac:dyDescent="0.25">
      <c r="C680" s="220" t="s">
        <v>118</v>
      </c>
      <c r="D680" s="187" t="s">
        <v>119</v>
      </c>
      <c r="E680" s="192"/>
    </row>
    <row r="681" spans="3:5" hidden="1" x14ac:dyDescent="0.25">
      <c r="C681" s="218" t="s">
        <v>120</v>
      </c>
      <c r="D681" s="37" t="s">
        <v>121</v>
      </c>
      <c r="E681" s="192"/>
    </row>
    <row r="682" spans="3:5" hidden="1" x14ac:dyDescent="0.25">
      <c r="C682" s="218" t="s">
        <v>326</v>
      </c>
      <c r="D682" s="37" t="s">
        <v>122</v>
      </c>
      <c r="E682" s="192"/>
    </row>
    <row r="683" spans="3:5" hidden="1" x14ac:dyDescent="0.25">
      <c r="C683" s="220" t="s">
        <v>123</v>
      </c>
      <c r="D683" s="181" t="s">
        <v>124</v>
      </c>
      <c r="E683" s="192"/>
    </row>
    <row r="684" spans="3:5" hidden="1" x14ac:dyDescent="0.25">
      <c r="C684" s="224"/>
      <c r="D684" s="182"/>
      <c r="E684" s="194"/>
    </row>
    <row r="685" spans="3:5" hidden="1" x14ac:dyDescent="0.25">
      <c r="C685" s="211" t="s">
        <v>125</v>
      </c>
      <c r="D685" s="191" t="s">
        <v>126</v>
      </c>
      <c r="E685" s="165">
        <f>SUM(E687:E692)</f>
        <v>0</v>
      </c>
    </row>
    <row r="686" spans="3:5" hidden="1" x14ac:dyDescent="0.25">
      <c r="C686" s="212"/>
      <c r="D686" s="120"/>
      <c r="E686" s="121"/>
    </row>
    <row r="687" spans="3:5" hidden="1" x14ac:dyDescent="0.25">
      <c r="C687" s="218" t="s">
        <v>127</v>
      </c>
      <c r="D687" s="37" t="s">
        <v>128</v>
      </c>
      <c r="E687" s="192"/>
    </row>
    <row r="688" spans="3:5" hidden="1" x14ac:dyDescent="0.25">
      <c r="C688" s="218" t="s">
        <v>129</v>
      </c>
      <c r="D688" s="37" t="s">
        <v>130</v>
      </c>
      <c r="E688" s="192"/>
    </row>
    <row r="689" spans="1:5" hidden="1" x14ac:dyDescent="0.25">
      <c r="C689" s="218" t="s">
        <v>131</v>
      </c>
      <c r="D689" s="37" t="s">
        <v>132</v>
      </c>
      <c r="E689" s="192"/>
    </row>
    <row r="690" spans="1:5" hidden="1" x14ac:dyDescent="0.25">
      <c r="C690" s="218" t="s">
        <v>133</v>
      </c>
      <c r="D690" s="37" t="s">
        <v>134</v>
      </c>
      <c r="E690" s="192"/>
    </row>
    <row r="691" spans="1:5" hidden="1" x14ac:dyDescent="0.25">
      <c r="C691" s="220" t="s">
        <v>137</v>
      </c>
      <c r="D691" s="181" t="s">
        <v>138</v>
      </c>
      <c r="E691" s="192"/>
    </row>
    <row r="692" spans="1:5" hidden="1" x14ac:dyDescent="0.25">
      <c r="C692" s="218" t="s">
        <v>397</v>
      </c>
      <c r="D692" s="37" t="s">
        <v>398</v>
      </c>
      <c r="E692" s="192"/>
    </row>
    <row r="693" spans="1:5" hidden="1" x14ac:dyDescent="0.25">
      <c r="C693" s="219"/>
      <c r="D693" s="67"/>
      <c r="E693" s="193"/>
    </row>
    <row r="694" spans="1:5" hidden="1" x14ac:dyDescent="0.25">
      <c r="A694" s="177"/>
      <c r="B694" s="89"/>
      <c r="C694" s="211" t="s">
        <v>139</v>
      </c>
      <c r="D694" s="191" t="s">
        <v>140</v>
      </c>
      <c r="E694" s="165">
        <f>SUM(E696:E702)</f>
        <v>0</v>
      </c>
    </row>
    <row r="695" spans="1:5" hidden="1" x14ac:dyDescent="0.25">
      <c r="C695" s="212"/>
      <c r="D695" s="120"/>
      <c r="E695" s="121"/>
    </row>
    <row r="696" spans="1:5" hidden="1" x14ac:dyDescent="0.25">
      <c r="C696" s="225" t="s">
        <v>399</v>
      </c>
      <c r="D696" s="37" t="s">
        <v>400</v>
      </c>
      <c r="E696" s="192"/>
    </row>
    <row r="697" spans="1:5" hidden="1" x14ac:dyDescent="0.25">
      <c r="C697" s="225"/>
      <c r="D697" s="37"/>
      <c r="E697" s="192"/>
    </row>
    <row r="698" spans="1:5" hidden="1" x14ac:dyDescent="0.25">
      <c r="C698" s="225" t="s">
        <v>343</v>
      </c>
      <c r="D698" s="37" t="s">
        <v>401</v>
      </c>
      <c r="E698" s="192"/>
    </row>
    <row r="699" spans="1:5" hidden="1" x14ac:dyDescent="0.25">
      <c r="C699" s="225" t="s">
        <v>141</v>
      </c>
      <c r="D699" s="37" t="s">
        <v>142</v>
      </c>
      <c r="E699" s="192"/>
    </row>
    <row r="700" spans="1:5" hidden="1" x14ac:dyDescent="0.25">
      <c r="C700" s="225" t="s">
        <v>143</v>
      </c>
      <c r="D700" s="37" t="s">
        <v>144</v>
      </c>
      <c r="E700" s="192"/>
    </row>
    <row r="701" spans="1:5" hidden="1" x14ac:dyDescent="0.25">
      <c r="C701" s="226" t="s">
        <v>145</v>
      </c>
      <c r="D701" s="181" t="s">
        <v>146</v>
      </c>
      <c r="E701" s="192"/>
    </row>
    <row r="702" spans="1:5" hidden="1" x14ac:dyDescent="0.25">
      <c r="C702" s="226" t="s">
        <v>147</v>
      </c>
      <c r="D702" s="181" t="s">
        <v>148</v>
      </c>
      <c r="E702" s="192">
        <v>0</v>
      </c>
    </row>
    <row r="703" spans="1:5" hidden="1" x14ac:dyDescent="0.25">
      <c r="C703" s="219"/>
      <c r="D703" s="67"/>
      <c r="E703" s="193"/>
    </row>
    <row r="704" spans="1:5" hidden="1" x14ac:dyDescent="0.25">
      <c r="C704" s="211" t="s">
        <v>149</v>
      </c>
      <c r="D704" s="191" t="s">
        <v>150</v>
      </c>
      <c r="E704" s="165">
        <f>SUM(E706:E709)</f>
        <v>0</v>
      </c>
    </row>
    <row r="705" spans="3:5" hidden="1" x14ac:dyDescent="0.25">
      <c r="C705" s="212"/>
      <c r="D705" s="120"/>
      <c r="E705" s="121"/>
    </row>
    <row r="706" spans="3:5" hidden="1" x14ac:dyDescent="0.25">
      <c r="C706" s="218" t="s">
        <v>151</v>
      </c>
      <c r="D706" s="37" t="s">
        <v>152</v>
      </c>
      <c r="E706" s="192"/>
    </row>
    <row r="707" spans="3:5" hidden="1" x14ac:dyDescent="0.25">
      <c r="C707" s="218" t="s">
        <v>153</v>
      </c>
      <c r="D707" s="37" t="s">
        <v>154</v>
      </c>
      <c r="E707" s="192"/>
    </row>
    <row r="708" spans="3:5" hidden="1" x14ac:dyDescent="0.25">
      <c r="C708" s="218" t="s">
        <v>155</v>
      </c>
      <c r="D708" s="37" t="s">
        <v>156</v>
      </c>
      <c r="E708" s="192"/>
    </row>
    <row r="709" spans="3:5" hidden="1" x14ac:dyDescent="0.25">
      <c r="C709" s="218" t="s">
        <v>157</v>
      </c>
      <c r="D709" s="37" t="s">
        <v>158</v>
      </c>
      <c r="E709" s="192"/>
    </row>
    <row r="710" spans="3:5" hidden="1" x14ac:dyDescent="0.25">
      <c r="C710" s="219"/>
      <c r="D710" s="67"/>
      <c r="E710" s="193"/>
    </row>
    <row r="711" spans="3:5" hidden="1" x14ac:dyDescent="0.25">
      <c r="C711" s="211" t="s">
        <v>159</v>
      </c>
      <c r="D711" s="191" t="s">
        <v>275</v>
      </c>
      <c r="E711" s="165">
        <f>SUM(E713)</f>
        <v>0</v>
      </c>
    </row>
    <row r="712" spans="3:5" hidden="1" x14ac:dyDescent="0.25">
      <c r="C712" s="212"/>
      <c r="D712" s="120"/>
      <c r="E712" s="121"/>
    </row>
    <row r="713" spans="3:5" hidden="1" x14ac:dyDescent="0.25">
      <c r="C713" s="220" t="s">
        <v>160</v>
      </c>
      <c r="D713" s="181" t="s">
        <v>161</v>
      </c>
      <c r="E713" s="192"/>
    </row>
    <row r="714" spans="3:5" hidden="1" x14ac:dyDescent="0.25">
      <c r="C714" s="224"/>
      <c r="D714" s="182"/>
      <c r="E714" s="194"/>
    </row>
    <row r="715" spans="3:5" hidden="1" x14ac:dyDescent="0.25">
      <c r="C715" s="211" t="s">
        <v>162</v>
      </c>
      <c r="D715" s="191" t="s">
        <v>163</v>
      </c>
      <c r="E715" s="165">
        <f>SUM(E717:E719)</f>
        <v>0</v>
      </c>
    </row>
    <row r="716" spans="3:5" hidden="1" x14ac:dyDescent="0.25">
      <c r="C716" s="212"/>
      <c r="D716" s="120"/>
      <c r="E716" s="121"/>
    </row>
    <row r="717" spans="3:5" hidden="1" x14ac:dyDescent="0.25">
      <c r="C717" s="218" t="s">
        <v>164</v>
      </c>
      <c r="D717" s="37" t="s">
        <v>165</v>
      </c>
      <c r="E717" s="192"/>
    </row>
    <row r="718" spans="3:5" hidden="1" x14ac:dyDescent="0.25">
      <c r="C718" s="218" t="s">
        <v>166</v>
      </c>
      <c r="D718" s="37" t="s">
        <v>167</v>
      </c>
      <c r="E718" s="192"/>
    </row>
    <row r="719" spans="3:5" hidden="1" x14ac:dyDescent="0.25">
      <c r="C719" s="220" t="s">
        <v>168</v>
      </c>
      <c r="D719" s="181" t="s">
        <v>169</v>
      </c>
      <c r="E719" s="192"/>
    </row>
    <row r="720" spans="3:5" hidden="1" x14ac:dyDescent="0.25">
      <c r="C720" s="224"/>
      <c r="D720" s="182"/>
      <c r="E720" s="194"/>
    </row>
    <row r="721" spans="3:5" hidden="1" x14ac:dyDescent="0.25">
      <c r="C721" s="211" t="s">
        <v>170</v>
      </c>
      <c r="D721" s="191" t="s">
        <v>171</v>
      </c>
      <c r="E721" s="165">
        <f>SUM(E723:E730)</f>
        <v>0</v>
      </c>
    </row>
    <row r="722" spans="3:5" hidden="1" x14ac:dyDescent="0.25">
      <c r="C722" s="212"/>
      <c r="D722" s="120"/>
      <c r="E722" s="121"/>
    </row>
    <row r="723" spans="3:5" hidden="1" x14ac:dyDescent="0.25">
      <c r="C723" s="218" t="s">
        <v>172</v>
      </c>
      <c r="D723" s="37" t="s">
        <v>173</v>
      </c>
      <c r="E723" s="192"/>
    </row>
    <row r="724" spans="3:5" hidden="1" x14ac:dyDescent="0.25">
      <c r="C724" s="218" t="s">
        <v>174</v>
      </c>
      <c r="D724" s="37" t="s">
        <v>175</v>
      </c>
      <c r="E724" s="192"/>
    </row>
    <row r="725" spans="3:5" hidden="1" x14ac:dyDescent="0.25">
      <c r="C725" s="218" t="s">
        <v>402</v>
      </c>
      <c r="D725" s="37" t="s">
        <v>403</v>
      </c>
      <c r="E725" s="192"/>
    </row>
    <row r="726" spans="3:5" hidden="1" x14ac:dyDescent="0.25">
      <c r="C726" s="218" t="s">
        <v>176</v>
      </c>
      <c r="D726" s="37" t="s">
        <v>177</v>
      </c>
      <c r="E726" s="192"/>
    </row>
    <row r="727" spans="3:5" hidden="1" x14ac:dyDescent="0.25">
      <c r="C727" s="218" t="s">
        <v>178</v>
      </c>
      <c r="D727" s="37" t="s">
        <v>179</v>
      </c>
      <c r="E727" s="192"/>
    </row>
    <row r="728" spans="3:5" hidden="1" x14ac:dyDescent="0.25">
      <c r="C728" s="218" t="s">
        <v>180</v>
      </c>
      <c r="D728" s="37" t="s">
        <v>181</v>
      </c>
      <c r="E728" s="192"/>
    </row>
    <row r="729" spans="3:5" ht="26.4" hidden="1" x14ac:dyDescent="0.25">
      <c r="C729" s="218" t="s">
        <v>182</v>
      </c>
      <c r="D729" s="37" t="s">
        <v>276</v>
      </c>
      <c r="E729" s="192"/>
    </row>
    <row r="730" spans="3:5" hidden="1" x14ac:dyDescent="0.25">
      <c r="C730" s="218" t="s">
        <v>183</v>
      </c>
      <c r="D730" s="37" t="s">
        <v>184</v>
      </c>
      <c r="E730" s="192"/>
    </row>
    <row r="731" spans="3:5" hidden="1" x14ac:dyDescent="0.25">
      <c r="C731" s="219"/>
      <c r="D731" s="67"/>
      <c r="E731" s="193"/>
    </row>
    <row r="732" spans="3:5" hidden="1" x14ac:dyDescent="0.25">
      <c r="C732" s="211" t="s">
        <v>404</v>
      </c>
      <c r="D732" s="191" t="s">
        <v>405</v>
      </c>
      <c r="E732" s="165">
        <f>SUM(E734)</f>
        <v>0</v>
      </c>
    </row>
    <row r="733" spans="3:5" hidden="1" x14ac:dyDescent="0.25">
      <c r="C733" s="212"/>
      <c r="D733" s="120"/>
      <c r="E733" s="121"/>
    </row>
    <row r="734" spans="3:5" hidden="1" x14ac:dyDescent="0.25">
      <c r="C734" s="220" t="s">
        <v>406</v>
      </c>
      <c r="D734" s="181" t="s">
        <v>407</v>
      </c>
      <c r="E734" s="192"/>
    </row>
    <row r="735" spans="3:5" hidden="1" x14ac:dyDescent="0.25">
      <c r="C735" s="224"/>
      <c r="D735" s="182"/>
      <c r="E735" s="194"/>
    </row>
    <row r="736" spans="3:5" hidden="1" x14ac:dyDescent="0.25">
      <c r="C736" s="211" t="s">
        <v>185</v>
      </c>
      <c r="D736" s="191" t="s">
        <v>186</v>
      </c>
      <c r="E736" s="165">
        <f>SUM(E738:E740)</f>
        <v>0</v>
      </c>
    </row>
    <row r="737" spans="3:5" hidden="1" x14ac:dyDescent="0.25">
      <c r="C737" s="212"/>
      <c r="D737" s="120"/>
      <c r="E737" s="121"/>
    </row>
    <row r="738" spans="3:5" hidden="1" x14ac:dyDescent="0.25">
      <c r="C738" s="220" t="s">
        <v>408</v>
      </c>
      <c r="D738" s="181" t="s">
        <v>409</v>
      </c>
      <c r="E738" s="192"/>
    </row>
    <row r="739" spans="3:5" hidden="1" x14ac:dyDescent="0.25">
      <c r="C739" s="218" t="s">
        <v>187</v>
      </c>
      <c r="D739" s="37" t="s">
        <v>188</v>
      </c>
      <c r="E739" s="192"/>
    </row>
    <row r="740" spans="3:5" hidden="1" x14ac:dyDescent="0.25">
      <c r="C740" s="218" t="s">
        <v>189</v>
      </c>
      <c r="D740" s="37" t="s">
        <v>190</v>
      </c>
      <c r="E740" s="192"/>
    </row>
    <row r="741" spans="3:5" hidden="1" x14ac:dyDescent="0.25">
      <c r="C741" s="227"/>
      <c r="D741" s="188"/>
      <c r="E741" s="196"/>
    </row>
    <row r="742" spans="3:5" ht="13.8" hidden="1" thickBot="1" x14ac:dyDescent="0.3">
      <c r="C742" s="222">
        <v>2</v>
      </c>
      <c r="D742" s="98" t="s">
        <v>22</v>
      </c>
      <c r="E742" s="149" t="e">
        <f>+E744+E751+E755+E764+E769</f>
        <v>#REF!</v>
      </c>
    </row>
    <row r="743" spans="3:5" hidden="1" x14ac:dyDescent="0.25">
      <c r="C743" s="223"/>
      <c r="D743" s="185"/>
      <c r="E743" s="186"/>
    </row>
    <row r="744" spans="3:5" hidden="1" x14ac:dyDescent="0.25">
      <c r="C744" s="211" t="s">
        <v>191</v>
      </c>
      <c r="D744" s="191" t="s">
        <v>192</v>
      </c>
      <c r="E744" s="165">
        <f>SUM(E746:E749)</f>
        <v>0</v>
      </c>
    </row>
    <row r="745" spans="3:5" hidden="1" x14ac:dyDescent="0.25">
      <c r="C745" s="212"/>
      <c r="D745" s="120"/>
      <c r="E745" s="121"/>
    </row>
    <row r="746" spans="3:5" hidden="1" x14ac:dyDescent="0.25">
      <c r="C746" s="218" t="s">
        <v>193</v>
      </c>
      <c r="D746" s="37" t="s">
        <v>194</v>
      </c>
      <c r="E746" s="192"/>
    </row>
    <row r="747" spans="3:5" hidden="1" x14ac:dyDescent="0.25">
      <c r="C747" s="218" t="s">
        <v>195</v>
      </c>
      <c r="D747" s="37" t="s">
        <v>196</v>
      </c>
      <c r="E747" s="192"/>
    </row>
    <row r="748" spans="3:5" hidden="1" x14ac:dyDescent="0.25">
      <c r="C748" s="218" t="s">
        <v>197</v>
      </c>
      <c r="D748" s="37" t="s">
        <v>198</v>
      </c>
      <c r="E748" s="192"/>
    </row>
    <row r="749" spans="3:5" hidden="1" x14ac:dyDescent="0.25">
      <c r="C749" s="218" t="s">
        <v>199</v>
      </c>
      <c r="D749" s="37" t="s">
        <v>200</v>
      </c>
      <c r="E749" s="192"/>
    </row>
    <row r="750" spans="3:5" hidden="1" x14ac:dyDescent="0.25">
      <c r="C750" s="219"/>
      <c r="D750" s="67"/>
      <c r="E750" s="193"/>
    </row>
    <row r="751" spans="3:5" hidden="1" x14ac:dyDescent="0.25">
      <c r="C751" s="211" t="s">
        <v>349</v>
      </c>
      <c r="D751" s="191" t="s">
        <v>350</v>
      </c>
      <c r="E751" s="165" t="e">
        <f>SUM(E753)</f>
        <v>#REF!</v>
      </c>
    </row>
    <row r="752" spans="3:5" hidden="1" x14ac:dyDescent="0.25">
      <c r="C752" s="212"/>
      <c r="D752" s="120"/>
      <c r="E752" s="121"/>
    </row>
    <row r="753" spans="3:5" hidden="1" x14ac:dyDescent="0.25">
      <c r="C753" s="220" t="s">
        <v>351</v>
      </c>
      <c r="D753" s="181" t="s">
        <v>362</v>
      </c>
      <c r="E753" s="192" t="e">
        <f>+'[7]PRESUPUESTO 2015'!#REF!</f>
        <v>#REF!</v>
      </c>
    </row>
    <row r="754" spans="3:5" hidden="1" x14ac:dyDescent="0.25">
      <c r="C754" s="224"/>
      <c r="D754" s="182"/>
      <c r="E754" s="194"/>
    </row>
    <row r="755" spans="3:5" hidden="1" x14ac:dyDescent="0.25">
      <c r="C755" s="211" t="s">
        <v>201</v>
      </c>
      <c r="D755" s="191" t="s">
        <v>277</v>
      </c>
      <c r="E755" s="165">
        <f>SUM(E757:E762)</f>
        <v>0</v>
      </c>
    </row>
    <row r="756" spans="3:5" hidden="1" x14ac:dyDescent="0.25">
      <c r="C756" s="212"/>
      <c r="D756" s="120"/>
      <c r="E756" s="121"/>
    </row>
    <row r="757" spans="3:5" hidden="1" x14ac:dyDescent="0.25">
      <c r="C757" s="218" t="s">
        <v>202</v>
      </c>
      <c r="D757" s="37" t="s">
        <v>203</v>
      </c>
      <c r="E757" s="192"/>
    </row>
    <row r="758" spans="3:5" hidden="1" x14ac:dyDescent="0.25">
      <c r="C758" s="218" t="s">
        <v>204</v>
      </c>
      <c r="D758" s="37" t="s">
        <v>205</v>
      </c>
      <c r="E758" s="192"/>
    </row>
    <row r="759" spans="3:5" hidden="1" x14ac:dyDescent="0.25">
      <c r="C759" s="218" t="s">
        <v>206</v>
      </c>
      <c r="D759" s="37" t="s">
        <v>207</v>
      </c>
      <c r="E759" s="192"/>
    </row>
    <row r="760" spans="3:5" hidden="1" x14ac:dyDescent="0.25">
      <c r="C760" s="218" t="s">
        <v>208</v>
      </c>
      <c r="D760" s="37" t="s">
        <v>209</v>
      </c>
      <c r="E760" s="192"/>
    </row>
    <row r="761" spans="3:5" hidden="1" x14ac:dyDescent="0.25">
      <c r="C761" s="218" t="s">
        <v>210</v>
      </c>
      <c r="D761" s="37" t="s">
        <v>211</v>
      </c>
      <c r="E761" s="192"/>
    </row>
    <row r="762" spans="3:5" hidden="1" x14ac:dyDescent="0.25">
      <c r="C762" s="218" t="s">
        <v>212</v>
      </c>
      <c r="D762" s="37" t="s">
        <v>213</v>
      </c>
      <c r="E762" s="192"/>
    </row>
    <row r="763" spans="3:5" hidden="1" x14ac:dyDescent="0.25">
      <c r="C763" s="219"/>
      <c r="D763" s="67"/>
      <c r="E763" s="193"/>
    </row>
    <row r="764" spans="3:5" hidden="1" x14ac:dyDescent="0.25">
      <c r="C764" s="211" t="s">
        <v>214</v>
      </c>
      <c r="D764" s="191" t="s">
        <v>215</v>
      </c>
      <c r="E764" s="165">
        <f>SUM(E766:E767)</f>
        <v>0</v>
      </c>
    </row>
    <row r="765" spans="3:5" hidden="1" x14ac:dyDescent="0.25">
      <c r="C765" s="212"/>
      <c r="D765" s="120"/>
      <c r="E765" s="121"/>
    </row>
    <row r="766" spans="3:5" hidden="1" x14ac:dyDescent="0.25">
      <c r="C766" s="218" t="s">
        <v>216</v>
      </c>
      <c r="D766" s="37" t="s">
        <v>217</v>
      </c>
      <c r="E766" s="192"/>
    </row>
    <row r="767" spans="3:5" hidden="1" x14ac:dyDescent="0.25">
      <c r="C767" s="218" t="s">
        <v>218</v>
      </c>
      <c r="D767" s="37" t="s">
        <v>219</v>
      </c>
      <c r="E767" s="192"/>
    </row>
    <row r="768" spans="3:5" hidden="1" x14ac:dyDescent="0.25">
      <c r="C768" s="219"/>
      <c r="D768" s="67"/>
      <c r="E768" s="193"/>
    </row>
    <row r="769" spans="1:5" hidden="1" x14ac:dyDescent="0.25">
      <c r="C769" s="211" t="s">
        <v>220</v>
      </c>
      <c r="D769" s="191" t="s">
        <v>278</v>
      </c>
      <c r="E769" s="165">
        <f>SUM(E771:E777)</f>
        <v>0</v>
      </c>
    </row>
    <row r="770" spans="1:5" hidden="1" x14ac:dyDescent="0.25">
      <c r="C770" s="212"/>
      <c r="D770" s="120"/>
      <c r="E770" s="121"/>
    </row>
    <row r="771" spans="1:5" hidden="1" x14ac:dyDescent="0.25">
      <c r="C771" s="218" t="s">
        <v>221</v>
      </c>
      <c r="D771" s="37" t="s">
        <v>222</v>
      </c>
      <c r="E771" s="192"/>
    </row>
    <row r="772" spans="1:5" hidden="1" x14ac:dyDescent="0.25">
      <c r="C772" s="218" t="s">
        <v>223</v>
      </c>
      <c r="D772" s="37" t="s">
        <v>279</v>
      </c>
      <c r="E772" s="192"/>
    </row>
    <row r="773" spans="1:5" hidden="1" x14ac:dyDescent="0.25">
      <c r="C773" s="218" t="s">
        <v>224</v>
      </c>
      <c r="D773" s="37" t="s">
        <v>225</v>
      </c>
      <c r="E773" s="192"/>
    </row>
    <row r="774" spans="1:5" hidden="1" x14ac:dyDescent="0.25">
      <c r="C774" s="218" t="s">
        <v>226</v>
      </c>
      <c r="D774" s="37" t="s">
        <v>227</v>
      </c>
      <c r="E774" s="192"/>
    </row>
    <row r="775" spans="1:5" hidden="1" x14ac:dyDescent="0.25">
      <c r="C775" s="218" t="s">
        <v>228</v>
      </c>
      <c r="D775" s="37" t="s">
        <v>229</v>
      </c>
      <c r="E775" s="192"/>
    </row>
    <row r="776" spans="1:5" hidden="1" x14ac:dyDescent="0.25">
      <c r="C776" s="218" t="s">
        <v>366</v>
      </c>
      <c r="D776" s="37" t="s">
        <v>410</v>
      </c>
      <c r="E776" s="192"/>
    </row>
    <row r="777" spans="1:5" hidden="1" x14ac:dyDescent="0.25">
      <c r="C777" s="218" t="s">
        <v>232</v>
      </c>
      <c r="D777" s="37" t="s">
        <v>233</v>
      </c>
      <c r="E777" s="192"/>
    </row>
    <row r="778" spans="1:5" hidden="1" x14ac:dyDescent="0.25">
      <c r="C778" s="227"/>
      <c r="D778" s="188"/>
      <c r="E778" s="196"/>
    </row>
    <row r="779" spans="1:5" ht="13.8" hidden="1" thickBot="1" x14ac:dyDescent="0.3">
      <c r="A779" s="177"/>
      <c r="B779" s="89"/>
      <c r="C779" s="222">
        <v>5</v>
      </c>
      <c r="D779" s="98" t="s">
        <v>57</v>
      </c>
      <c r="E779" s="149">
        <f>+E781+E791+E796</f>
        <v>0</v>
      </c>
    </row>
    <row r="780" spans="1:5" hidden="1" x14ac:dyDescent="0.25">
      <c r="C780" s="223"/>
      <c r="D780" s="185"/>
      <c r="E780" s="186"/>
    </row>
    <row r="781" spans="1:5" hidden="1" x14ac:dyDescent="0.25">
      <c r="C781" s="211" t="s">
        <v>234</v>
      </c>
      <c r="D781" s="191" t="s">
        <v>235</v>
      </c>
      <c r="E781" s="165">
        <f>SUM(E783:E789)</f>
        <v>0</v>
      </c>
    </row>
    <row r="782" spans="1:5" hidden="1" x14ac:dyDescent="0.25">
      <c r="C782" s="212"/>
      <c r="D782" s="120"/>
      <c r="E782" s="121"/>
    </row>
    <row r="783" spans="1:5" hidden="1" x14ac:dyDescent="0.25">
      <c r="C783" s="218" t="s">
        <v>236</v>
      </c>
      <c r="D783" s="37" t="s">
        <v>237</v>
      </c>
      <c r="E783" s="192"/>
    </row>
    <row r="784" spans="1:5" hidden="1" x14ac:dyDescent="0.25">
      <c r="C784" s="218" t="s">
        <v>238</v>
      </c>
      <c r="D784" s="37" t="s">
        <v>239</v>
      </c>
      <c r="E784" s="192"/>
    </row>
    <row r="785" spans="3:5" hidden="1" x14ac:dyDescent="0.25">
      <c r="C785" s="218" t="s">
        <v>240</v>
      </c>
      <c r="D785" s="37" t="s">
        <v>241</v>
      </c>
      <c r="E785" s="192"/>
    </row>
    <row r="786" spans="3:5" hidden="1" x14ac:dyDescent="0.25">
      <c r="C786" s="218" t="s">
        <v>242</v>
      </c>
      <c r="D786" s="37" t="s">
        <v>243</v>
      </c>
      <c r="E786" s="192">
        <v>0</v>
      </c>
    </row>
    <row r="787" spans="3:5" hidden="1" x14ac:dyDescent="0.25">
      <c r="C787" s="218" t="s">
        <v>244</v>
      </c>
      <c r="D787" s="37" t="s">
        <v>245</v>
      </c>
      <c r="E787" s="192"/>
    </row>
    <row r="788" spans="3:5" hidden="1" x14ac:dyDescent="0.25">
      <c r="C788" s="218" t="s">
        <v>246</v>
      </c>
      <c r="D788" s="37" t="s">
        <v>247</v>
      </c>
      <c r="E788" s="192"/>
    </row>
    <row r="789" spans="3:5" hidden="1" x14ac:dyDescent="0.25">
      <c r="C789" s="218" t="s">
        <v>248</v>
      </c>
      <c r="D789" s="94" t="s">
        <v>249</v>
      </c>
      <c r="E789" s="192"/>
    </row>
    <row r="790" spans="3:5" hidden="1" x14ac:dyDescent="0.25">
      <c r="C790" s="219"/>
      <c r="D790" s="67"/>
      <c r="E790" s="193"/>
    </row>
    <row r="791" spans="3:5" hidden="1" x14ac:dyDescent="0.25">
      <c r="C791" s="211" t="s">
        <v>250</v>
      </c>
      <c r="D791" s="191" t="s">
        <v>251</v>
      </c>
      <c r="E791" s="165">
        <f>SUM(E793:E794)</f>
        <v>0</v>
      </c>
    </row>
    <row r="792" spans="3:5" hidden="1" x14ac:dyDescent="0.25">
      <c r="C792" s="212"/>
      <c r="D792" s="120"/>
      <c r="E792" s="121"/>
    </row>
    <row r="793" spans="3:5" hidden="1" x14ac:dyDescent="0.25">
      <c r="C793" s="218" t="s">
        <v>252</v>
      </c>
      <c r="D793" s="37" t="s">
        <v>253</v>
      </c>
      <c r="E793" s="192"/>
    </row>
    <row r="794" spans="3:5" hidden="1" x14ac:dyDescent="0.25">
      <c r="C794" s="218" t="s">
        <v>254</v>
      </c>
      <c r="D794" s="37" t="s">
        <v>255</v>
      </c>
      <c r="E794" s="192"/>
    </row>
    <row r="795" spans="3:5" hidden="1" x14ac:dyDescent="0.25">
      <c r="C795" s="228"/>
      <c r="D795" s="38"/>
      <c r="E795" s="48"/>
    </row>
    <row r="796" spans="3:5" hidden="1" x14ac:dyDescent="0.25">
      <c r="C796" s="211" t="s">
        <v>258</v>
      </c>
      <c r="D796" s="191" t="s">
        <v>251</v>
      </c>
      <c r="E796" s="165">
        <f>SUM(E798:E799)</f>
        <v>0</v>
      </c>
    </row>
    <row r="797" spans="3:5" hidden="1" x14ac:dyDescent="0.25">
      <c r="C797" s="212"/>
      <c r="D797" s="120"/>
      <c r="E797" s="121"/>
    </row>
    <row r="798" spans="3:5" hidden="1" x14ac:dyDescent="0.25">
      <c r="C798" s="218" t="s">
        <v>411</v>
      </c>
      <c r="D798" s="37" t="s">
        <v>412</v>
      </c>
      <c r="E798" s="192"/>
    </row>
    <row r="799" spans="3:5" hidden="1" x14ac:dyDescent="0.25">
      <c r="C799" s="218" t="s">
        <v>259</v>
      </c>
      <c r="D799" s="37" t="s">
        <v>260</v>
      </c>
      <c r="E799" s="192"/>
    </row>
    <row r="800" spans="3:5" ht="13.8" thickBot="1" x14ac:dyDescent="0.3">
      <c r="C800" s="227"/>
      <c r="D800" s="188"/>
      <c r="E800" s="196"/>
    </row>
    <row r="801" spans="1:5" ht="13.8" thickBot="1" x14ac:dyDescent="0.3">
      <c r="A801" s="204" t="s">
        <v>463</v>
      </c>
      <c r="B801" s="89">
        <v>20950000</v>
      </c>
      <c r="C801" s="222">
        <v>6</v>
      </c>
      <c r="D801" s="98" t="s">
        <v>261</v>
      </c>
      <c r="E801" s="149">
        <f>+E803+E808+E812+E816</f>
        <v>20950000</v>
      </c>
    </row>
    <row r="802" spans="1:5" hidden="1" x14ac:dyDescent="0.25">
      <c r="C802" s="223"/>
      <c r="D802" s="185"/>
      <c r="E802" s="186"/>
    </row>
    <row r="803" spans="1:5" hidden="1" x14ac:dyDescent="0.25">
      <c r="C803" s="211" t="s">
        <v>262</v>
      </c>
      <c r="D803" s="191" t="s">
        <v>280</v>
      </c>
      <c r="E803" s="165">
        <f>SUM(E805:E806)</f>
        <v>0</v>
      </c>
    </row>
    <row r="804" spans="1:5" hidden="1" x14ac:dyDescent="0.25">
      <c r="C804" s="212"/>
      <c r="D804" s="120"/>
      <c r="E804" s="121"/>
    </row>
    <row r="805" spans="1:5" hidden="1" x14ac:dyDescent="0.25">
      <c r="C805" s="229" t="s">
        <v>353</v>
      </c>
      <c r="D805" s="187" t="s">
        <v>413</v>
      </c>
      <c r="E805" s="192"/>
    </row>
    <row r="806" spans="1:5" hidden="1" x14ac:dyDescent="0.25">
      <c r="C806" s="229" t="s">
        <v>263</v>
      </c>
      <c r="D806" s="187" t="s">
        <v>59</v>
      </c>
      <c r="E806" s="192"/>
    </row>
    <row r="807" spans="1:5" x14ac:dyDescent="0.25">
      <c r="C807" s="230"/>
      <c r="D807" s="189"/>
      <c r="E807" s="194"/>
    </row>
    <row r="808" spans="1:5" x14ac:dyDescent="0.25">
      <c r="C808" s="211" t="s">
        <v>264</v>
      </c>
      <c r="D808" s="191" t="s">
        <v>265</v>
      </c>
      <c r="E808" s="165">
        <f>SUM(E810)</f>
        <v>20950000</v>
      </c>
    </row>
    <row r="809" spans="1:5" x14ac:dyDescent="0.25">
      <c r="C809" s="212"/>
      <c r="D809" s="120"/>
      <c r="E809" s="121"/>
    </row>
    <row r="810" spans="1:5" x14ac:dyDescent="0.25">
      <c r="C810" s="229" t="s">
        <v>345</v>
      </c>
      <c r="D810" s="187" t="s">
        <v>36</v>
      </c>
      <c r="E810" s="192">
        <v>20950000</v>
      </c>
    </row>
    <row r="811" spans="1:5" hidden="1" x14ac:dyDescent="0.25">
      <c r="C811" s="230"/>
      <c r="D811" s="189"/>
      <c r="E811" s="194"/>
    </row>
    <row r="812" spans="1:5" hidden="1" x14ac:dyDescent="0.25">
      <c r="C812" s="211" t="s">
        <v>378</v>
      </c>
      <c r="D812" s="191" t="s">
        <v>414</v>
      </c>
      <c r="E812" s="165">
        <f>SUM(E814)</f>
        <v>0</v>
      </c>
    </row>
    <row r="813" spans="1:5" hidden="1" x14ac:dyDescent="0.25">
      <c r="C813" s="212"/>
      <c r="D813" s="120"/>
      <c r="E813" s="121"/>
    </row>
    <row r="814" spans="1:5" hidden="1" x14ac:dyDescent="0.25">
      <c r="C814" s="229" t="s">
        <v>380</v>
      </c>
      <c r="D814" s="187" t="s">
        <v>381</v>
      </c>
      <c r="E814" s="192"/>
    </row>
    <row r="815" spans="1:5" hidden="1" x14ac:dyDescent="0.25">
      <c r="C815" s="230"/>
      <c r="D815" s="189"/>
      <c r="E815" s="194"/>
    </row>
    <row r="816" spans="1:5" hidden="1" x14ac:dyDescent="0.25">
      <c r="C816" s="211" t="s">
        <v>266</v>
      </c>
      <c r="D816" s="191" t="s">
        <v>281</v>
      </c>
      <c r="E816" s="165">
        <f>SUM(E818:E819)</f>
        <v>0</v>
      </c>
    </row>
    <row r="817" spans="1:5" hidden="1" x14ac:dyDescent="0.25">
      <c r="C817" s="212"/>
      <c r="D817" s="120"/>
      <c r="E817" s="121"/>
    </row>
    <row r="818" spans="1:5" hidden="1" x14ac:dyDescent="0.25">
      <c r="C818" s="220" t="s">
        <v>267</v>
      </c>
      <c r="D818" s="181" t="s">
        <v>282</v>
      </c>
      <c r="E818" s="192"/>
    </row>
    <row r="819" spans="1:5" hidden="1" x14ac:dyDescent="0.25">
      <c r="C819" s="220" t="s">
        <v>359</v>
      </c>
      <c r="D819" s="181" t="s">
        <v>368</v>
      </c>
      <c r="E819" s="192"/>
    </row>
    <row r="820" spans="1:5" hidden="1" x14ac:dyDescent="0.25">
      <c r="C820" s="231"/>
      <c r="D820" s="190"/>
      <c r="E820" s="197"/>
    </row>
    <row r="821" spans="1:5" ht="13.8" hidden="1" thickBot="1" x14ac:dyDescent="0.3">
      <c r="C821" s="222">
        <v>9</v>
      </c>
      <c r="D821" s="98" t="s">
        <v>58</v>
      </c>
      <c r="E821" s="149">
        <f>E823</f>
        <v>0</v>
      </c>
    </row>
    <row r="822" spans="1:5" hidden="1" x14ac:dyDescent="0.25">
      <c r="C822" s="223"/>
      <c r="D822" s="185"/>
      <c r="E822" s="186"/>
    </row>
    <row r="823" spans="1:5" hidden="1" x14ac:dyDescent="0.25">
      <c r="C823" s="211" t="s">
        <v>268</v>
      </c>
      <c r="D823" s="191" t="s">
        <v>269</v>
      </c>
      <c r="E823" s="165">
        <f>SUM(E825:E826)</f>
        <v>0</v>
      </c>
    </row>
    <row r="824" spans="1:5" hidden="1" x14ac:dyDescent="0.25">
      <c r="C824" s="212"/>
      <c r="D824" s="120"/>
      <c r="E824" s="121"/>
    </row>
    <row r="825" spans="1:5" hidden="1" x14ac:dyDescent="0.25">
      <c r="C825" s="218" t="s">
        <v>270</v>
      </c>
      <c r="D825" s="57" t="s">
        <v>60</v>
      </c>
      <c r="E825" s="192"/>
    </row>
    <row r="826" spans="1:5" hidden="1" x14ac:dyDescent="0.25">
      <c r="C826" s="220" t="s">
        <v>271</v>
      </c>
      <c r="D826" s="181" t="s">
        <v>283</v>
      </c>
      <c r="E826" s="192"/>
    </row>
    <row r="827" spans="1:5" ht="13.8" thickBot="1" x14ac:dyDescent="0.3">
      <c r="C827" s="232"/>
      <c r="D827" s="233"/>
      <c r="E827" s="234"/>
    </row>
    <row r="828" spans="1:5" ht="21.9" customHeight="1" thickBot="1" x14ac:dyDescent="0.3">
      <c r="A828" s="201" t="s">
        <v>423</v>
      </c>
      <c r="B828" s="202">
        <f>SUM(B630:B827)</f>
        <v>20950000</v>
      </c>
      <c r="C828" s="1592" t="s">
        <v>424</v>
      </c>
      <c r="D828" s="1593"/>
      <c r="E828" s="206">
        <f>+E801</f>
        <v>20950000</v>
      </c>
    </row>
    <row r="829" spans="1:5" ht="13.8" thickBot="1" x14ac:dyDescent="0.3"/>
    <row r="830" spans="1:5" ht="21.9" customHeight="1" thickBot="1" x14ac:dyDescent="0.3">
      <c r="A830" s="236" t="s">
        <v>421</v>
      </c>
      <c r="B830" s="237" t="s">
        <v>44</v>
      </c>
      <c r="C830" s="1596" t="s">
        <v>422</v>
      </c>
      <c r="D830" s="1597"/>
      <c r="E830" s="200" t="s">
        <v>44</v>
      </c>
    </row>
    <row r="831" spans="1:5" ht="13.8" thickBot="1" x14ac:dyDescent="0.3"/>
    <row r="832" spans="1:5" ht="21.9" customHeight="1" thickBot="1" x14ac:dyDescent="0.3">
      <c r="A832" s="201" t="s">
        <v>357</v>
      </c>
      <c r="B832" s="202"/>
      <c r="C832" s="199" t="s">
        <v>70</v>
      </c>
      <c r="D832" s="98" t="s">
        <v>53</v>
      </c>
      <c r="E832" s="203">
        <f>E835+E841+E846+E855+E863+E868</f>
        <v>302371510</v>
      </c>
    </row>
    <row r="833" spans="1:5" x14ac:dyDescent="0.25">
      <c r="A833" s="14"/>
      <c r="C833" s="198"/>
      <c r="D833" s="179" t="s">
        <v>390</v>
      </c>
      <c r="E833" s="180">
        <f>E837+E838+E843+E848+E849+E850+E851+E852</f>
        <v>243264404</v>
      </c>
    </row>
    <row r="834" spans="1:5" x14ac:dyDescent="0.25">
      <c r="C834" s="235"/>
      <c r="D834" s="120"/>
      <c r="E834" s="121"/>
    </row>
    <row r="835" spans="1:5" x14ac:dyDescent="0.25">
      <c r="A835" s="204" t="s">
        <v>428</v>
      </c>
      <c r="B835" s="205"/>
      <c r="C835" s="211" t="s">
        <v>325</v>
      </c>
      <c r="D835" s="155" t="s">
        <v>71</v>
      </c>
      <c r="E835" s="165">
        <f>SUM(E837:E839)</f>
        <v>122545494</v>
      </c>
    </row>
    <row r="836" spans="1:5" x14ac:dyDescent="0.25">
      <c r="C836" s="212"/>
      <c r="D836" s="120"/>
      <c r="E836" s="121"/>
    </row>
    <row r="837" spans="1:5" hidden="1" x14ac:dyDescent="0.25">
      <c r="C837" s="213" t="s">
        <v>72</v>
      </c>
      <c r="D837" s="37" t="s">
        <v>441</v>
      </c>
      <c r="E837" s="192">
        <f>+'[7]PRESUPUESTO 2015'!AI18</f>
        <v>0</v>
      </c>
    </row>
    <row r="838" spans="1:5" x14ac:dyDescent="0.25">
      <c r="A838" s="177" t="s">
        <v>416</v>
      </c>
      <c r="B838" s="89">
        <f>+'[7]CLASIFICACION DE INGRESOS 2015'!F40</f>
        <v>53880986</v>
      </c>
      <c r="C838" s="213" t="s">
        <v>73</v>
      </c>
      <c r="D838" s="37" t="s">
        <v>442</v>
      </c>
      <c r="E838" s="192">
        <f>+'[7]PRESUPUESTO 2015'!AI19+4250194</f>
        <v>122545494</v>
      </c>
    </row>
    <row r="839" spans="1:5" hidden="1" x14ac:dyDescent="0.25">
      <c r="C839" s="213" t="s">
        <v>391</v>
      </c>
      <c r="D839" s="37" t="s">
        <v>374</v>
      </c>
      <c r="E839" s="192">
        <f>+'[7]PRESUPUESTO 2015'!AI20</f>
        <v>0</v>
      </c>
    </row>
    <row r="840" spans="1:5" x14ac:dyDescent="0.25">
      <c r="A840" s="177" t="s">
        <v>417</v>
      </c>
      <c r="B840" s="89">
        <f>+'[7]CLASIFICACION DE INGRESOS 2015'!F41</f>
        <v>51303982</v>
      </c>
      <c r="C840" s="214"/>
      <c r="D840" s="67"/>
      <c r="E840" s="193"/>
    </row>
    <row r="841" spans="1:5" x14ac:dyDescent="0.25">
      <c r="A841" s="177" t="s">
        <v>433</v>
      </c>
      <c r="B841" s="89">
        <f>+'[7]CLASIFICACION DE INGRESOS 2015'!F46</f>
        <v>56895000</v>
      </c>
      <c r="C841" s="211" t="s">
        <v>74</v>
      </c>
      <c r="D841" s="155" t="s">
        <v>75</v>
      </c>
      <c r="E841" s="165">
        <f>+E843</f>
        <v>27468900</v>
      </c>
    </row>
    <row r="842" spans="1:5" x14ac:dyDescent="0.25">
      <c r="A842" s="177" t="s">
        <v>418</v>
      </c>
      <c r="B842" s="89">
        <f>+'[7]CLASIFICACION DE INGRESOS 2015'!F43</f>
        <v>687070032</v>
      </c>
      <c r="C842" s="212"/>
      <c r="D842" s="120"/>
      <c r="E842" s="121"/>
    </row>
    <row r="843" spans="1:5" x14ac:dyDescent="0.25">
      <c r="C843" s="213" t="s">
        <v>76</v>
      </c>
      <c r="D843" s="37" t="s">
        <v>35</v>
      </c>
      <c r="E843" s="192">
        <f>+'[7]PRESUPUESTO 2015'!AI24+1000000</f>
        <v>27468900</v>
      </c>
    </row>
    <row r="844" spans="1:5" hidden="1" x14ac:dyDescent="0.25">
      <c r="C844" s="215" t="s">
        <v>77</v>
      </c>
      <c r="D844" s="181" t="s">
        <v>17</v>
      </c>
      <c r="E844" s="192">
        <f>+'[7]PRESUPUESTO 2015'!AI25</f>
        <v>0</v>
      </c>
    </row>
    <row r="845" spans="1:5" x14ac:dyDescent="0.25">
      <c r="C845" s="216"/>
      <c r="D845" s="182"/>
      <c r="E845" s="194"/>
    </row>
    <row r="846" spans="1:5" x14ac:dyDescent="0.25">
      <c r="C846" s="211" t="s">
        <v>78</v>
      </c>
      <c r="D846" s="155" t="s">
        <v>79</v>
      </c>
      <c r="E846" s="165">
        <f>SUM(E848:E852)</f>
        <v>93250010</v>
      </c>
    </row>
    <row r="847" spans="1:5" x14ac:dyDescent="0.25">
      <c r="C847" s="212"/>
      <c r="D847" s="120"/>
      <c r="E847" s="121"/>
    </row>
    <row r="848" spans="1:5" x14ac:dyDescent="0.25">
      <c r="C848" s="213" t="s">
        <v>80</v>
      </c>
      <c r="D848" s="37" t="s">
        <v>443</v>
      </c>
      <c r="E848" s="192">
        <f>+'[7]PRESUPUESTO 2015'!AI29+164914</f>
        <v>13276714</v>
      </c>
    </row>
    <row r="849" spans="3:5" x14ac:dyDescent="0.25">
      <c r="C849" s="213" t="s">
        <v>82</v>
      </c>
      <c r="D849" s="37" t="s">
        <v>444</v>
      </c>
      <c r="E849" s="192">
        <f>+'[7]PRESUPUESTO 2015'!AI30</f>
        <v>28985500</v>
      </c>
    </row>
    <row r="850" spans="3:5" x14ac:dyDescent="0.25">
      <c r="C850" s="213" t="s">
        <v>84</v>
      </c>
      <c r="D850" s="37" t="s">
        <v>14</v>
      </c>
      <c r="E850" s="192">
        <f>+'[7]PRESUPUESTO 2015'!AI31+397899</f>
        <v>17779799</v>
      </c>
    </row>
    <row r="851" spans="3:5" x14ac:dyDescent="0.25">
      <c r="C851" s="213" t="s">
        <v>86</v>
      </c>
      <c r="D851" s="37" t="s">
        <v>445</v>
      </c>
      <c r="E851" s="192">
        <f>+'[7]PRESUPUESTO 2015'!AI32+361597</f>
        <v>26137097</v>
      </c>
    </row>
    <row r="852" spans="3:5" x14ac:dyDescent="0.25">
      <c r="C852" s="213" t="s">
        <v>87</v>
      </c>
      <c r="D852" s="37" t="s">
        <v>88</v>
      </c>
      <c r="E852" s="192">
        <f>+'[7]PRESUPUESTO 2015'!AI33</f>
        <v>7070900</v>
      </c>
    </row>
    <row r="853" spans="3:5" x14ac:dyDescent="0.25">
      <c r="C853" s="214"/>
      <c r="D853" s="67"/>
      <c r="E853" s="192"/>
    </row>
    <row r="854" spans="3:5" x14ac:dyDescent="0.25">
      <c r="C854" s="217"/>
      <c r="D854" s="179" t="s">
        <v>392</v>
      </c>
      <c r="E854" s="180">
        <f>E857+E858+E859+E860+E861+E865+E866</f>
        <v>59107106</v>
      </c>
    </row>
    <row r="855" spans="3:5" x14ac:dyDescent="0.25">
      <c r="C855" s="211" t="s">
        <v>89</v>
      </c>
      <c r="D855" s="155" t="s">
        <v>273</v>
      </c>
      <c r="E855" s="165">
        <f>SUM(E857:E861)</f>
        <v>49005154</v>
      </c>
    </row>
    <row r="856" spans="3:5" x14ac:dyDescent="0.25">
      <c r="C856" s="212"/>
      <c r="D856" s="120"/>
      <c r="E856" s="121"/>
    </row>
    <row r="857" spans="3:5" x14ac:dyDescent="0.25">
      <c r="C857" s="218" t="s">
        <v>90</v>
      </c>
      <c r="D857" s="37" t="s">
        <v>446</v>
      </c>
      <c r="E857" s="192">
        <f>+'[7]PRESUPUESTO 2015'!AI38+684502</f>
        <v>32168602</v>
      </c>
    </row>
    <row r="858" spans="3:5" x14ac:dyDescent="0.25">
      <c r="C858" s="218" t="s">
        <v>92</v>
      </c>
      <c r="D858" s="37" t="s">
        <v>447</v>
      </c>
      <c r="E858" s="192">
        <f>+'[7]PRESUPUESTO 2015'!AI39+23883</f>
        <v>1122483</v>
      </c>
    </row>
    <row r="859" spans="3:5" x14ac:dyDescent="0.25">
      <c r="C859" s="218" t="s">
        <v>93</v>
      </c>
      <c r="D859" s="37" t="s">
        <v>448</v>
      </c>
      <c r="E859" s="192">
        <f>+'[7]PRESUPUESTO 2015'!AI40+71651</f>
        <v>3367351</v>
      </c>
    </row>
    <row r="860" spans="3:5" x14ac:dyDescent="0.25">
      <c r="C860" s="218" t="s">
        <v>94</v>
      </c>
      <c r="D860" s="37" t="s">
        <v>95</v>
      </c>
      <c r="E860" s="192">
        <f>+'[7]PRESUPUESTO 2015'!AI41+238835</f>
        <v>11224235</v>
      </c>
    </row>
    <row r="861" spans="3:5" x14ac:dyDescent="0.25">
      <c r="C861" s="218" t="s">
        <v>96</v>
      </c>
      <c r="D861" s="37" t="s">
        <v>449</v>
      </c>
      <c r="E861" s="192">
        <f>+'[7]PRESUPUESTO 2015'!AI42+23883</f>
        <v>1122483</v>
      </c>
    </row>
    <row r="862" spans="3:5" x14ac:dyDescent="0.25">
      <c r="C862" s="219"/>
      <c r="D862" s="67"/>
      <c r="E862" s="193"/>
    </row>
    <row r="863" spans="3:5" x14ac:dyDescent="0.25">
      <c r="C863" s="211" t="s">
        <v>98</v>
      </c>
      <c r="D863" s="191" t="s">
        <v>99</v>
      </c>
      <c r="E863" s="165">
        <f>SUM(E865:E866)</f>
        <v>10101952</v>
      </c>
    </row>
    <row r="864" spans="3:5" x14ac:dyDescent="0.25">
      <c r="C864" s="212"/>
      <c r="D864" s="120"/>
      <c r="E864" s="121"/>
    </row>
    <row r="865" spans="3:5" x14ac:dyDescent="0.25">
      <c r="C865" s="218" t="s">
        <v>100</v>
      </c>
      <c r="D865" s="183" t="s">
        <v>450</v>
      </c>
      <c r="E865" s="192">
        <f>+'[7]PRESUPUESTO 2015'!AI46+71651</f>
        <v>3367351</v>
      </c>
    </row>
    <row r="866" spans="3:5" x14ac:dyDescent="0.25">
      <c r="C866" s="218" t="s">
        <v>101</v>
      </c>
      <c r="D866" s="183" t="s">
        <v>451</v>
      </c>
      <c r="E866" s="192">
        <f>+'[7]PRESUPUESTO 2015'!AI47+143301</f>
        <v>6734601</v>
      </c>
    </row>
    <row r="867" spans="3:5" hidden="1" x14ac:dyDescent="0.25">
      <c r="C867" s="219"/>
      <c r="D867" s="67"/>
      <c r="E867" s="193"/>
    </row>
    <row r="868" spans="3:5" hidden="1" x14ac:dyDescent="0.25">
      <c r="C868" s="211" t="s">
        <v>393</v>
      </c>
      <c r="D868" s="191" t="s">
        <v>394</v>
      </c>
      <c r="E868" s="165">
        <f>SUM(E870)</f>
        <v>0</v>
      </c>
    </row>
    <row r="869" spans="3:5" hidden="1" x14ac:dyDescent="0.25">
      <c r="C869" s="212"/>
      <c r="D869" s="120"/>
      <c r="E869" s="121"/>
    </row>
    <row r="870" spans="3:5" hidden="1" x14ac:dyDescent="0.25">
      <c r="C870" s="220" t="s">
        <v>395</v>
      </c>
      <c r="D870" s="181" t="s">
        <v>396</v>
      </c>
      <c r="E870" s="192">
        <f>+'[7]PRESUPUESTO 2015'!AI51</f>
        <v>0</v>
      </c>
    </row>
    <row r="871" spans="3:5" ht="13.8" thickBot="1" x14ac:dyDescent="0.3">
      <c r="C871" s="221"/>
      <c r="D871" s="184"/>
      <c r="E871" s="195"/>
    </row>
    <row r="872" spans="3:5" ht="13.8" thickBot="1" x14ac:dyDescent="0.3">
      <c r="C872" s="222" t="s">
        <v>103</v>
      </c>
      <c r="D872" s="98" t="s">
        <v>54</v>
      </c>
      <c r="E872" s="149" t="e">
        <f>+E874+E881+E889+E898+E908+E915+E919+E925+E936+E940</f>
        <v>#REF!</v>
      </c>
    </row>
    <row r="873" spans="3:5" x14ac:dyDescent="0.25">
      <c r="C873" s="223"/>
      <c r="D873" s="185"/>
      <c r="E873" s="186"/>
    </row>
    <row r="874" spans="3:5" x14ac:dyDescent="0.25">
      <c r="C874" s="211" t="s">
        <v>104</v>
      </c>
      <c r="D874" s="191" t="s">
        <v>105</v>
      </c>
      <c r="E874" s="165">
        <f>SUM(E876:E879)</f>
        <v>175612040</v>
      </c>
    </row>
    <row r="875" spans="3:5" x14ac:dyDescent="0.25">
      <c r="C875" s="212"/>
      <c r="D875" s="120"/>
      <c r="E875" s="121"/>
    </row>
    <row r="876" spans="3:5" x14ac:dyDescent="0.25">
      <c r="C876" s="220" t="s">
        <v>106</v>
      </c>
      <c r="D876" s="181" t="s">
        <v>377</v>
      </c>
      <c r="E876" s="192">
        <f>+'[7]PRESUPUESTO 2015'!AI57+49400000</f>
        <v>175612040</v>
      </c>
    </row>
    <row r="877" spans="3:5" hidden="1" x14ac:dyDescent="0.25">
      <c r="C877" s="218" t="s">
        <v>108</v>
      </c>
      <c r="D877" s="37" t="s">
        <v>109</v>
      </c>
      <c r="E877" s="192">
        <f>+'[7]PRESUPUESTO 2015'!AI58</f>
        <v>0</v>
      </c>
    </row>
    <row r="878" spans="3:5" hidden="1" x14ac:dyDescent="0.25">
      <c r="C878" s="218" t="s">
        <v>110</v>
      </c>
      <c r="D878" s="37" t="s">
        <v>111</v>
      </c>
      <c r="E878" s="192">
        <f>+'[7]PRESUPUESTO 2015'!AI59</f>
        <v>0</v>
      </c>
    </row>
    <row r="879" spans="3:5" hidden="1" x14ac:dyDescent="0.25">
      <c r="C879" s="218" t="s">
        <v>112</v>
      </c>
      <c r="D879" s="37" t="s">
        <v>113</v>
      </c>
      <c r="E879" s="192">
        <f>+'[7]PRESUPUESTO 2015'!AI60</f>
        <v>0</v>
      </c>
    </row>
    <row r="880" spans="3:5" x14ac:dyDescent="0.25">
      <c r="C880" s="224"/>
      <c r="D880" s="182"/>
      <c r="E880" s="194"/>
    </row>
    <row r="881" spans="3:5" x14ac:dyDescent="0.25">
      <c r="C881" s="211" t="s">
        <v>114</v>
      </c>
      <c r="D881" s="191" t="s">
        <v>115</v>
      </c>
      <c r="E881" s="165">
        <f>SUM(E883:E887)</f>
        <v>58856432</v>
      </c>
    </row>
    <row r="882" spans="3:5" x14ac:dyDescent="0.25">
      <c r="C882" s="212"/>
      <c r="D882" s="120"/>
      <c r="E882" s="121"/>
    </row>
    <row r="883" spans="3:5" x14ac:dyDescent="0.25">
      <c r="C883" s="220" t="s">
        <v>116</v>
      </c>
      <c r="D883" s="181" t="s">
        <v>117</v>
      </c>
      <c r="E883" s="192">
        <f>+'[7]PRESUPUESTO 2015'!AI64+9148035</f>
        <v>14883690</v>
      </c>
    </row>
    <row r="884" spans="3:5" x14ac:dyDescent="0.25">
      <c r="C884" s="220" t="s">
        <v>118</v>
      </c>
      <c r="D884" s="187" t="s">
        <v>119</v>
      </c>
      <c r="E884" s="192">
        <f>+'[7]PRESUPUESTO 2015'!AI65+13811527</f>
        <v>25940005</v>
      </c>
    </row>
    <row r="885" spans="3:5" x14ac:dyDescent="0.25">
      <c r="C885" s="218" t="s">
        <v>120</v>
      </c>
      <c r="D885" s="37" t="s">
        <v>121</v>
      </c>
      <c r="E885" s="192">
        <f>+'[7]PRESUPUESTO 2015'!AI66</f>
        <v>300000</v>
      </c>
    </row>
    <row r="886" spans="3:5" x14ac:dyDescent="0.25">
      <c r="C886" s="218" t="s">
        <v>326</v>
      </c>
      <c r="D886" s="37" t="s">
        <v>122</v>
      </c>
      <c r="E886" s="192">
        <f>+'[7]PRESUPUESTO 2015'!AI67+9918737</f>
        <v>17732737</v>
      </c>
    </row>
    <row r="887" spans="3:5" hidden="1" x14ac:dyDescent="0.25">
      <c r="C887" s="220" t="s">
        <v>123</v>
      </c>
      <c r="D887" s="181" t="s">
        <v>124</v>
      </c>
      <c r="E887" s="192">
        <f>+'[7]PRESUPUESTO 2015'!AI68</f>
        <v>0</v>
      </c>
    </row>
    <row r="888" spans="3:5" x14ac:dyDescent="0.25">
      <c r="C888" s="224"/>
      <c r="D888" s="182"/>
      <c r="E888" s="194"/>
    </row>
    <row r="889" spans="3:5" x14ac:dyDescent="0.25">
      <c r="C889" s="211" t="s">
        <v>125</v>
      </c>
      <c r="D889" s="191" t="s">
        <v>126</v>
      </c>
      <c r="E889" s="165">
        <f>SUM(E891:E896)</f>
        <v>10211000</v>
      </c>
    </row>
    <row r="890" spans="3:5" x14ac:dyDescent="0.25">
      <c r="C890" s="212"/>
      <c r="D890" s="120"/>
      <c r="E890" s="121"/>
    </row>
    <row r="891" spans="3:5" hidden="1" x14ac:dyDescent="0.25">
      <c r="C891" s="218" t="s">
        <v>127</v>
      </c>
      <c r="D891" s="37" t="s">
        <v>436</v>
      </c>
      <c r="E891" s="192">
        <f>+'[7]PRESUPUESTO 2015'!AI72</f>
        <v>0</v>
      </c>
    </row>
    <row r="892" spans="3:5" hidden="1" x14ac:dyDescent="0.25">
      <c r="C892" s="218" t="s">
        <v>129</v>
      </c>
      <c r="D892" s="37" t="s">
        <v>437</v>
      </c>
      <c r="E892" s="192">
        <f>+'[7]PRESUPUESTO 2015'!AI73</f>
        <v>0</v>
      </c>
    </row>
    <row r="893" spans="3:5" x14ac:dyDescent="0.25">
      <c r="C893" s="218" t="s">
        <v>131</v>
      </c>
      <c r="D893" s="37" t="s">
        <v>438</v>
      </c>
      <c r="E893" s="192">
        <f>+'[7]PRESUPUESTO 2015'!AI74</f>
        <v>10200000</v>
      </c>
    </row>
    <row r="894" spans="3:5" hidden="1" x14ac:dyDescent="0.25">
      <c r="C894" s="218" t="s">
        <v>133</v>
      </c>
      <c r="D894" s="37" t="s">
        <v>439</v>
      </c>
      <c r="E894" s="192">
        <f>+'[7]PRESUPUESTO 2015'!AI75</f>
        <v>0</v>
      </c>
    </row>
    <row r="895" spans="3:5" x14ac:dyDescent="0.25">
      <c r="C895" s="220" t="s">
        <v>137</v>
      </c>
      <c r="D895" s="181" t="s">
        <v>452</v>
      </c>
      <c r="E895" s="192">
        <f>+'[7]PRESUPUESTO 2015'!AI76</f>
        <v>11000</v>
      </c>
    </row>
    <row r="896" spans="3:5" hidden="1" x14ac:dyDescent="0.25">
      <c r="C896" s="218" t="s">
        <v>397</v>
      </c>
      <c r="D896" s="37" t="s">
        <v>398</v>
      </c>
      <c r="E896" s="192">
        <f>+'[7]PRESUPUESTO 2015'!AI77</f>
        <v>0</v>
      </c>
    </row>
    <row r="897" spans="3:5" x14ac:dyDescent="0.25">
      <c r="C897" s="219"/>
      <c r="D897" s="67"/>
      <c r="E897" s="193"/>
    </row>
    <row r="898" spans="3:5" x14ac:dyDescent="0.25">
      <c r="C898" s="211" t="s">
        <v>139</v>
      </c>
      <c r="D898" s="191" t="s">
        <v>140</v>
      </c>
      <c r="E898" s="165" t="e">
        <f>SUM(E900:E906)</f>
        <v>#REF!</v>
      </c>
    </row>
    <row r="899" spans="3:5" x14ac:dyDescent="0.25">
      <c r="C899" s="212"/>
      <c r="D899" s="120"/>
      <c r="E899" s="121"/>
    </row>
    <row r="900" spans="3:5" hidden="1" x14ac:dyDescent="0.25">
      <c r="C900" s="225" t="s">
        <v>399</v>
      </c>
      <c r="D900" s="37" t="s">
        <v>400</v>
      </c>
      <c r="E900" s="192">
        <f>+'[7]PRESUPUESTO 2015'!AI81</f>
        <v>0</v>
      </c>
    </row>
    <row r="901" spans="3:5" hidden="1" x14ac:dyDescent="0.25">
      <c r="C901" s="225"/>
      <c r="D901" s="37"/>
      <c r="E901" s="192" t="e">
        <f>+'[7]PRESUPUESTO 2015'!AI82</f>
        <v>#REF!</v>
      </c>
    </row>
    <row r="902" spans="3:5" hidden="1" x14ac:dyDescent="0.25">
      <c r="C902" s="225" t="s">
        <v>343</v>
      </c>
      <c r="D902" s="37" t="s">
        <v>401</v>
      </c>
      <c r="E902" s="192">
        <f>+'[7]PRESUPUESTO 2015'!AI83</f>
        <v>0</v>
      </c>
    </row>
    <row r="903" spans="3:5" x14ac:dyDescent="0.25">
      <c r="C903" s="225" t="s">
        <v>141</v>
      </c>
      <c r="D903" s="37" t="s">
        <v>142</v>
      </c>
      <c r="E903" s="192">
        <f>+'[7]PRESUPUESTO 2015'!AI84</f>
        <v>28400000</v>
      </c>
    </row>
    <row r="904" spans="3:5" hidden="1" x14ac:dyDescent="0.25">
      <c r="C904" s="225" t="s">
        <v>143</v>
      </c>
      <c r="D904" s="37" t="s">
        <v>144</v>
      </c>
      <c r="E904" s="192">
        <f>+'[7]PRESUPUESTO 2015'!AI85</f>
        <v>0</v>
      </c>
    </row>
    <row r="905" spans="3:5" x14ac:dyDescent="0.25">
      <c r="C905" s="226" t="s">
        <v>145</v>
      </c>
      <c r="D905" s="181" t="s">
        <v>146</v>
      </c>
      <c r="E905" s="192">
        <f>+'[7]PRESUPUESTO 2015'!AI86+21002687+62690</f>
        <v>63351878</v>
      </c>
    </row>
    <row r="906" spans="3:5" x14ac:dyDescent="0.25">
      <c r="C906" s="226" t="s">
        <v>147</v>
      </c>
      <c r="D906" s="181" t="s">
        <v>148</v>
      </c>
      <c r="E906" s="192">
        <f>+'[7]PRESUPUESTO 2015'!AI87+51303982</f>
        <v>52303982</v>
      </c>
    </row>
    <row r="907" spans="3:5" x14ac:dyDescent="0.25">
      <c r="C907" s="219"/>
      <c r="D907" s="67"/>
      <c r="E907" s="193"/>
    </row>
    <row r="908" spans="3:5" x14ac:dyDescent="0.25">
      <c r="C908" s="211" t="s">
        <v>149</v>
      </c>
      <c r="D908" s="191" t="s">
        <v>150</v>
      </c>
      <c r="E908" s="165">
        <f>SUM(E910:E913)</f>
        <v>39800000</v>
      </c>
    </row>
    <row r="909" spans="3:5" x14ac:dyDescent="0.25">
      <c r="C909" s="212"/>
      <c r="D909" s="120"/>
      <c r="E909" s="121"/>
    </row>
    <row r="910" spans="3:5" hidden="1" x14ac:dyDescent="0.25">
      <c r="C910" s="218" t="s">
        <v>151</v>
      </c>
      <c r="D910" s="37" t="s">
        <v>152</v>
      </c>
      <c r="E910" s="192">
        <f>+'[7]PRESUPUESTO 2015'!AI91</f>
        <v>0</v>
      </c>
    </row>
    <row r="911" spans="3:5" x14ac:dyDescent="0.25">
      <c r="C911" s="218" t="s">
        <v>153</v>
      </c>
      <c r="D911" s="37" t="s">
        <v>453</v>
      </c>
      <c r="E911" s="192">
        <f>+'[7]PRESUPUESTO 2015'!AI92</f>
        <v>39800000</v>
      </c>
    </row>
    <row r="912" spans="3:5" hidden="1" x14ac:dyDescent="0.25">
      <c r="C912" s="218" t="s">
        <v>155</v>
      </c>
      <c r="D912" s="37" t="s">
        <v>156</v>
      </c>
      <c r="E912" s="192">
        <f>+'[7]PRESUPUESTO 2015'!AI93</f>
        <v>0</v>
      </c>
    </row>
    <row r="913" spans="3:5" hidden="1" x14ac:dyDescent="0.25">
      <c r="C913" s="218" t="s">
        <v>157</v>
      </c>
      <c r="D913" s="37" t="s">
        <v>454</v>
      </c>
      <c r="E913" s="192">
        <f>+'[7]PRESUPUESTO 2015'!AI94</f>
        <v>0</v>
      </c>
    </row>
    <row r="914" spans="3:5" x14ac:dyDescent="0.25">
      <c r="C914" s="219"/>
      <c r="D914" s="67"/>
      <c r="E914" s="193"/>
    </row>
    <row r="915" spans="3:5" x14ac:dyDescent="0.25">
      <c r="C915" s="211" t="s">
        <v>159</v>
      </c>
      <c r="D915" s="191" t="s">
        <v>275</v>
      </c>
      <c r="E915" s="165">
        <f>SUM(E917)</f>
        <v>5100000</v>
      </c>
    </row>
    <row r="916" spans="3:5" x14ac:dyDescent="0.25">
      <c r="C916" s="212"/>
      <c r="D916" s="120"/>
      <c r="E916" s="121"/>
    </row>
    <row r="917" spans="3:5" x14ac:dyDescent="0.25">
      <c r="C917" s="220" t="s">
        <v>160</v>
      </c>
      <c r="D917" s="181" t="s">
        <v>161</v>
      </c>
      <c r="E917" s="192">
        <f>+'[7]PRESUPUESTO 2015'!AI98</f>
        <v>5100000</v>
      </c>
    </row>
    <row r="918" spans="3:5" x14ac:dyDescent="0.25">
      <c r="C918" s="224"/>
      <c r="D918" s="182"/>
      <c r="E918" s="194"/>
    </row>
    <row r="919" spans="3:5" x14ac:dyDescent="0.25">
      <c r="C919" s="211" t="s">
        <v>162</v>
      </c>
      <c r="D919" s="191" t="s">
        <v>163</v>
      </c>
      <c r="E919" s="165">
        <f>SUM(E921:E923)</f>
        <v>5140000</v>
      </c>
    </row>
    <row r="920" spans="3:5" x14ac:dyDescent="0.25">
      <c r="C920" s="212"/>
      <c r="D920" s="120"/>
      <c r="E920" s="121"/>
    </row>
    <row r="921" spans="3:5" x14ac:dyDescent="0.25">
      <c r="C921" s="218" t="s">
        <v>164</v>
      </c>
      <c r="D921" s="37" t="s">
        <v>165</v>
      </c>
      <c r="E921" s="192">
        <f>+'[7]PRESUPUESTO 2015'!AI102</f>
        <v>5000000</v>
      </c>
    </row>
    <row r="922" spans="3:5" x14ac:dyDescent="0.25">
      <c r="C922" s="218" t="s">
        <v>166</v>
      </c>
      <c r="D922" s="37" t="s">
        <v>167</v>
      </c>
      <c r="E922" s="192">
        <f>+'[7]PRESUPUESTO 2015'!AI103</f>
        <v>140000</v>
      </c>
    </row>
    <row r="923" spans="3:5" hidden="1" x14ac:dyDescent="0.25">
      <c r="C923" s="220" t="s">
        <v>168</v>
      </c>
      <c r="D923" s="181" t="s">
        <v>169</v>
      </c>
      <c r="E923" s="192">
        <f>+'[7]PRESUPUESTO 2015'!AI104</f>
        <v>0</v>
      </c>
    </row>
    <row r="924" spans="3:5" x14ac:dyDescent="0.25">
      <c r="C924" s="224"/>
      <c r="D924" s="182"/>
      <c r="E924" s="194"/>
    </row>
    <row r="925" spans="3:5" x14ac:dyDescent="0.25">
      <c r="C925" s="211" t="s">
        <v>170</v>
      </c>
      <c r="D925" s="191" t="s">
        <v>171</v>
      </c>
      <c r="E925" s="165">
        <f>SUM(E927:E934)</f>
        <v>2972500</v>
      </c>
    </row>
    <row r="926" spans="3:5" x14ac:dyDescent="0.25">
      <c r="C926" s="212"/>
      <c r="D926" s="120"/>
      <c r="E926" s="121"/>
    </row>
    <row r="927" spans="3:5" hidden="1" x14ac:dyDescent="0.25">
      <c r="C927" s="218" t="s">
        <v>172</v>
      </c>
      <c r="D927" s="37" t="s">
        <v>173</v>
      </c>
      <c r="E927" s="192">
        <f>+'[7]PRESUPUESTO 2015'!AI108</f>
        <v>0</v>
      </c>
    </row>
    <row r="928" spans="3:5" hidden="1" x14ac:dyDescent="0.25">
      <c r="C928" s="218" t="s">
        <v>174</v>
      </c>
      <c r="D928" s="37" t="s">
        <v>175</v>
      </c>
      <c r="E928" s="192">
        <f>+'[7]PRESUPUESTO 2015'!AI109</f>
        <v>0</v>
      </c>
    </row>
    <row r="929" spans="3:5" hidden="1" x14ac:dyDescent="0.25">
      <c r="C929" s="218" t="s">
        <v>402</v>
      </c>
      <c r="D929" s="37" t="s">
        <v>455</v>
      </c>
      <c r="E929" s="192">
        <f>+'[7]PRESUPUESTO 2015'!AI110</f>
        <v>0</v>
      </c>
    </row>
    <row r="930" spans="3:5" x14ac:dyDescent="0.25">
      <c r="C930" s="218" t="s">
        <v>176</v>
      </c>
      <c r="D930" s="37" t="s">
        <v>177</v>
      </c>
      <c r="E930" s="192">
        <f>+'[7]PRESUPUESTO 2015'!AI111</f>
        <v>1222500</v>
      </c>
    </row>
    <row r="931" spans="3:5" hidden="1" x14ac:dyDescent="0.25">
      <c r="C931" s="218" t="s">
        <v>178</v>
      </c>
      <c r="D931" s="37" t="s">
        <v>179</v>
      </c>
      <c r="E931" s="192">
        <f>+'[7]PRESUPUESTO 2015'!AI112</f>
        <v>0</v>
      </c>
    </row>
    <row r="932" spans="3:5" x14ac:dyDescent="0.25">
      <c r="C932" s="218" t="s">
        <v>180</v>
      </c>
      <c r="D932" s="37" t="s">
        <v>456</v>
      </c>
      <c r="E932" s="192">
        <f>+'[7]PRESUPUESTO 2015'!AI113</f>
        <v>1250000</v>
      </c>
    </row>
    <row r="933" spans="3:5" ht="26.4" x14ac:dyDescent="0.25">
      <c r="C933" s="218" t="s">
        <v>182</v>
      </c>
      <c r="D933" s="37" t="s">
        <v>276</v>
      </c>
      <c r="E933" s="192">
        <f>+'[7]PRESUPUESTO 2015'!AI114</f>
        <v>500000</v>
      </c>
    </row>
    <row r="934" spans="3:5" hidden="1" x14ac:dyDescent="0.25">
      <c r="C934" s="218" t="s">
        <v>183</v>
      </c>
      <c r="D934" s="37" t="s">
        <v>184</v>
      </c>
      <c r="E934" s="192">
        <f>+'[7]PRESUPUESTO 2015'!AI115</f>
        <v>0</v>
      </c>
    </row>
    <row r="935" spans="3:5" x14ac:dyDescent="0.25">
      <c r="C935" s="219"/>
      <c r="D935" s="67"/>
      <c r="E935" s="193"/>
    </row>
    <row r="936" spans="3:5" x14ac:dyDescent="0.25">
      <c r="C936" s="211" t="s">
        <v>404</v>
      </c>
      <c r="D936" s="191" t="s">
        <v>405</v>
      </c>
      <c r="E936" s="165">
        <f>SUM(E938)</f>
        <v>49000</v>
      </c>
    </row>
    <row r="937" spans="3:5" x14ac:dyDescent="0.25">
      <c r="C937" s="212"/>
      <c r="D937" s="120"/>
      <c r="E937" s="121"/>
    </row>
    <row r="938" spans="3:5" x14ac:dyDescent="0.25">
      <c r="C938" s="220" t="s">
        <v>406</v>
      </c>
      <c r="D938" s="181" t="s">
        <v>407</v>
      </c>
      <c r="E938" s="192">
        <f>+'[7]PRESUPUESTO 2015'!AI119</f>
        <v>49000</v>
      </c>
    </row>
    <row r="939" spans="3:5" x14ac:dyDescent="0.25">
      <c r="C939" s="224"/>
      <c r="D939" s="182"/>
      <c r="E939" s="194"/>
    </row>
    <row r="940" spans="3:5" x14ac:dyDescent="0.25">
      <c r="C940" s="211" t="s">
        <v>185</v>
      </c>
      <c r="D940" s="191" t="s">
        <v>186</v>
      </c>
      <c r="E940" s="165">
        <f>SUM(E942:E944)</f>
        <v>49000</v>
      </c>
    </row>
    <row r="941" spans="3:5" x14ac:dyDescent="0.25">
      <c r="C941" s="212"/>
      <c r="D941" s="120"/>
      <c r="E941" s="121"/>
    </row>
    <row r="942" spans="3:5" hidden="1" x14ac:dyDescent="0.25">
      <c r="C942" s="220" t="s">
        <v>408</v>
      </c>
      <c r="D942" s="181" t="s">
        <v>409</v>
      </c>
      <c r="E942" s="192">
        <f>+'[7]PRESUPUESTO 2015'!AI123</f>
        <v>0</v>
      </c>
    </row>
    <row r="943" spans="3:5" x14ac:dyDescent="0.25">
      <c r="C943" s="218" t="s">
        <v>187</v>
      </c>
      <c r="D943" s="37" t="s">
        <v>188</v>
      </c>
      <c r="E943" s="192">
        <f>+'[7]PRESUPUESTO 2015'!AI124</f>
        <v>49000</v>
      </c>
    </row>
    <row r="944" spans="3:5" hidden="1" x14ac:dyDescent="0.25">
      <c r="C944" s="218" t="s">
        <v>189</v>
      </c>
      <c r="D944" s="37" t="s">
        <v>190</v>
      </c>
      <c r="E944" s="192">
        <f>+'[7]PRESUPUESTO 2015'!AI125</f>
        <v>0</v>
      </c>
    </row>
    <row r="945" spans="3:5" ht="13.8" thickBot="1" x14ac:dyDescent="0.3">
      <c r="C945" s="227"/>
      <c r="D945" s="188"/>
      <c r="E945" s="196"/>
    </row>
    <row r="946" spans="3:5" ht="13.8" thickBot="1" x14ac:dyDescent="0.3">
      <c r="C946" s="222">
        <v>2</v>
      </c>
      <c r="D946" s="98" t="s">
        <v>22</v>
      </c>
      <c r="E946" s="149" t="e">
        <f>+E948+E955+E959+E968+E973</f>
        <v>#REF!</v>
      </c>
    </row>
    <row r="947" spans="3:5" x14ac:dyDescent="0.25">
      <c r="C947" s="223"/>
      <c r="D947" s="185"/>
      <c r="E947" s="186"/>
    </row>
    <row r="948" spans="3:5" x14ac:dyDescent="0.25">
      <c r="C948" s="211" t="s">
        <v>191</v>
      </c>
      <c r="D948" s="191" t="s">
        <v>192</v>
      </c>
      <c r="E948" s="165">
        <f>SUM(E950:E953)</f>
        <v>2595090</v>
      </c>
    </row>
    <row r="949" spans="3:5" x14ac:dyDescent="0.25">
      <c r="C949" s="212"/>
      <c r="D949" s="120"/>
      <c r="E949" s="121"/>
    </row>
    <row r="950" spans="3:5" x14ac:dyDescent="0.25">
      <c r="C950" s="218" t="s">
        <v>193</v>
      </c>
      <c r="D950" s="37" t="s">
        <v>194</v>
      </c>
      <c r="E950" s="192">
        <f>+'[7]PRESUPUESTO 2015'!AI131</f>
        <v>362640</v>
      </c>
    </row>
    <row r="951" spans="3:5" x14ac:dyDescent="0.25">
      <c r="C951" s="218" t="s">
        <v>195</v>
      </c>
      <c r="D951" s="37" t="s">
        <v>196</v>
      </c>
      <c r="E951" s="192">
        <f>+'[7]PRESUPUESTO 2015'!AI132</f>
        <v>96740</v>
      </c>
    </row>
    <row r="952" spans="3:5" x14ac:dyDescent="0.25">
      <c r="C952" s="218" t="s">
        <v>197</v>
      </c>
      <c r="D952" s="37" t="s">
        <v>198</v>
      </c>
      <c r="E952" s="192">
        <f>+'[7]PRESUPUESTO 2015'!AI133</f>
        <v>2036540</v>
      </c>
    </row>
    <row r="953" spans="3:5" x14ac:dyDescent="0.25">
      <c r="C953" s="218" t="s">
        <v>199</v>
      </c>
      <c r="D953" s="37" t="s">
        <v>457</v>
      </c>
      <c r="E953" s="192">
        <f>+'[7]PRESUPUESTO 2015'!AI134</f>
        <v>99170</v>
      </c>
    </row>
    <row r="954" spans="3:5" hidden="1" x14ac:dyDescent="0.25">
      <c r="C954" s="219"/>
      <c r="D954" s="67"/>
      <c r="E954" s="193"/>
    </row>
    <row r="955" spans="3:5" hidden="1" x14ac:dyDescent="0.25">
      <c r="C955" s="211" t="s">
        <v>349</v>
      </c>
      <c r="D955" s="191" t="s">
        <v>350</v>
      </c>
      <c r="E955" s="165">
        <f>SUM(E957)</f>
        <v>0</v>
      </c>
    </row>
    <row r="956" spans="3:5" hidden="1" x14ac:dyDescent="0.25">
      <c r="C956" s="212"/>
      <c r="D956" s="120"/>
      <c r="E956" s="121"/>
    </row>
    <row r="957" spans="3:5" hidden="1" x14ac:dyDescent="0.25">
      <c r="C957" s="220" t="s">
        <v>351</v>
      </c>
      <c r="D957" s="181" t="s">
        <v>362</v>
      </c>
      <c r="E957" s="192">
        <f>+'[7]PRESUPUESTO 2015'!AI138</f>
        <v>0</v>
      </c>
    </row>
    <row r="958" spans="3:5" x14ac:dyDescent="0.25">
      <c r="C958" s="224"/>
      <c r="D958" s="182"/>
      <c r="E958" s="194"/>
    </row>
    <row r="959" spans="3:5" x14ac:dyDescent="0.25">
      <c r="C959" s="211" t="s">
        <v>201</v>
      </c>
      <c r="D959" s="191" t="s">
        <v>277</v>
      </c>
      <c r="E959" s="165">
        <f>SUM(E961:E966)</f>
        <v>485500</v>
      </c>
    </row>
    <row r="960" spans="3:5" x14ac:dyDescent="0.25">
      <c r="C960" s="212"/>
      <c r="D960" s="120"/>
      <c r="E960" s="121"/>
    </row>
    <row r="961" spans="3:5" hidden="1" x14ac:dyDescent="0.25">
      <c r="C961" s="218" t="s">
        <v>202</v>
      </c>
      <c r="D961" s="37" t="s">
        <v>203</v>
      </c>
      <c r="E961" s="192">
        <f>+'[7]PRESUPUESTO 2015'!AI142</f>
        <v>0</v>
      </c>
    </row>
    <row r="962" spans="3:5" hidden="1" x14ac:dyDescent="0.25">
      <c r="C962" s="218" t="s">
        <v>204</v>
      </c>
      <c r="D962" s="37" t="s">
        <v>458</v>
      </c>
      <c r="E962" s="192">
        <f>+'[7]PRESUPUESTO 2015'!AI143</f>
        <v>0</v>
      </c>
    </row>
    <row r="963" spans="3:5" x14ac:dyDescent="0.25">
      <c r="C963" s="218" t="s">
        <v>206</v>
      </c>
      <c r="D963" s="37" t="s">
        <v>207</v>
      </c>
      <c r="E963" s="192">
        <f>+'[7]PRESUPUESTO 2015'!AI144</f>
        <v>485500</v>
      </c>
    </row>
    <row r="964" spans="3:5" hidden="1" x14ac:dyDescent="0.25">
      <c r="C964" s="218" t="s">
        <v>208</v>
      </c>
      <c r="D964" s="37" t="s">
        <v>209</v>
      </c>
      <c r="E964" s="192">
        <f>+'[7]PRESUPUESTO 2015'!AI145</f>
        <v>0</v>
      </c>
    </row>
    <row r="965" spans="3:5" hidden="1" x14ac:dyDescent="0.25">
      <c r="C965" s="218" t="s">
        <v>210</v>
      </c>
      <c r="D965" s="37" t="s">
        <v>211</v>
      </c>
      <c r="E965" s="192">
        <f>+'[7]PRESUPUESTO 2015'!AI146</f>
        <v>0</v>
      </c>
    </row>
    <row r="966" spans="3:5" hidden="1" x14ac:dyDescent="0.25">
      <c r="C966" s="218" t="s">
        <v>212</v>
      </c>
      <c r="D966" s="37" t="s">
        <v>459</v>
      </c>
      <c r="E966" s="192">
        <f>+'[7]PRESUPUESTO 2015'!AI147</f>
        <v>0</v>
      </c>
    </row>
    <row r="967" spans="3:5" hidden="1" x14ac:dyDescent="0.25">
      <c r="C967" s="219"/>
      <c r="D967" s="67"/>
      <c r="E967" s="193"/>
    </row>
    <row r="968" spans="3:5" hidden="1" x14ac:dyDescent="0.25">
      <c r="C968" s="211" t="s">
        <v>214</v>
      </c>
      <c r="D968" s="191" t="s">
        <v>215</v>
      </c>
      <c r="E968" s="165">
        <f>SUM(E970:E971)</f>
        <v>0</v>
      </c>
    </row>
    <row r="969" spans="3:5" hidden="1" x14ac:dyDescent="0.25">
      <c r="C969" s="212"/>
      <c r="D969" s="120"/>
      <c r="E969" s="121"/>
    </row>
    <row r="970" spans="3:5" hidden="1" x14ac:dyDescent="0.25">
      <c r="C970" s="218" t="s">
        <v>216</v>
      </c>
      <c r="D970" s="37" t="s">
        <v>217</v>
      </c>
      <c r="E970" s="192">
        <f>+'[7]PRESUPUESTO 2015'!AI151</f>
        <v>0</v>
      </c>
    </row>
    <row r="971" spans="3:5" hidden="1" x14ac:dyDescent="0.25">
      <c r="C971" s="218" t="s">
        <v>218</v>
      </c>
      <c r="D971" s="37" t="s">
        <v>219</v>
      </c>
      <c r="E971" s="192">
        <f>+'[7]PRESUPUESTO 2015'!AI152</f>
        <v>0</v>
      </c>
    </row>
    <row r="972" spans="3:5" x14ac:dyDescent="0.25">
      <c r="C972" s="219"/>
      <c r="D972" s="67"/>
      <c r="E972" s="193"/>
    </row>
    <row r="973" spans="3:5" x14ac:dyDescent="0.25">
      <c r="C973" s="211" t="s">
        <v>220</v>
      </c>
      <c r="D973" s="191" t="s">
        <v>278</v>
      </c>
      <c r="E973" s="165" t="e">
        <f>SUM(E975:E982)</f>
        <v>#REF!</v>
      </c>
    </row>
    <row r="974" spans="3:5" x14ac:dyDescent="0.25">
      <c r="C974" s="212"/>
      <c r="D974" s="120"/>
      <c r="E974" s="121"/>
    </row>
    <row r="975" spans="3:5" hidden="1" x14ac:dyDescent="0.25">
      <c r="C975" s="218" t="s">
        <v>221</v>
      </c>
      <c r="D975" s="94" t="s">
        <v>222</v>
      </c>
      <c r="E975" s="192">
        <f>+'[7]PRESUPUESTO 2015'!AI156</f>
        <v>0</v>
      </c>
    </row>
    <row r="976" spans="3:5" hidden="1" x14ac:dyDescent="0.25">
      <c r="C976" s="218" t="s">
        <v>223</v>
      </c>
      <c r="D976" s="94" t="s">
        <v>279</v>
      </c>
      <c r="E976" s="192">
        <f>+'[7]PRESUPUESTO 2015'!AI157</f>
        <v>0</v>
      </c>
    </row>
    <row r="977" spans="3:5" x14ac:dyDescent="0.25">
      <c r="C977" s="218" t="s">
        <v>224</v>
      </c>
      <c r="D977" s="94" t="s">
        <v>225</v>
      </c>
      <c r="E977" s="192">
        <f>+'[7]PRESUPUESTO 2015'!AI158</f>
        <v>894081</v>
      </c>
    </row>
    <row r="978" spans="3:5" x14ac:dyDescent="0.25">
      <c r="C978" s="218" t="s">
        <v>226</v>
      </c>
      <c r="D978" s="94" t="s">
        <v>227</v>
      </c>
      <c r="E978" s="192">
        <f>+'[7]PRESUPUESTO 2015'!AI159</f>
        <v>74788</v>
      </c>
    </row>
    <row r="979" spans="3:5" x14ac:dyDescent="0.25">
      <c r="C979" s="218" t="s">
        <v>228</v>
      </c>
      <c r="D979" s="94" t="s">
        <v>229</v>
      </c>
      <c r="E979" s="192">
        <f>+'[7]PRESUPUESTO 2015'!AI160</f>
        <v>609202</v>
      </c>
    </row>
    <row r="980" spans="3:5" hidden="1" x14ac:dyDescent="0.25">
      <c r="C980" s="218" t="s">
        <v>230</v>
      </c>
      <c r="D980" s="94" t="s">
        <v>231</v>
      </c>
      <c r="E980" s="192" t="e">
        <f>+'[7]PRESUPUESTO 2015'!AI161</f>
        <v>#REF!</v>
      </c>
    </row>
    <row r="981" spans="3:5" hidden="1" x14ac:dyDescent="0.25">
      <c r="C981" s="218" t="s">
        <v>366</v>
      </c>
      <c r="D981" s="94" t="s">
        <v>410</v>
      </c>
      <c r="E981" s="192">
        <f>+'[7]PRESUPUESTO 2015'!AI162</f>
        <v>0</v>
      </c>
    </row>
    <row r="982" spans="3:5" hidden="1" x14ac:dyDescent="0.25">
      <c r="C982" s="218" t="s">
        <v>232</v>
      </c>
      <c r="D982" s="94" t="s">
        <v>460</v>
      </c>
      <c r="E982" s="192">
        <f>+'[7]PRESUPUESTO 2015'!AI163</f>
        <v>0</v>
      </c>
    </row>
    <row r="983" spans="3:5" hidden="1" x14ac:dyDescent="0.25">
      <c r="C983" s="227"/>
      <c r="D983" s="188"/>
      <c r="E983" s="196"/>
    </row>
    <row r="984" spans="3:5" ht="13.8" hidden="1" thickBot="1" x14ac:dyDescent="0.3">
      <c r="C984" s="222">
        <v>5</v>
      </c>
      <c r="D984" s="98" t="s">
        <v>57</v>
      </c>
      <c r="E984" s="149" t="e">
        <f>+E986+E997+E1002</f>
        <v>#REF!</v>
      </c>
    </row>
    <row r="985" spans="3:5" hidden="1" x14ac:dyDescent="0.25">
      <c r="C985" s="223"/>
      <c r="D985" s="185"/>
      <c r="E985" s="186"/>
    </row>
    <row r="986" spans="3:5" hidden="1" x14ac:dyDescent="0.25">
      <c r="C986" s="211" t="s">
        <v>234</v>
      </c>
      <c r="D986" s="191" t="s">
        <v>235</v>
      </c>
      <c r="E986" s="165" t="e">
        <f>SUM(E989:E995)</f>
        <v>#REF!</v>
      </c>
    </row>
    <row r="987" spans="3:5" hidden="1" x14ac:dyDescent="0.25">
      <c r="C987" s="212"/>
      <c r="D987" s="120"/>
      <c r="E987" s="121"/>
    </row>
    <row r="988" spans="3:5" hidden="1" x14ac:dyDescent="0.25">
      <c r="C988" s="93" t="s">
        <v>430</v>
      </c>
      <c r="D988" s="94" t="s">
        <v>431</v>
      </c>
      <c r="E988" s="192" t="e">
        <f>+'[7]PRESUPUESTO 2015'!AI169</f>
        <v>#REF!</v>
      </c>
    </row>
    <row r="989" spans="3:5" hidden="1" x14ac:dyDescent="0.25">
      <c r="C989" s="218" t="s">
        <v>236</v>
      </c>
      <c r="D989" s="37" t="s">
        <v>237</v>
      </c>
      <c r="E989" s="192">
        <f>+'[7]PRESUPUESTO 2015'!AI170</f>
        <v>0</v>
      </c>
    </row>
    <row r="990" spans="3:5" hidden="1" x14ac:dyDescent="0.25">
      <c r="C990" s="218" t="s">
        <v>238</v>
      </c>
      <c r="D990" s="37" t="s">
        <v>239</v>
      </c>
      <c r="E990" s="192">
        <f>+'[7]PRESUPUESTO 2015'!AI171</f>
        <v>0</v>
      </c>
    </row>
    <row r="991" spans="3:5" hidden="1" x14ac:dyDescent="0.25">
      <c r="C991" s="218" t="s">
        <v>240</v>
      </c>
      <c r="D991" s="37" t="s">
        <v>241</v>
      </c>
      <c r="E991" s="192">
        <f>+'[7]PRESUPUESTO 2015'!AI172</f>
        <v>0</v>
      </c>
    </row>
    <row r="992" spans="3:5" hidden="1" x14ac:dyDescent="0.25">
      <c r="C992" s="218" t="s">
        <v>242</v>
      </c>
      <c r="D992" s="37" t="s">
        <v>243</v>
      </c>
      <c r="E992" s="192">
        <f>+'[7]PRESUPUESTO 2015'!AI173</f>
        <v>0</v>
      </c>
    </row>
    <row r="993" spans="3:5" hidden="1" x14ac:dyDescent="0.25">
      <c r="C993" s="218" t="s">
        <v>244</v>
      </c>
      <c r="D993" s="37" t="s">
        <v>245</v>
      </c>
      <c r="E993" s="192" t="e">
        <f>+'[7]PRESUPUESTO 2015'!AI174</f>
        <v>#REF!</v>
      </c>
    </row>
    <row r="994" spans="3:5" hidden="1" x14ac:dyDescent="0.25">
      <c r="C994" s="218" t="s">
        <v>246</v>
      </c>
      <c r="D994" s="37" t="s">
        <v>247</v>
      </c>
      <c r="E994" s="192">
        <f>+'[7]PRESUPUESTO 2015'!AI175</f>
        <v>0</v>
      </c>
    </row>
    <row r="995" spans="3:5" hidden="1" x14ac:dyDescent="0.25">
      <c r="C995" s="218" t="s">
        <v>248</v>
      </c>
      <c r="D995" s="94" t="s">
        <v>461</v>
      </c>
      <c r="E995" s="192">
        <f>+'[7]PRESUPUESTO 2015'!AI176</f>
        <v>0</v>
      </c>
    </row>
    <row r="996" spans="3:5" hidden="1" x14ac:dyDescent="0.25">
      <c r="C996" s="219"/>
      <c r="D996" s="67"/>
      <c r="E996" s="193"/>
    </row>
    <row r="997" spans="3:5" hidden="1" x14ac:dyDescent="0.25">
      <c r="C997" s="211" t="s">
        <v>250</v>
      </c>
      <c r="D997" s="191" t="s">
        <v>251</v>
      </c>
      <c r="E997" s="165">
        <f>SUM(E999:E1000)</f>
        <v>0</v>
      </c>
    </row>
    <row r="998" spans="3:5" hidden="1" x14ac:dyDescent="0.25">
      <c r="C998" s="212"/>
      <c r="D998" s="120"/>
      <c r="E998" s="121"/>
    </row>
    <row r="999" spans="3:5" hidden="1" x14ac:dyDescent="0.25">
      <c r="C999" s="218" t="s">
        <v>252</v>
      </c>
      <c r="D999" s="37" t="s">
        <v>253</v>
      </c>
      <c r="E999" s="192">
        <f>+'[7]PRESUPUESTO 2015'!AI180</f>
        <v>0</v>
      </c>
    </row>
    <row r="1000" spans="3:5" hidden="1" x14ac:dyDescent="0.25">
      <c r="C1000" s="218" t="s">
        <v>254</v>
      </c>
      <c r="D1000" s="37" t="s">
        <v>255</v>
      </c>
      <c r="E1000" s="192">
        <f>+'[7]PRESUPUESTO 2015'!AI181</f>
        <v>0</v>
      </c>
    </row>
    <row r="1001" spans="3:5" hidden="1" x14ac:dyDescent="0.25">
      <c r="C1001" s="228"/>
      <c r="D1001" s="38"/>
      <c r="E1001" s="48"/>
    </row>
    <row r="1002" spans="3:5" hidden="1" x14ac:dyDescent="0.25">
      <c r="C1002" s="211" t="s">
        <v>258</v>
      </c>
      <c r="D1002" s="191" t="s">
        <v>251</v>
      </c>
      <c r="E1002" s="165" t="e">
        <f>SUM(E1004:E1005)</f>
        <v>#REF!</v>
      </c>
    </row>
    <row r="1003" spans="3:5" hidden="1" x14ac:dyDescent="0.25">
      <c r="C1003" s="212"/>
      <c r="D1003" s="120"/>
      <c r="E1003" s="121"/>
    </row>
    <row r="1004" spans="3:5" hidden="1" x14ac:dyDescent="0.25">
      <c r="C1004" s="218" t="s">
        <v>411</v>
      </c>
      <c r="D1004" s="37" t="s">
        <v>412</v>
      </c>
      <c r="E1004" s="192">
        <f>+'[7]PRESUPUESTO 2015'!AI185</f>
        <v>0</v>
      </c>
    </row>
    <row r="1005" spans="3:5" hidden="1" x14ac:dyDescent="0.25">
      <c r="C1005" s="218" t="s">
        <v>259</v>
      </c>
      <c r="D1005" s="37" t="s">
        <v>260</v>
      </c>
      <c r="E1005" s="192" t="e">
        <f>+'[7]PRESUPUESTO 2015'!AI186</f>
        <v>#REF!</v>
      </c>
    </row>
    <row r="1006" spans="3:5" ht="13.8" thickBot="1" x14ac:dyDescent="0.3">
      <c r="C1006" s="227"/>
      <c r="D1006" s="188"/>
      <c r="E1006" s="196"/>
    </row>
    <row r="1007" spans="3:5" ht="13.8" thickBot="1" x14ac:dyDescent="0.3">
      <c r="C1007" s="222">
        <v>6</v>
      </c>
      <c r="D1007" s="98" t="s">
        <v>261</v>
      </c>
      <c r="E1007" s="149">
        <f>+E1009+E1014+E1018+E1022</f>
        <v>100273997</v>
      </c>
    </row>
    <row r="1008" spans="3:5" hidden="1" x14ac:dyDescent="0.25">
      <c r="C1008" s="223"/>
      <c r="D1008" s="185"/>
      <c r="E1008" s="186"/>
    </row>
    <row r="1009" spans="3:5" hidden="1" x14ac:dyDescent="0.25">
      <c r="C1009" s="211" t="s">
        <v>262</v>
      </c>
      <c r="D1009" s="191" t="s">
        <v>280</v>
      </c>
      <c r="E1009" s="165">
        <f>SUM(E1011:E1012)</f>
        <v>0</v>
      </c>
    </row>
    <row r="1010" spans="3:5" hidden="1" x14ac:dyDescent="0.25">
      <c r="C1010" s="212"/>
      <c r="D1010" s="120"/>
      <c r="E1010" s="121"/>
    </row>
    <row r="1011" spans="3:5" hidden="1" x14ac:dyDescent="0.25">
      <c r="C1011" s="229" t="s">
        <v>353</v>
      </c>
      <c r="D1011" s="187" t="s">
        <v>354</v>
      </c>
      <c r="E1011" s="192">
        <f>+'[7]PRESUPUESTO 2015'!AI192</f>
        <v>0</v>
      </c>
    </row>
    <row r="1012" spans="3:5" hidden="1" x14ac:dyDescent="0.25">
      <c r="C1012" s="229" t="s">
        <v>263</v>
      </c>
      <c r="D1012" s="187" t="s">
        <v>462</v>
      </c>
      <c r="E1012" s="192">
        <f>+'[7]PRESUPUESTO 2015'!AI193</f>
        <v>0</v>
      </c>
    </row>
    <row r="1013" spans="3:5" x14ac:dyDescent="0.25">
      <c r="C1013" s="230"/>
      <c r="D1013" s="189"/>
      <c r="E1013" s="194"/>
    </row>
    <row r="1014" spans="3:5" x14ac:dyDescent="0.25">
      <c r="C1014" s="211" t="s">
        <v>264</v>
      </c>
      <c r="D1014" s="191" t="s">
        <v>265</v>
      </c>
      <c r="E1014" s="165">
        <f>SUM(E1016)</f>
        <v>100273997</v>
      </c>
    </row>
    <row r="1015" spans="3:5" x14ac:dyDescent="0.25">
      <c r="C1015" s="212"/>
      <c r="D1015" s="120"/>
      <c r="E1015" s="121"/>
    </row>
    <row r="1016" spans="3:5" x14ac:dyDescent="0.25">
      <c r="C1016" s="229" t="s">
        <v>345</v>
      </c>
      <c r="D1016" s="187" t="s">
        <v>36</v>
      </c>
      <c r="E1016" s="192">
        <f>+'[7]PRESUPUESTO 2015'!AI197</f>
        <v>100273997</v>
      </c>
    </row>
    <row r="1017" spans="3:5" hidden="1" x14ac:dyDescent="0.25">
      <c r="C1017" s="230"/>
      <c r="D1017" s="189"/>
      <c r="E1017" s="194"/>
    </row>
    <row r="1018" spans="3:5" hidden="1" x14ac:dyDescent="0.25">
      <c r="C1018" s="211" t="s">
        <v>378</v>
      </c>
      <c r="D1018" s="191" t="s">
        <v>414</v>
      </c>
      <c r="E1018" s="165">
        <f>SUM(E1020)</f>
        <v>0</v>
      </c>
    </row>
    <row r="1019" spans="3:5" hidden="1" x14ac:dyDescent="0.25">
      <c r="C1019" s="212"/>
      <c r="D1019" s="120"/>
      <c r="E1019" s="121"/>
    </row>
    <row r="1020" spans="3:5" hidden="1" x14ac:dyDescent="0.25">
      <c r="C1020" s="229" t="s">
        <v>380</v>
      </c>
      <c r="D1020" s="187" t="s">
        <v>381</v>
      </c>
      <c r="E1020" s="192">
        <f>+'[7]PRESUPUESTO 2015'!AI201</f>
        <v>0</v>
      </c>
    </row>
    <row r="1021" spans="3:5" hidden="1" x14ac:dyDescent="0.25">
      <c r="C1021" s="230"/>
      <c r="D1021" s="189"/>
      <c r="E1021" s="194"/>
    </row>
    <row r="1022" spans="3:5" hidden="1" x14ac:dyDescent="0.25">
      <c r="C1022" s="211" t="s">
        <v>266</v>
      </c>
      <c r="D1022" s="191" t="s">
        <v>281</v>
      </c>
      <c r="E1022" s="165">
        <f>SUM(E1024:E1025)</f>
        <v>0</v>
      </c>
    </row>
    <row r="1023" spans="3:5" hidden="1" x14ac:dyDescent="0.25">
      <c r="C1023" s="212"/>
      <c r="D1023" s="120"/>
      <c r="E1023" s="121"/>
    </row>
    <row r="1024" spans="3:5" hidden="1" x14ac:dyDescent="0.25">
      <c r="C1024" s="220" t="s">
        <v>267</v>
      </c>
      <c r="D1024" s="181" t="s">
        <v>282</v>
      </c>
      <c r="E1024" s="192">
        <f>+'[7]PRESUPUESTO 2015'!AI205</f>
        <v>0</v>
      </c>
    </row>
    <row r="1025" spans="1:6" hidden="1" x14ac:dyDescent="0.25">
      <c r="C1025" s="220" t="s">
        <v>359</v>
      </c>
      <c r="D1025" s="181" t="s">
        <v>368</v>
      </c>
      <c r="E1025" s="192">
        <f>+'[7]PRESUPUESTO 2015'!AI206</f>
        <v>0</v>
      </c>
    </row>
    <row r="1026" spans="1:6" hidden="1" x14ac:dyDescent="0.25">
      <c r="C1026" s="231"/>
      <c r="D1026" s="190"/>
      <c r="E1026" s="197"/>
    </row>
    <row r="1027" spans="1:6" ht="13.8" hidden="1" thickBot="1" x14ac:dyDescent="0.3">
      <c r="C1027" s="222">
        <v>9</v>
      </c>
      <c r="D1027" s="98" t="s">
        <v>58</v>
      </c>
      <c r="E1027" s="149">
        <f>E1029</f>
        <v>0</v>
      </c>
    </row>
    <row r="1028" spans="1:6" hidden="1" x14ac:dyDescent="0.25">
      <c r="C1028" s="223"/>
      <c r="D1028" s="185"/>
      <c r="E1028" s="186"/>
    </row>
    <row r="1029" spans="1:6" hidden="1" x14ac:dyDescent="0.25">
      <c r="C1029" s="211" t="s">
        <v>268</v>
      </c>
      <c r="D1029" s="191" t="s">
        <v>269</v>
      </c>
      <c r="E1029" s="165">
        <f>SUM(E1031:E1032)</f>
        <v>0</v>
      </c>
    </row>
    <row r="1030" spans="1:6" hidden="1" x14ac:dyDescent="0.25">
      <c r="C1030" s="212"/>
      <c r="D1030" s="120"/>
      <c r="E1030" s="121"/>
    </row>
    <row r="1031" spans="1:6" hidden="1" x14ac:dyDescent="0.25">
      <c r="C1031" s="218" t="s">
        <v>270</v>
      </c>
      <c r="D1031" s="57" t="s">
        <v>60</v>
      </c>
      <c r="E1031" s="192">
        <f>+'[7]PRESUPUESTO 2015'!AI212</f>
        <v>0</v>
      </c>
    </row>
    <row r="1032" spans="1:6" hidden="1" x14ac:dyDescent="0.25">
      <c r="C1032" s="220" t="s">
        <v>271</v>
      </c>
      <c r="D1032" s="181" t="s">
        <v>283</v>
      </c>
      <c r="E1032" s="192">
        <f>+'[7]PRESUPUESTO 2015'!AI213</f>
        <v>0</v>
      </c>
    </row>
    <row r="1033" spans="1:6" ht="13.8" thickBot="1" x14ac:dyDescent="0.3">
      <c r="C1033" s="232"/>
      <c r="D1033" s="233"/>
      <c r="E1033" s="234"/>
    </row>
    <row r="1034" spans="1:6" ht="21.9" customHeight="1" thickBot="1" x14ac:dyDescent="0.3">
      <c r="A1034" s="201" t="s">
        <v>423</v>
      </c>
      <c r="B1034" s="202">
        <f>+B838+B840+B841+B842</f>
        <v>849150000</v>
      </c>
      <c r="C1034" s="1592" t="s">
        <v>424</v>
      </c>
      <c r="D1034" s="1593"/>
      <c r="E1034" s="206" t="e">
        <f>+E1027+E1007+E984+E946+E872+E832</f>
        <v>#REF!</v>
      </c>
      <c r="F1034" s="238" t="s">
        <v>382</v>
      </c>
    </row>
    <row r="1035" spans="1:6" ht="13.8" thickBot="1" x14ac:dyDescent="0.3"/>
    <row r="1036" spans="1:6" ht="21.9" customHeight="1" thickBot="1" x14ac:dyDescent="0.3">
      <c r="A1036" s="201" t="s">
        <v>425</v>
      </c>
      <c r="B1036" s="202">
        <f>+B1034+B624+B419+B212+B828</f>
        <v>7090400000</v>
      </c>
      <c r="C1036" s="1594" t="s">
        <v>426</v>
      </c>
      <c r="D1036" s="1595"/>
      <c r="E1036" s="202" t="e">
        <f>+E212+E419+E624+E828+E1034</f>
        <v>#REF!</v>
      </c>
      <c r="F1036" s="238" t="e">
        <f>+B1036-E1036</f>
        <v>#REF!</v>
      </c>
    </row>
  </sheetData>
  <mergeCells count="16">
    <mergeCell ref="C212:D212"/>
    <mergeCell ref="C830:D830"/>
    <mergeCell ref="A1:E1"/>
    <mergeCell ref="A2:E2"/>
    <mergeCell ref="A3:E3"/>
    <mergeCell ref="A4:E4"/>
    <mergeCell ref="A5:E5"/>
    <mergeCell ref="C7:D7"/>
    <mergeCell ref="C1034:D1034"/>
    <mergeCell ref="C1036:D1036"/>
    <mergeCell ref="C215:D215"/>
    <mergeCell ref="C419:D419"/>
    <mergeCell ref="C422:D422"/>
    <mergeCell ref="C624:D624"/>
    <mergeCell ref="C626:D626"/>
    <mergeCell ref="C828:D828"/>
  </mergeCells>
  <printOptions horizontalCentered="1"/>
  <pageMargins left="0.78740157480314965" right="0.39370078740157483" top="0.98425196850393704" bottom="0.78740157480314965" header="0.59055118110236227" footer="0.59055118110236227"/>
  <pageSetup scale="70" firstPageNumber="63" orientation="portrait" useFirstPageNumber="1" r:id="rId1"/>
  <headerFooter alignWithMargins="0">
    <oddFooter>&amp;C&amp;"Tw Cen MT,Normal"&amp;P</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Hoja25"/>
  <dimension ref="A1:I228"/>
  <sheetViews>
    <sheetView workbookViewId="0">
      <selection activeCell="C48" sqref="C48"/>
    </sheetView>
  </sheetViews>
  <sheetFormatPr baseColWidth="10" defaultRowHeight="13.2" outlineLevelRow="2" x14ac:dyDescent="0.25"/>
  <cols>
    <col min="1" max="1" width="9.33203125" style="123" customWidth="1"/>
    <col min="2" max="2" width="46.109375" style="123" customWidth="1"/>
    <col min="3" max="3" width="15" style="129" customWidth="1"/>
    <col min="4" max="4" width="15.44140625" style="123" customWidth="1"/>
    <col min="5" max="6" width="15.109375" style="123" customWidth="1"/>
    <col min="7" max="7" width="15.44140625" style="123" customWidth="1"/>
    <col min="9" max="9" width="12.6640625" bestFit="1" customWidth="1"/>
  </cols>
  <sheetData>
    <row r="1" spans="1:9" ht="12" customHeight="1" x14ac:dyDescent="0.25">
      <c r="A1" s="1"/>
      <c r="B1" s="124"/>
      <c r="C1" s="125"/>
      <c r="D1" s="126"/>
      <c r="E1" s="127"/>
      <c r="F1" s="127"/>
      <c r="G1" s="127"/>
    </row>
    <row r="2" spans="1:9" ht="12" customHeight="1" x14ac:dyDescent="0.25">
      <c r="A2" s="1599" t="s">
        <v>0</v>
      </c>
      <c r="B2" s="1599"/>
      <c r="C2" s="1599"/>
      <c r="D2" s="1599"/>
      <c r="E2" s="1599"/>
      <c r="F2" s="1599"/>
      <c r="G2" s="1599"/>
    </row>
    <row r="3" spans="1:9" ht="12" customHeight="1" x14ac:dyDescent="0.25">
      <c r="A3" s="1599" t="s">
        <v>304</v>
      </c>
      <c r="B3" s="1599"/>
      <c r="C3" s="1599"/>
      <c r="D3" s="1599"/>
      <c r="E3" s="1599"/>
      <c r="F3" s="1599"/>
      <c r="G3" s="1599"/>
    </row>
    <row r="4" spans="1:9" ht="12" customHeight="1" x14ac:dyDescent="0.25">
      <c r="A4" s="1599" t="s">
        <v>415</v>
      </c>
      <c r="B4" s="1599"/>
      <c r="C4" s="1599"/>
      <c r="D4" s="1599"/>
      <c r="E4" s="1599"/>
      <c r="F4" s="1599"/>
      <c r="G4" s="1599"/>
    </row>
    <row r="5" spans="1:9" ht="12" customHeight="1" thickBot="1" x14ac:dyDescent="0.3">
      <c r="A5" s="1600" t="s">
        <v>305</v>
      </c>
      <c r="B5" s="1600"/>
      <c r="C5" s="1600"/>
      <c r="D5" s="1600"/>
      <c r="E5" s="1600"/>
      <c r="F5" s="1600"/>
      <c r="G5" s="1600"/>
    </row>
    <row r="6" spans="1:9" ht="12" customHeight="1" thickTop="1" thickBot="1" x14ac:dyDescent="0.3">
      <c r="A6" s="6"/>
      <c r="B6" s="6"/>
      <c r="C6" s="128"/>
      <c r="D6" s="92"/>
      <c r="E6" s="92"/>
      <c r="F6" s="80"/>
      <c r="G6" s="6"/>
    </row>
    <row r="7" spans="1:9" ht="16.5" customHeight="1" thickBot="1" x14ac:dyDescent="0.3">
      <c r="A7" s="137"/>
      <c r="B7" s="138"/>
      <c r="C7" s="139" t="s">
        <v>66</v>
      </c>
      <c r="D7" s="140" t="s">
        <v>67</v>
      </c>
      <c r="E7" s="140" t="s">
        <v>68</v>
      </c>
      <c r="F7" s="140" t="s">
        <v>355</v>
      </c>
      <c r="G7" s="136" t="s">
        <v>31</v>
      </c>
    </row>
    <row r="8" spans="1:9" ht="12" customHeight="1" thickBot="1" x14ac:dyDescent="0.3">
      <c r="A8" s="7"/>
      <c r="B8" s="8"/>
      <c r="C8" s="101"/>
      <c r="D8" s="9"/>
      <c r="E8" s="9"/>
      <c r="F8" s="9"/>
      <c r="G8" s="10"/>
    </row>
    <row r="9" spans="1:9" ht="19.5" customHeight="1" thickBot="1" x14ac:dyDescent="0.3">
      <c r="A9" s="166"/>
      <c r="B9" s="176" t="s">
        <v>306</v>
      </c>
      <c r="C9" s="176">
        <f>+C15+C21+C25+C11+C29</f>
        <v>0</v>
      </c>
      <c r="D9" s="176">
        <f>+D11+D15+D29</f>
        <v>0</v>
      </c>
      <c r="E9" s="176">
        <f>+E11+E15+E29</f>
        <v>0</v>
      </c>
      <c r="F9" s="176">
        <f>+F15+F21+F25+F11+F29</f>
        <v>0</v>
      </c>
      <c r="G9" s="167" t="e">
        <f>+G15+G21+G25+G11+G29</f>
        <v>#REF!</v>
      </c>
      <c r="I9" s="2"/>
    </row>
    <row r="10" spans="1:9" ht="12" customHeight="1" x14ac:dyDescent="0.25">
      <c r="A10" s="11"/>
      <c r="B10" s="8"/>
      <c r="C10" s="101"/>
      <c r="D10" s="101"/>
      <c r="E10" s="101"/>
      <c r="F10" s="101"/>
      <c r="G10" s="130"/>
    </row>
    <row r="11" spans="1:9" ht="13.95" customHeight="1" x14ac:dyDescent="0.25">
      <c r="A11" s="117" t="s">
        <v>289</v>
      </c>
      <c r="B11" s="118"/>
      <c r="C11" s="119">
        <f>SUM(C13)</f>
        <v>0</v>
      </c>
      <c r="D11" s="119">
        <f>SUM(D13)</f>
        <v>0</v>
      </c>
      <c r="E11" s="119">
        <f>SUM(E13)</f>
        <v>0</v>
      </c>
      <c r="F11" s="119">
        <f>SUM(F13)</f>
        <v>0</v>
      </c>
      <c r="G11" s="131">
        <f>SUM(G13)</f>
        <v>0</v>
      </c>
    </row>
    <row r="12" spans="1:9" ht="12" customHeight="1" x14ac:dyDescent="0.25">
      <c r="A12" s="11"/>
      <c r="B12" s="8"/>
      <c r="C12" s="101"/>
      <c r="D12" s="101"/>
      <c r="E12" s="101"/>
      <c r="F12" s="101"/>
      <c r="G12" s="132"/>
    </row>
    <row r="13" spans="1:9" ht="12" customHeight="1" x14ac:dyDescent="0.25">
      <c r="A13" s="1601" t="s">
        <v>356</v>
      </c>
      <c r="B13" s="1602"/>
      <c r="C13" s="103">
        <v>0</v>
      </c>
      <c r="D13" s="103">
        <v>0</v>
      </c>
      <c r="E13" s="103">
        <v>0</v>
      </c>
      <c r="F13" s="103">
        <v>0</v>
      </c>
      <c r="G13" s="169">
        <f>SUM(C13:F13)</f>
        <v>0</v>
      </c>
    </row>
    <row r="14" spans="1:9" ht="12" customHeight="1" x14ac:dyDescent="0.25">
      <c r="A14" s="11"/>
      <c r="B14" s="8"/>
      <c r="C14" s="101"/>
      <c r="D14" s="101"/>
      <c r="E14" s="101"/>
      <c r="F14" s="101"/>
      <c r="G14" s="132"/>
    </row>
    <row r="15" spans="1:9" ht="14.25" customHeight="1" x14ac:dyDescent="0.25">
      <c r="A15" s="117" t="s">
        <v>307</v>
      </c>
      <c r="B15" s="118"/>
      <c r="C15" s="119">
        <f>SUM(C17:C19)</f>
        <v>0</v>
      </c>
      <c r="D15" s="119">
        <f>SUM(D17:D19)</f>
        <v>0</v>
      </c>
      <c r="E15" s="119">
        <f>SUM(E17:E19)</f>
        <v>0</v>
      </c>
      <c r="F15" s="119">
        <f>SUM(F17:F19)</f>
        <v>0</v>
      </c>
      <c r="G15" s="131">
        <f>SUM(G17:G19)</f>
        <v>0</v>
      </c>
    </row>
    <row r="16" spans="1:9" ht="14.25" customHeight="1" x14ac:dyDescent="0.25">
      <c r="A16" s="14"/>
      <c r="B16" s="15"/>
      <c r="C16" s="103"/>
      <c r="D16" s="103"/>
      <c r="E16" s="103"/>
      <c r="F16" s="103"/>
      <c r="G16" s="168"/>
    </row>
    <row r="17" spans="1:7" ht="14.25" customHeight="1" x14ac:dyDescent="0.25">
      <c r="A17" s="18" t="s">
        <v>308</v>
      </c>
      <c r="B17" s="15"/>
      <c r="C17" s="103">
        <v>0</v>
      </c>
      <c r="D17" s="103">
        <v>0</v>
      </c>
      <c r="E17" s="103">
        <v>0</v>
      </c>
      <c r="F17" s="103">
        <v>0</v>
      </c>
      <c r="G17" s="169">
        <f>SUM(C17:F17)</f>
        <v>0</v>
      </c>
    </row>
    <row r="18" spans="1:7" ht="14.25" customHeight="1" outlineLevel="1" x14ac:dyDescent="0.25">
      <c r="A18" s="18" t="s">
        <v>309</v>
      </c>
      <c r="B18" s="8"/>
      <c r="C18" s="103"/>
      <c r="D18" s="103"/>
      <c r="E18" s="103"/>
      <c r="F18" s="103"/>
      <c r="G18" s="142">
        <f>SUM(C18:E18)</f>
        <v>0</v>
      </c>
    </row>
    <row r="19" spans="1:7" ht="14.25" customHeight="1" x14ac:dyDescent="0.25">
      <c r="A19" s="18" t="s">
        <v>310</v>
      </c>
      <c r="B19" s="8"/>
      <c r="C19" s="103">
        <v>0</v>
      </c>
      <c r="D19" s="103">
        <v>0</v>
      </c>
      <c r="E19" s="103">
        <v>0</v>
      </c>
      <c r="F19" s="103">
        <v>0</v>
      </c>
      <c r="G19" s="169">
        <f>SUM(C19:F19)</f>
        <v>0</v>
      </c>
    </row>
    <row r="20" spans="1:7" ht="14.25" customHeight="1" x14ac:dyDescent="0.25">
      <c r="A20" s="19"/>
      <c r="B20" s="8"/>
      <c r="C20" s="103"/>
      <c r="D20" s="103"/>
      <c r="E20" s="103"/>
      <c r="F20" s="103"/>
      <c r="G20" s="170"/>
    </row>
    <row r="21" spans="1:7" ht="14.25" hidden="1" customHeight="1" outlineLevel="2" x14ac:dyDescent="0.25">
      <c r="A21" s="12" t="s">
        <v>315</v>
      </c>
      <c r="B21" s="13"/>
      <c r="C21" s="102">
        <f>+C23+C26</f>
        <v>0</v>
      </c>
      <c r="D21" s="102" t="e">
        <f>+D23+D26</f>
        <v>#REF!</v>
      </c>
      <c r="E21" s="102">
        <f>+E23+E26</f>
        <v>0</v>
      </c>
      <c r="F21" s="102"/>
      <c r="G21" s="135" t="e">
        <f>+G23+G26</f>
        <v>#REF!</v>
      </c>
    </row>
    <row r="22" spans="1:7" ht="14.25" hidden="1" customHeight="1" outlineLevel="2" x14ac:dyDescent="0.25">
      <c r="A22" s="14"/>
      <c r="B22" s="15"/>
      <c r="C22" s="104"/>
      <c r="D22" s="104"/>
      <c r="E22" s="104"/>
      <c r="F22" s="104"/>
      <c r="G22" s="134"/>
    </row>
    <row r="23" spans="1:7" ht="14.25" hidden="1" customHeight="1" outlineLevel="2" x14ac:dyDescent="0.25">
      <c r="A23" s="19" t="s">
        <v>324</v>
      </c>
      <c r="B23" s="8"/>
      <c r="C23" s="103"/>
      <c r="D23" s="103" t="e">
        <v>#REF!</v>
      </c>
      <c r="E23" s="103"/>
      <c r="F23" s="103"/>
      <c r="G23" s="134" t="e">
        <f>SUM(C23:E23)</f>
        <v>#REF!</v>
      </c>
    </row>
    <row r="24" spans="1:7" ht="14.25" hidden="1" customHeight="1" outlineLevel="2" x14ac:dyDescent="0.25">
      <c r="A24" s="19"/>
      <c r="B24" s="8"/>
      <c r="C24" s="103"/>
      <c r="D24" s="103"/>
      <c r="E24" s="103"/>
      <c r="F24" s="103"/>
      <c r="G24" s="134"/>
    </row>
    <row r="25" spans="1:7" ht="14.25" customHeight="1" outlineLevel="1" collapsed="1" x14ac:dyDescent="0.25">
      <c r="A25" s="117" t="s">
        <v>314</v>
      </c>
      <c r="B25" s="118"/>
      <c r="C25" s="119">
        <f>+C27</f>
        <v>0</v>
      </c>
      <c r="D25" s="119" t="e">
        <f>+D27</f>
        <v>#REF!</v>
      </c>
      <c r="E25" s="119">
        <f>+E27</f>
        <v>0</v>
      </c>
      <c r="F25" s="119">
        <f>+F27</f>
        <v>0</v>
      </c>
      <c r="G25" s="131" t="e">
        <f>+G27</f>
        <v>#REF!</v>
      </c>
    </row>
    <row r="26" spans="1:7" ht="14.25" customHeight="1" outlineLevel="1" x14ac:dyDescent="0.25">
      <c r="A26" s="14"/>
      <c r="B26" s="15"/>
      <c r="C26" s="104"/>
      <c r="D26" s="104"/>
      <c r="E26" s="104"/>
      <c r="F26" s="104"/>
      <c r="G26" s="134"/>
    </row>
    <row r="27" spans="1:7" ht="14.25" customHeight="1" outlineLevel="1" x14ac:dyDescent="0.25">
      <c r="A27" s="19" t="s">
        <v>312</v>
      </c>
      <c r="B27" s="8"/>
      <c r="C27" s="103">
        <v>0</v>
      </c>
      <c r="D27" s="103" t="e">
        <v>#REF!</v>
      </c>
      <c r="E27" s="103">
        <v>0</v>
      </c>
      <c r="F27" s="103">
        <v>0</v>
      </c>
      <c r="G27" s="133" t="e">
        <f>SUM(C27:F27)</f>
        <v>#REF!</v>
      </c>
    </row>
    <row r="28" spans="1:7" ht="14.25" customHeight="1" outlineLevel="1" x14ac:dyDescent="0.25">
      <c r="A28" s="19"/>
      <c r="B28" s="8"/>
      <c r="C28" s="103"/>
      <c r="D28" s="103"/>
      <c r="E28" s="103"/>
      <c r="F28" s="103"/>
      <c r="G28" s="134"/>
    </row>
    <row r="29" spans="1:7" ht="14.25" customHeight="1" x14ac:dyDescent="0.25">
      <c r="A29" s="117" t="s">
        <v>357</v>
      </c>
      <c r="B29" s="118"/>
      <c r="C29" s="119">
        <f>+C31+C32</f>
        <v>0</v>
      </c>
      <c r="D29" s="119">
        <f>+D31+D32</f>
        <v>0</v>
      </c>
      <c r="E29" s="119">
        <f>+E31+E32</f>
        <v>0</v>
      </c>
      <c r="F29" s="119">
        <f>+F31+F32</f>
        <v>0</v>
      </c>
      <c r="G29" s="131">
        <f>+G31+G32</f>
        <v>0</v>
      </c>
    </row>
    <row r="30" spans="1:7" ht="14.25" customHeight="1" x14ac:dyDescent="0.25">
      <c r="A30" s="19"/>
      <c r="B30" s="8"/>
      <c r="C30" s="103"/>
      <c r="D30" s="103"/>
      <c r="E30" s="103"/>
      <c r="F30" s="103"/>
      <c r="G30" s="134"/>
    </row>
    <row r="31" spans="1:7" ht="14.25" customHeight="1" x14ac:dyDescent="0.25">
      <c r="A31" s="1601" t="s">
        <v>367</v>
      </c>
      <c r="B31" s="1602"/>
      <c r="C31" s="103">
        <v>0</v>
      </c>
      <c r="D31" s="103">
        <v>0</v>
      </c>
      <c r="E31" s="103">
        <v>0</v>
      </c>
      <c r="F31" s="103">
        <v>0</v>
      </c>
      <c r="G31" s="169">
        <f>SUM(C31:F31)</f>
        <v>0</v>
      </c>
    </row>
    <row r="32" spans="1:7" ht="14.25" customHeight="1" x14ac:dyDescent="0.25">
      <c r="A32" s="1601" t="s">
        <v>373</v>
      </c>
      <c r="B32" s="1602"/>
      <c r="C32" s="103">
        <v>0</v>
      </c>
      <c r="D32" s="103">
        <v>0</v>
      </c>
      <c r="E32" s="103">
        <v>0</v>
      </c>
      <c r="F32" s="103">
        <v>0</v>
      </c>
      <c r="G32" s="169">
        <f>SUM(C32:F32)</f>
        <v>0</v>
      </c>
    </row>
    <row r="33" spans="1:9" ht="14.25" customHeight="1" thickBot="1" x14ac:dyDescent="0.3">
      <c r="A33" s="19"/>
      <c r="B33" s="8"/>
      <c r="C33" s="103"/>
      <c r="D33" s="16"/>
      <c r="E33" s="16"/>
      <c r="F33" s="16"/>
      <c r="G33" s="17"/>
      <c r="I33" s="2"/>
    </row>
    <row r="34" spans="1:9" ht="18" customHeight="1" thickBot="1" x14ac:dyDescent="0.3">
      <c r="A34" s="141"/>
      <c r="B34" s="173" t="s">
        <v>311</v>
      </c>
      <c r="C34" s="174">
        <f>C39+C74+C140+C178+C200+C220</f>
        <v>0</v>
      </c>
      <c r="D34" s="174">
        <f>D39+D74+D140+D178+D200+D220</f>
        <v>0</v>
      </c>
      <c r="E34" s="174">
        <f>E39+E74+E140+E178+E200+E220</f>
        <v>0</v>
      </c>
      <c r="F34" s="174">
        <f>F39+F74+F140+F178+F200+F220</f>
        <v>0</v>
      </c>
      <c r="G34" s="175">
        <f>G39+G74+G140+G178+G200+G220</f>
        <v>0</v>
      </c>
      <c r="I34" s="2"/>
    </row>
    <row r="35" spans="1:9" ht="11.25" customHeight="1" thickBot="1" x14ac:dyDescent="0.3">
      <c r="A35" s="20"/>
      <c r="B35" s="21"/>
      <c r="C35" s="171"/>
      <c r="D35" s="171"/>
      <c r="E35" s="171"/>
      <c r="F35" s="171"/>
      <c r="G35" s="172"/>
    </row>
    <row r="36" spans="1:9" ht="14.4" customHeight="1" thickBot="1" x14ac:dyDescent="0.3">
      <c r="A36" s="143"/>
      <c r="B36" s="144"/>
      <c r="C36" s="145" t="s">
        <v>66</v>
      </c>
      <c r="D36" s="146" t="s">
        <v>67</v>
      </c>
      <c r="E36" s="146" t="s">
        <v>68</v>
      </c>
      <c r="F36" s="146" t="s">
        <v>355</v>
      </c>
      <c r="G36" s="147" t="s">
        <v>31</v>
      </c>
    </row>
    <row r="37" spans="1:9" ht="13.5" customHeight="1" x14ac:dyDescent="0.25">
      <c r="A37" s="22" t="s">
        <v>69</v>
      </c>
      <c r="B37" s="23" t="s">
        <v>47</v>
      </c>
      <c r="C37" s="1603"/>
      <c r="D37" s="1603"/>
      <c r="E37" s="1603"/>
      <c r="F37" s="95"/>
      <c r="G37" s="24"/>
    </row>
    <row r="38" spans="1:9" ht="6" customHeight="1" thickBot="1" x14ac:dyDescent="0.3">
      <c r="A38" s="25"/>
      <c r="B38" s="26"/>
      <c r="C38" s="105"/>
      <c r="D38" s="27"/>
      <c r="E38" s="27"/>
      <c r="F38" s="27"/>
      <c r="G38" s="28"/>
    </row>
    <row r="39" spans="1:9" ht="17.25" customHeight="1" thickBot="1" x14ac:dyDescent="0.3">
      <c r="A39" s="150" t="s">
        <v>70</v>
      </c>
      <c r="B39" s="98" t="s">
        <v>53</v>
      </c>
      <c r="C39" s="151">
        <f>SUM(C40+C60+C69)</f>
        <v>0</v>
      </c>
      <c r="D39" s="152">
        <f>SUM(D40+D60+D69)</f>
        <v>0</v>
      </c>
      <c r="E39" s="152">
        <f>SUM(E40+E60+E69)</f>
        <v>0</v>
      </c>
      <c r="F39" s="152">
        <f>SUM(F40+F60+F69)</f>
        <v>0</v>
      </c>
      <c r="G39" s="153">
        <f>SUM(G40+G60+G69)</f>
        <v>0</v>
      </c>
    </row>
    <row r="40" spans="1:9" ht="12" customHeight="1" outlineLevel="1" x14ac:dyDescent="0.25">
      <c r="A40" s="29"/>
      <c r="B40" s="30"/>
      <c r="C40" s="106">
        <f>+C42+C47+C52</f>
        <v>0</v>
      </c>
      <c r="D40" s="31">
        <f>+D42+D47+D52</f>
        <v>0</v>
      </c>
      <c r="E40" s="31">
        <f>+E42+E47+E52</f>
        <v>0</v>
      </c>
      <c r="F40" s="31">
        <f>+F42+F47+F52</f>
        <v>0</v>
      </c>
      <c r="G40" s="32">
        <f>+G42+G47+G52</f>
        <v>0</v>
      </c>
    </row>
    <row r="41" spans="1:9" ht="13.5" customHeight="1" x14ac:dyDescent="0.25">
      <c r="A41" s="33"/>
      <c r="B41" s="34"/>
      <c r="C41" s="107"/>
      <c r="D41" s="34"/>
      <c r="E41" s="34"/>
      <c r="F41" s="34"/>
      <c r="G41" s="35"/>
    </row>
    <row r="42" spans="1:9" ht="14.25" customHeight="1" x14ac:dyDescent="0.25">
      <c r="A42" s="154">
        <v>0.01</v>
      </c>
      <c r="B42" s="155" t="s">
        <v>71</v>
      </c>
      <c r="C42" s="156">
        <f>SUM(C44:C45)</f>
        <v>0</v>
      </c>
      <c r="D42" s="90">
        <f>SUM(D44:D45)</f>
        <v>0</v>
      </c>
      <c r="E42" s="90">
        <f>SUM(E44:E45)</f>
        <v>0</v>
      </c>
      <c r="F42" s="90">
        <f>SUM(F44:F45)</f>
        <v>0</v>
      </c>
      <c r="G42" s="157">
        <f>SUM(G44:G45)</f>
        <v>0</v>
      </c>
    </row>
    <row r="43" spans="1:9" ht="14.25" customHeight="1" x14ac:dyDescent="0.25">
      <c r="A43" s="33"/>
      <c r="B43" s="34"/>
      <c r="C43" s="107"/>
      <c r="D43" s="34"/>
      <c r="E43" s="34"/>
      <c r="F43" s="34"/>
      <c r="G43" s="35"/>
    </row>
    <row r="44" spans="1:9" ht="14.25" customHeight="1" x14ac:dyDescent="0.25">
      <c r="A44" s="36" t="s">
        <v>72</v>
      </c>
      <c r="B44" s="37" t="s">
        <v>37</v>
      </c>
      <c r="C44" s="108"/>
      <c r="D44" s="108"/>
      <c r="E44" s="108"/>
      <c r="F44" s="108"/>
      <c r="G44" s="96">
        <f>SUM(C44:F44)</f>
        <v>0</v>
      </c>
    </row>
    <row r="45" spans="1:9" ht="14.25" customHeight="1" x14ac:dyDescent="0.25">
      <c r="A45" s="36" t="s">
        <v>73</v>
      </c>
      <c r="B45" s="37" t="s">
        <v>30</v>
      </c>
      <c r="C45" s="108"/>
      <c r="D45" s="108"/>
      <c r="E45" s="108"/>
      <c r="F45" s="108"/>
      <c r="G45" s="96">
        <f>SUM(C45:F45)</f>
        <v>0</v>
      </c>
    </row>
    <row r="46" spans="1:9" ht="14.25" customHeight="1" x14ac:dyDescent="0.25">
      <c r="A46" s="36"/>
      <c r="B46" s="38"/>
      <c r="C46" s="109"/>
      <c r="D46" s="39"/>
      <c r="E46" s="39"/>
      <c r="F46" s="39"/>
      <c r="G46" s="40"/>
    </row>
    <row r="47" spans="1:9" ht="14.25" customHeight="1" x14ac:dyDescent="0.25">
      <c r="A47" s="154" t="s">
        <v>74</v>
      </c>
      <c r="B47" s="155" t="s">
        <v>75</v>
      </c>
      <c r="C47" s="156">
        <f>SUM(C49:C50)</f>
        <v>0</v>
      </c>
      <c r="D47" s="90">
        <f>SUM(D49:D50)</f>
        <v>0</v>
      </c>
      <c r="E47" s="90">
        <f>SUM(E49:E50)</f>
        <v>0</v>
      </c>
      <c r="F47" s="90">
        <f>SUM(F49:F50)</f>
        <v>0</v>
      </c>
      <c r="G47" s="157">
        <f>SUM(G49:G50)</f>
        <v>0</v>
      </c>
    </row>
    <row r="48" spans="1:9" ht="14.25" customHeight="1" x14ac:dyDescent="0.25">
      <c r="A48" s="36"/>
      <c r="B48" s="38"/>
      <c r="C48" s="109"/>
      <c r="D48" s="39"/>
      <c r="E48" s="39"/>
      <c r="F48" s="39"/>
      <c r="G48" s="40"/>
    </row>
    <row r="49" spans="1:7" ht="14.25" customHeight="1" x14ac:dyDescent="0.25">
      <c r="A49" s="36" t="s">
        <v>76</v>
      </c>
      <c r="B49" s="37" t="s">
        <v>35</v>
      </c>
      <c r="C49" s="108"/>
      <c r="D49" s="108"/>
      <c r="E49" s="108"/>
      <c r="F49" s="108"/>
      <c r="G49" s="96">
        <f>SUM(C49:F49)</f>
        <v>0</v>
      </c>
    </row>
    <row r="50" spans="1:7" ht="14.25" customHeight="1" x14ac:dyDescent="0.25">
      <c r="A50" s="36" t="s">
        <v>77</v>
      </c>
      <c r="B50" s="37" t="s">
        <v>17</v>
      </c>
      <c r="C50" s="108"/>
      <c r="D50" s="108"/>
      <c r="E50" s="108"/>
      <c r="F50" s="108"/>
      <c r="G50" s="96">
        <f>SUM(C50:F50)</f>
        <v>0</v>
      </c>
    </row>
    <row r="51" spans="1:7" ht="14.25" customHeight="1" x14ac:dyDescent="0.25">
      <c r="A51" s="41"/>
      <c r="B51" s="34"/>
      <c r="C51" s="110"/>
      <c r="D51" s="42"/>
      <c r="E51" s="42"/>
      <c r="F51" s="42"/>
      <c r="G51" s="43"/>
    </row>
    <row r="52" spans="1:7" ht="14.25" customHeight="1" x14ac:dyDescent="0.25">
      <c r="A52" s="154" t="s">
        <v>78</v>
      </c>
      <c r="B52" s="155" t="s">
        <v>79</v>
      </c>
      <c r="C52" s="156">
        <f>SUM(C54:C58)</f>
        <v>0</v>
      </c>
      <c r="D52" s="90">
        <f>SUM(D54:D58)</f>
        <v>0</v>
      </c>
      <c r="E52" s="90">
        <f>SUM(E54:E58)</f>
        <v>0</v>
      </c>
      <c r="F52" s="90">
        <f>SUM(F54:F58)</f>
        <v>0</v>
      </c>
      <c r="G52" s="157">
        <f>SUM(G54:G58)</f>
        <v>0</v>
      </c>
    </row>
    <row r="53" spans="1:7" ht="14.25" customHeight="1" x14ac:dyDescent="0.25">
      <c r="A53" s="36"/>
      <c r="B53" s="38"/>
      <c r="C53" s="109"/>
      <c r="D53" s="39"/>
      <c r="E53" s="39"/>
      <c r="F53" s="39"/>
      <c r="G53" s="40"/>
    </row>
    <row r="54" spans="1:7" ht="14.25" customHeight="1" x14ac:dyDescent="0.25">
      <c r="A54" s="36" t="s">
        <v>80</v>
      </c>
      <c r="B54" s="37" t="s">
        <v>81</v>
      </c>
      <c r="C54" s="108"/>
      <c r="D54" s="108"/>
      <c r="E54" s="108"/>
      <c r="F54" s="108"/>
      <c r="G54" s="96">
        <f>SUM(C54:F54)</f>
        <v>0</v>
      </c>
    </row>
    <row r="55" spans="1:7" ht="14.25" customHeight="1" x14ac:dyDescent="0.25">
      <c r="A55" s="36" t="s">
        <v>82</v>
      </c>
      <c r="B55" s="37" t="s">
        <v>83</v>
      </c>
      <c r="C55" s="108"/>
      <c r="D55" s="108"/>
      <c r="E55" s="108"/>
      <c r="F55" s="108"/>
      <c r="G55" s="96">
        <f>SUM(C55:F55)</f>
        <v>0</v>
      </c>
    </row>
    <row r="56" spans="1:7" ht="14.25" customHeight="1" x14ac:dyDescent="0.25">
      <c r="A56" s="36" t="s">
        <v>84</v>
      </c>
      <c r="B56" s="37" t="s">
        <v>85</v>
      </c>
      <c r="C56" s="108"/>
      <c r="D56" s="108"/>
      <c r="E56" s="108"/>
      <c r="F56" s="108"/>
      <c r="G56" s="96">
        <f>SUM(C56:F56)</f>
        <v>0</v>
      </c>
    </row>
    <row r="57" spans="1:7" ht="14.25" customHeight="1" x14ac:dyDescent="0.25">
      <c r="A57" s="36" t="s">
        <v>86</v>
      </c>
      <c r="B57" s="37" t="s">
        <v>18</v>
      </c>
      <c r="C57" s="108"/>
      <c r="D57" s="108"/>
      <c r="E57" s="108"/>
      <c r="F57" s="108"/>
      <c r="G57" s="96">
        <f>SUM(C57:F57)</f>
        <v>0</v>
      </c>
    </row>
    <row r="58" spans="1:7" ht="14.25" customHeight="1" x14ac:dyDescent="0.25">
      <c r="A58" s="36" t="s">
        <v>87</v>
      </c>
      <c r="B58" s="37" t="s">
        <v>88</v>
      </c>
      <c r="C58" s="108"/>
      <c r="D58" s="108"/>
      <c r="E58" s="108"/>
      <c r="F58" s="108"/>
      <c r="G58" s="96">
        <f>SUM(C58:F58)</f>
        <v>0</v>
      </c>
    </row>
    <row r="59" spans="1:7" ht="14.25" customHeight="1" x14ac:dyDescent="0.25">
      <c r="A59" s="36"/>
      <c r="B59" s="38"/>
      <c r="C59" s="109"/>
      <c r="D59" s="39"/>
      <c r="E59" s="39"/>
      <c r="F59" s="39"/>
      <c r="G59" s="40"/>
    </row>
    <row r="60" spans="1:7" ht="14.25" customHeight="1" x14ac:dyDescent="0.25">
      <c r="A60" s="158" t="s">
        <v>89</v>
      </c>
      <c r="B60" s="155" t="s">
        <v>273</v>
      </c>
      <c r="C60" s="156">
        <f>SUM(C63:C67)</f>
        <v>0</v>
      </c>
      <c r="D60" s="90">
        <f>SUM(D63:D67)</f>
        <v>0</v>
      </c>
      <c r="E60" s="90">
        <f>SUM(E63:E67)</f>
        <v>0</v>
      </c>
      <c r="F60" s="90">
        <f>SUM(F63:F67)</f>
        <v>0</v>
      </c>
      <c r="G60" s="157">
        <f>SUM(G63:G67)</f>
        <v>0</v>
      </c>
    </row>
    <row r="61" spans="1:7" ht="14.25" customHeight="1" outlineLevel="1" x14ac:dyDescent="0.25">
      <c r="A61" s="44"/>
      <c r="B61" s="45"/>
      <c r="C61" s="111">
        <f>+C60+C69</f>
        <v>0</v>
      </c>
      <c r="D61" s="46">
        <f>+D60+D69</f>
        <v>0</v>
      </c>
      <c r="E61" s="46">
        <f>+E60+E69</f>
        <v>0</v>
      </c>
      <c r="F61" s="46">
        <f>+F60+F69</f>
        <v>0</v>
      </c>
      <c r="G61" s="47">
        <f>+G60+G69</f>
        <v>0</v>
      </c>
    </row>
    <row r="62" spans="1:7" ht="14.25" customHeight="1" x14ac:dyDescent="0.25">
      <c r="A62" s="36"/>
      <c r="B62" s="38"/>
      <c r="C62" s="109"/>
      <c r="D62" s="39"/>
      <c r="E62" s="39"/>
      <c r="F62" s="39"/>
      <c r="G62" s="48"/>
    </row>
    <row r="63" spans="1:7" ht="14.25" customHeight="1" x14ac:dyDescent="0.25">
      <c r="A63" s="49" t="s">
        <v>90</v>
      </c>
      <c r="B63" s="37" t="s">
        <v>91</v>
      </c>
      <c r="C63" s="112"/>
      <c r="D63" s="112"/>
      <c r="E63" s="112"/>
      <c r="F63" s="112"/>
      <c r="G63" s="96">
        <f>SUM(C63:F63)</f>
        <v>0</v>
      </c>
    </row>
    <row r="64" spans="1:7" ht="14.25" customHeight="1" x14ac:dyDescent="0.25">
      <c r="A64" s="49" t="s">
        <v>92</v>
      </c>
      <c r="B64" s="37" t="s">
        <v>55</v>
      </c>
      <c r="C64" s="112"/>
      <c r="D64" s="112"/>
      <c r="E64" s="112"/>
      <c r="F64" s="112"/>
      <c r="G64" s="96">
        <f>SUM(C64:F64)</f>
        <v>0</v>
      </c>
    </row>
    <row r="65" spans="1:7" ht="14.25" customHeight="1" x14ac:dyDescent="0.25">
      <c r="A65" s="49" t="s">
        <v>93</v>
      </c>
      <c r="B65" s="37" t="s">
        <v>19</v>
      </c>
      <c r="C65" s="112"/>
      <c r="D65" s="112"/>
      <c r="E65" s="112"/>
      <c r="F65" s="112"/>
      <c r="G65" s="96">
        <f>SUM(C65:F65)</f>
        <v>0</v>
      </c>
    </row>
    <row r="66" spans="1:7" ht="14.25" customHeight="1" x14ac:dyDescent="0.25">
      <c r="A66" s="49" t="s">
        <v>94</v>
      </c>
      <c r="B66" s="37" t="s">
        <v>95</v>
      </c>
      <c r="C66" s="112"/>
      <c r="D66" s="112"/>
      <c r="E66" s="112"/>
      <c r="F66" s="112"/>
      <c r="G66" s="96">
        <f>SUM(C66:F66)</f>
        <v>0</v>
      </c>
    </row>
    <row r="67" spans="1:7" ht="14.25" customHeight="1" x14ac:dyDescent="0.25">
      <c r="A67" s="49" t="s">
        <v>96</v>
      </c>
      <c r="B67" s="37" t="s">
        <v>97</v>
      </c>
      <c r="C67" s="112"/>
      <c r="D67" s="112"/>
      <c r="E67" s="112"/>
      <c r="F67" s="112"/>
      <c r="G67" s="96">
        <f>SUM(C67:F67)</f>
        <v>0</v>
      </c>
    </row>
    <row r="68" spans="1:7" ht="14.25" customHeight="1" x14ac:dyDescent="0.25">
      <c r="A68" s="49"/>
      <c r="B68" s="38"/>
      <c r="C68" s="109"/>
      <c r="D68" s="39"/>
      <c r="E68" s="39"/>
      <c r="F68" s="39"/>
      <c r="G68" s="40"/>
    </row>
    <row r="69" spans="1:7" ht="14.25" customHeight="1" x14ac:dyDescent="0.25">
      <c r="A69" s="158" t="s">
        <v>98</v>
      </c>
      <c r="B69" s="159" t="s">
        <v>99</v>
      </c>
      <c r="C69" s="156">
        <f>SUM(C71:C72)</f>
        <v>0</v>
      </c>
      <c r="D69" s="90">
        <f>SUM(D71:D72)</f>
        <v>0</v>
      </c>
      <c r="E69" s="90">
        <f>SUM(E71:E72)</f>
        <v>0</v>
      </c>
      <c r="F69" s="90">
        <f>SUM(F71:F72)</f>
        <v>0</v>
      </c>
      <c r="G69" s="157">
        <f>SUM(G71:G72)</f>
        <v>0</v>
      </c>
    </row>
    <row r="70" spans="1:7" ht="14.25" customHeight="1" x14ac:dyDescent="0.25">
      <c r="A70" s="49"/>
      <c r="B70" s="38"/>
      <c r="C70" s="109"/>
      <c r="D70" s="39"/>
      <c r="E70" s="39"/>
      <c r="F70" s="39"/>
      <c r="G70" s="40"/>
    </row>
    <row r="71" spans="1:7" ht="14.25" customHeight="1" x14ac:dyDescent="0.25">
      <c r="A71" s="49" t="s">
        <v>100</v>
      </c>
      <c r="B71" s="37" t="s">
        <v>313</v>
      </c>
      <c r="C71" s="50"/>
      <c r="D71" s="50"/>
      <c r="E71" s="50"/>
      <c r="F71" s="50"/>
      <c r="G71" s="96">
        <f>SUM(C71:F71)</f>
        <v>0</v>
      </c>
    </row>
    <row r="72" spans="1:7" ht="14.25" customHeight="1" x14ac:dyDescent="0.25">
      <c r="A72" s="49" t="s">
        <v>101</v>
      </c>
      <c r="B72" s="37" t="s">
        <v>102</v>
      </c>
      <c r="C72" s="50"/>
      <c r="D72" s="50"/>
      <c r="E72" s="50"/>
      <c r="F72" s="50"/>
      <c r="G72" s="96">
        <f>SUM(C72:F72)</f>
        <v>0</v>
      </c>
    </row>
    <row r="73" spans="1:7" ht="9" customHeight="1" thickBot="1" x14ac:dyDescent="0.3">
      <c r="A73" s="51"/>
      <c r="B73" s="52"/>
      <c r="C73" s="113"/>
      <c r="D73" s="53"/>
      <c r="E73" s="53"/>
      <c r="F73" s="53"/>
      <c r="G73" s="54"/>
    </row>
    <row r="74" spans="1:7" ht="18" customHeight="1" thickBot="1" x14ac:dyDescent="0.3">
      <c r="A74" s="97" t="s">
        <v>103</v>
      </c>
      <c r="B74" s="98" t="s">
        <v>54</v>
      </c>
      <c r="C74" s="148">
        <f>+C76+C83+C91+C100+C115+C119+C125+C135+C108</f>
        <v>0</v>
      </c>
      <c r="D74" s="99">
        <f>+D76+D83+D91+D100+D115+D119+D125+D135+D108</f>
        <v>0</v>
      </c>
      <c r="E74" s="99">
        <f>+E76+E83+E91+E100+E115+E119+E125+E135+E108</f>
        <v>0</v>
      </c>
      <c r="F74" s="99">
        <f>+F76+F83+F91+F100+F115+F119+F125+F135+F108</f>
        <v>0</v>
      </c>
      <c r="G74" s="100">
        <f>+G76+G83+G91+G100+G115+G119+G125+G135+G108</f>
        <v>0</v>
      </c>
    </row>
    <row r="75" spans="1:7" ht="10.95" customHeight="1" x14ac:dyDescent="0.25">
      <c r="A75" s="20"/>
      <c r="B75" s="21"/>
      <c r="C75" s="110"/>
      <c r="D75" s="55"/>
      <c r="E75" s="55"/>
      <c r="F75" s="55"/>
      <c r="G75" s="56"/>
    </row>
    <row r="76" spans="1:7" ht="14.25" customHeight="1" x14ac:dyDescent="0.25">
      <c r="A76" s="158" t="s">
        <v>104</v>
      </c>
      <c r="B76" s="155" t="s">
        <v>105</v>
      </c>
      <c r="C76" s="156">
        <f>SUM(C78:C81)</f>
        <v>0</v>
      </c>
      <c r="D76" s="90">
        <f>SUM(D78:D81)</f>
        <v>0</v>
      </c>
      <c r="E76" s="90">
        <f>SUM(E78:E81)</f>
        <v>0</v>
      </c>
      <c r="F76" s="90">
        <f>SUM(F78:F81)</f>
        <v>0</v>
      </c>
      <c r="G76" s="157">
        <f>SUM(G78:G81)</f>
        <v>0</v>
      </c>
    </row>
    <row r="77" spans="1:7" ht="14.25" customHeight="1" x14ac:dyDescent="0.25">
      <c r="A77" s="20"/>
      <c r="B77" s="21"/>
      <c r="C77" s="110"/>
      <c r="D77" s="55"/>
      <c r="E77" s="55"/>
      <c r="F77" s="55"/>
      <c r="G77" s="56"/>
    </row>
    <row r="78" spans="1:7" ht="14.25" customHeight="1" x14ac:dyDescent="0.25">
      <c r="A78" s="49" t="s">
        <v>106</v>
      </c>
      <c r="B78" s="37" t="s">
        <v>107</v>
      </c>
      <c r="C78" s="108"/>
      <c r="D78" s="108"/>
      <c r="E78" s="108"/>
      <c r="F78" s="108"/>
      <c r="G78" s="96">
        <f>SUM(C78:F78)</f>
        <v>0</v>
      </c>
    </row>
    <row r="79" spans="1:7" ht="14.25" customHeight="1" x14ac:dyDescent="0.25">
      <c r="A79" s="49" t="s">
        <v>108</v>
      </c>
      <c r="B79" s="37" t="s">
        <v>109</v>
      </c>
      <c r="C79" s="108"/>
      <c r="D79" s="108"/>
      <c r="E79" s="108"/>
      <c r="F79" s="108"/>
      <c r="G79" s="96">
        <f>SUM(C79:F79)</f>
        <v>0</v>
      </c>
    </row>
    <row r="80" spans="1:7" ht="14.25" customHeight="1" outlineLevel="1" x14ac:dyDescent="0.25">
      <c r="A80" s="49" t="s">
        <v>110</v>
      </c>
      <c r="B80" s="37" t="s">
        <v>111</v>
      </c>
      <c r="C80" s="108"/>
      <c r="D80" s="108"/>
      <c r="E80" s="108"/>
      <c r="F80" s="108"/>
      <c r="G80" s="96">
        <f>SUM(C80:F80)</f>
        <v>0</v>
      </c>
    </row>
    <row r="81" spans="1:7" ht="14.25" customHeight="1" outlineLevel="1" x14ac:dyDescent="0.25">
      <c r="A81" s="49" t="s">
        <v>112</v>
      </c>
      <c r="B81" s="37" t="s">
        <v>113</v>
      </c>
      <c r="C81" s="108"/>
      <c r="D81" s="108"/>
      <c r="E81" s="108"/>
      <c r="F81" s="108"/>
      <c r="G81" s="96">
        <f>SUM(C81:F81)</f>
        <v>0</v>
      </c>
    </row>
    <row r="82" spans="1:7" ht="14.25" customHeight="1" x14ac:dyDescent="0.25">
      <c r="A82" s="49"/>
      <c r="B82" s="38"/>
      <c r="C82" s="109"/>
      <c r="D82" s="39"/>
      <c r="E82" s="39"/>
      <c r="F82" s="39"/>
      <c r="G82" s="40"/>
    </row>
    <row r="83" spans="1:7" ht="14.25" customHeight="1" x14ac:dyDescent="0.25">
      <c r="A83" s="158" t="s">
        <v>114</v>
      </c>
      <c r="B83" s="155" t="s">
        <v>115</v>
      </c>
      <c r="C83" s="156">
        <f>SUM(C85:C89)</f>
        <v>0</v>
      </c>
      <c r="D83" s="90">
        <f>SUM(D85:D89)</f>
        <v>0</v>
      </c>
      <c r="E83" s="90">
        <f>SUM(E85:E89)</f>
        <v>0</v>
      </c>
      <c r="F83" s="90">
        <f>SUM(F85:F89)</f>
        <v>0</v>
      </c>
      <c r="G83" s="157">
        <f>SUM(G85:G89)</f>
        <v>0</v>
      </c>
    </row>
    <row r="84" spans="1:7" ht="14.25" customHeight="1" x14ac:dyDescent="0.25">
      <c r="A84" s="49"/>
      <c r="B84" s="38"/>
      <c r="C84" s="109"/>
      <c r="D84" s="39"/>
      <c r="E84" s="39"/>
      <c r="F84" s="39"/>
      <c r="G84" s="40"/>
    </row>
    <row r="85" spans="1:7" ht="14.25" customHeight="1" x14ac:dyDescent="0.25">
      <c r="A85" s="49" t="s">
        <v>116</v>
      </c>
      <c r="B85" s="37" t="s">
        <v>117</v>
      </c>
      <c r="C85" s="108"/>
      <c r="D85" s="108"/>
      <c r="E85" s="108"/>
      <c r="F85" s="108"/>
      <c r="G85" s="96">
        <f>SUM(C85:F85)</f>
        <v>0</v>
      </c>
    </row>
    <row r="86" spans="1:7" ht="14.25" customHeight="1" x14ac:dyDescent="0.25">
      <c r="A86" s="49" t="s">
        <v>118</v>
      </c>
      <c r="B86" s="57" t="s">
        <v>119</v>
      </c>
      <c r="C86" s="108"/>
      <c r="D86" s="108"/>
      <c r="E86" s="108"/>
      <c r="F86" s="108"/>
      <c r="G86" s="96">
        <f>SUM(C86:F86)</f>
        <v>0</v>
      </c>
    </row>
    <row r="87" spans="1:7" ht="14.25" customHeight="1" x14ac:dyDescent="0.25">
      <c r="A87" s="49" t="s">
        <v>120</v>
      </c>
      <c r="B87" s="37" t="s">
        <v>121</v>
      </c>
      <c r="C87" s="108"/>
      <c r="D87" s="108"/>
      <c r="E87" s="108"/>
      <c r="F87" s="108"/>
      <c r="G87" s="96">
        <f>SUM(C87:F87)</f>
        <v>0</v>
      </c>
    </row>
    <row r="88" spans="1:7" ht="14.25" customHeight="1" x14ac:dyDescent="0.25">
      <c r="A88" s="49" t="s">
        <v>326</v>
      </c>
      <c r="B88" s="37" t="s">
        <v>122</v>
      </c>
      <c r="C88" s="108"/>
      <c r="D88" s="108"/>
      <c r="E88" s="108"/>
      <c r="F88" s="108"/>
      <c r="G88" s="96">
        <f>SUM(C88:F88)</f>
        <v>0</v>
      </c>
    </row>
    <row r="89" spans="1:7" ht="14.25" customHeight="1" outlineLevel="1" x14ac:dyDescent="0.25">
      <c r="A89" s="49" t="s">
        <v>123</v>
      </c>
      <c r="B89" s="37" t="s">
        <v>124</v>
      </c>
      <c r="C89" s="108"/>
      <c r="D89" s="108"/>
      <c r="E89" s="108"/>
      <c r="F89" s="108"/>
      <c r="G89" s="96">
        <f>SUM(C89:F89)</f>
        <v>0</v>
      </c>
    </row>
    <row r="90" spans="1:7" ht="14.25" customHeight="1" thickBot="1" x14ac:dyDescent="0.3">
      <c r="A90" s="58"/>
      <c r="B90" s="59"/>
      <c r="C90" s="114"/>
      <c r="D90" s="60"/>
      <c r="E90" s="60"/>
      <c r="F90" s="60"/>
      <c r="G90" s="61"/>
    </row>
    <row r="91" spans="1:7" ht="14.25" customHeight="1" x14ac:dyDescent="0.25">
      <c r="A91" s="160" t="s">
        <v>125</v>
      </c>
      <c r="B91" s="161" t="s">
        <v>126</v>
      </c>
      <c r="C91" s="162">
        <f>SUM(C93:C98)</f>
        <v>0</v>
      </c>
      <c r="D91" s="163">
        <f>SUM(D93:D98)</f>
        <v>0</v>
      </c>
      <c r="E91" s="163">
        <f>SUM(E93:E98)</f>
        <v>0</v>
      </c>
      <c r="F91" s="163">
        <f>SUM(F93:F98)</f>
        <v>0</v>
      </c>
      <c r="G91" s="164">
        <f>SUM(G93:G98)</f>
        <v>0</v>
      </c>
    </row>
    <row r="92" spans="1:7" ht="14.25" customHeight="1" x14ac:dyDescent="0.25">
      <c r="A92" s="49"/>
      <c r="B92" s="38"/>
      <c r="C92" s="109"/>
      <c r="D92" s="39"/>
      <c r="E92" s="39"/>
      <c r="F92" s="39"/>
      <c r="G92" s="40"/>
    </row>
    <row r="93" spans="1:7" ht="14.25" customHeight="1" x14ac:dyDescent="0.25">
      <c r="A93" s="62" t="s">
        <v>127</v>
      </c>
      <c r="B93" s="38" t="s">
        <v>128</v>
      </c>
      <c r="C93" s="108"/>
      <c r="D93" s="108"/>
      <c r="E93" s="108"/>
      <c r="F93" s="108"/>
      <c r="G93" s="96">
        <f t="shared" ref="G93:G98" si="0">SUM(C93:F93)</f>
        <v>0</v>
      </c>
    </row>
    <row r="94" spans="1:7" ht="14.25" customHeight="1" x14ac:dyDescent="0.25">
      <c r="A94" s="49" t="s">
        <v>129</v>
      </c>
      <c r="B94" s="63" t="s">
        <v>130</v>
      </c>
      <c r="C94" s="108"/>
      <c r="D94" s="108"/>
      <c r="E94" s="108"/>
      <c r="F94" s="108"/>
      <c r="G94" s="96">
        <f t="shared" si="0"/>
        <v>0</v>
      </c>
    </row>
    <row r="95" spans="1:7" ht="14.25" customHeight="1" x14ac:dyDescent="0.25">
      <c r="A95" s="49" t="s">
        <v>131</v>
      </c>
      <c r="B95" s="63" t="s">
        <v>132</v>
      </c>
      <c r="C95" s="108"/>
      <c r="D95" s="108"/>
      <c r="E95" s="108"/>
      <c r="F95" s="108"/>
      <c r="G95" s="96">
        <f t="shared" si="0"/>
        <v>0</v>
      </c>
    </row>
    <row r="96" spans="1:7" ht="14.25" customHeight="1" x14ac:dyDescent="0.25">
      <c r="A96" s="49" t="s">
        <v>133</v>
      </c>
      <c r="B96" s="63" t="s">
        <v>134</v>
      </c>
      <c r="C96" s="108"/>
      <c r="D96" s="108"/>
      <c r="E96" s="108"/>
      <c r="F96" s="108"/>
      <c r="G96" s="96">
        <f t="shared" si="0"/>
        <v>0</v>
      </c>
    </row>
    <row r="97" spans="1:7" ht="14.25" customHeight="1" outlineLevel="1" x14ac:dyDescent="0.25">
      <c r="A97" s="49" t="s">
        <v>135</v>
      </c>
      <c r="B97" s="63" t="s">
        <v>136</v>
      </c>
      <c r="C97" s="108"/>
      <c r="D97" s="108"/>
      <c r="E97" s="108"/>
      <c r="F97" s="108"/>
      <c r="G97" s="96">
        <f t="shared" si="0"/>
        <v>0</v>
      </c>
    </row>
    <row r="98" spans="1:7" ht="14.25" customHeight="1" x14ac:dyDescent="0.25">
      <c r="A98" s="49" t="s">
        <v>137</v>
      </c>
      <c r="B98" s="63" t="s">
        <v>138</v>
      </c>
      <c r="C98" s="108"/>
      <c r="D98" s="108"/>
      <c r="E98" s="108"/>
      <c r="F98" s="108"/>
      <c r="G98" s="96">
        <f t="shared" si="0"/>
        <v>0</v>
      </c>
    </row>
    <row r="99" spans="1:7" ht="14.25" customHeight="1" x14ac:dyDescent="0.25">
      <c r="A99" s="64"/>
      <c r="B99" s="38"/>
      <c r="C99" s="109"/>
      <c r="D99" s="39"/>
      <c r="E99" s="39"/>
      <c r="F99" s="39"/>
      <c r="G99" s="40"/>
    </row>
    <row r="100" spans="1:7" ht="14.25" customHeight="1" x14ac:dyDescent="0.25">
      <c r="A100" s="158" t="s">
        <v>139</v>
      </c>
      <c r="B100" s="155" t="s">
        <v>140</v>
      </c>
      <c r="C100" s="156">
        <f>SUM(C102:C106)</f>
        <v>0</v>
      </c>
      <c r="D100" s="90">
        <f>SUM(D102:D106)</f>
        <v>0</v>
      </c>
      <c r="E100" s="90">
        <f>SUM(E102:E106)</f>
        <v>0</v>
      </c>
      <c r="F100" s="90">
        <f>SUM(F102:F106)</f>
        <v>0</v>
      </c>
      <c r="G100" s="157">
        <f>SUM(G102:G106)</f>
        <v>0</v>
      </c>
    </row>
    <row r="101" spans="1:7" ht="14.25" customHeight="1" x14ac:dyDescent="0.25">
      <c r="A101" s="64"/>
      <c r="B101" s="38"/>
      <c r="C101" s="109"/>
      <c r="D101" s="39"/>
      <c r="E101" s="39"/>
      <c r="F101" s="39"/>
      <c r="G101" s="40"/>
    </row>
    <row r="102" spans="1:7" ht="14.25" customHeight="1" x14ac:dyDescent="0.25">
      <c r="A102" s="88" t="s">
        <v>343</v>
      </c>
      <c r="B102" s="87" t="s">
        <v>344</v>
      </c>
      <c r="C102" s="108"/>
      <c r="D102" s="108"/>
      <c r="E102" s="108"/>
      <c r="F102" s="108"/>
      <c r="G102" s="96">
        <f>SUM(C102:F102)</f>
        <v>0</v>
      </c>
    </row>
    <row r="103" spans="1:7" ht="14.25" customHeight="1" x14ac:dyDescent="0.25">
      <c r="A103" s="64" t="s">
        <v>141</v>
      </c>
      <c r="B103" s="63" t="s">
        <v>142</v>
      </c>
      <c r="C103" s="108"/>
      <c r="D103" s="108"/>
      <c r="E103" s="108"/>
      <c r="F103" s="108"/>
      <c r="G103" s="96">
        <f>SUM(C103:F103)</f>
        <v>0</v>
      </c>
    </row>
    <row r="104" spans="1:7" ht="14.25" customHeight="1" x14ac:dyDescent="0.25">
      <c r="A104" s="64" t="s">
        <v>143</v>
      </c>
      <c r="B104" s="63" t="s">
        <v>144</v>
      </c>
      <c r="C104" s="108"/>
      <c r="D104" s="108"/>
      <c r="E104" s="108"/>
      <c r="F104" s="108"/>
      <c r="G104" s="96">
        <f>SUM(C104:F104)</f>
        <v>0</v>
      </c>
    </row>
    <row r="105" spans="1:7" ht="14.25" customHeight="1" x14ac:dyDescent="0.25">
      <c r="A105" s="64" t="s">
        <v>145</v>
      </c>
      <c r="B105" s="63" t="s">
        <v>146</v>
      </c>
      <c r="C105" s="108"/>
      <c r="D105" s="108"/>
      <c r="E105" s="108"/>
      <c r="F105" s="108"/>
      <c r="G105" s="96">
        <f>SUM(C105:F105)</f>
        <v>0</v>
      </c>
    </row>
    <row r="106" spans="1:7" ht="14.25" customHeight="1" outlineLevel="1" x14ac:dyDescent="0.25">
      <c r="A106" s="64" t="s">
        <v>147</v>
      </c>
      <c r="B106" s="38" t="s">
        <v>148</v>
      </c>
      <c r="C106" s="108"/>
      <c r="D106" s="108"/>
      <c r="E106" s="108"/>
      <c r="F106" s="108"/>
      <c r="G106" s="96">
        <f>SUM(C106:F106)</f>
        <v>0</v>
      </c>
    </row>
    <row r="107" spans="1:7" ht="14.25" customHeight="1" x14ac:dyDescent="0.25">
      <c r="A107" s="64"/>
      <c r="B107" s="38"/>
      <c r="C107" s="109"/>
      <c r="D107" s="39"/>
      <c r="E107" s="39"/>
      <c r="F107" s="39"/>
      <c r="G107" s="40"/>
    </row>
    <row r="108" spans="1:7" ht="14.25" customHeight="1" x14ac:dyDescent="0.25">
      <c r="A108" s="158" t="s">
        <v>149</v>
      </c>
      <c r="B108" s="155" t="s">
        <v>150</v>
      </c>
      <c r="C108" s="156">
        <f>SUM(C110:C113)</f>
        <v>0</v>
      </c>
      <c r="D108" s="90">
        <f>SUM(D110:D113)</f>
        <v>0</v>
      </c>
      <c r="E108" s="90">
        <f>SUM(E110:E113)</f>
        <v>0</v>
      </c>
      <c r="F108" s="90">
        <f>SUM(F110:F113)</f>
        <v>0</v>
      </c>
      <c r="G108" s="157">
        <f>SUM(G110:G113)</f>
        <v>0</v>
      </c>
    </row>
    <row r="109" spans="1:7" ht="14.25" customHeight="1" x14ac:dyDescent="0.25">
      <c r="A109" s="64"/>
      <c r="B109" s="38"/>
      <c r="C109" s="109"/>
      <c r="D109" s="39"/>
      <c r="E109" s="39"/>
      <c r="F109" s="39"/>
      <c r="G109" s="40"/>
    </row>
    <row r="110" spans="1:7" ht="14.25" customHeight="1" x14ac:dyDescent="0.25">
      <c r="A110" s="49" t="s">
        <v>151</v>
      </c>
      <c r="B110" s="37" t="s">
        <v>152</v>
      </c>
      <c r="C110" s="108"/>
      <c r="D110" s="108"/>
      <c r="E110" s="108"/>
      <c r="F110" s="108"/>
      <c r="G110" s="96">
        <f>SUM(C110:F110)</f>
        <v>0</v>
      </c>
    </row>
    <row r="111" spans="1:7" ht="14.25" customHeight="1" x14ac:dyDescent="0.25">
      <c r="A111" s="49" t="s">
        <v>153</v>
      </c>
      <c r="B111" s="37" t="s">
        <v>154</v>
      </c>
      <c r="C111" s="108"/>
      <c r="D111" s="108"/>
      <c r="E111" s="108"/>
      <c r="F111" s="108"/>
      <c r="G111" s="96">
        <f>SUM(C111:F111)</f>
        <v>0</v>
      </c>
    </row>
    <row r="112" spans="1:7" ht="14.25" customHeight="1" x14ac:dyDescent="0.25">
      <c r="A112" s="49" t="s">
        <v>155</v>
      </c>
      <c r="B112" s="37" t="s">
        <v>156</v>
      </c>
      <c r="C112" s="108"/>
      <c r="D112" s="108"/>
      <c r="E112" s="108"/>
      <c r="F112" s="108"/>
      <c r="G112" s="96">
        <f>SUM(C112:F112)</f>
        <v>0</v>
      </c>
    </row>
    <row r="113" spans="1:7" ht="14.25" customHeight="1" x14ac:dyDescent="0.25">
      <c r="A113" s="49" t="s">
        <v>157</v>
      </c>
      <c r="B113" s="37" t="s">
        <v>158</v>
      </c>
      <c r="C113" s="108"/>
      <c r="D113" s="108"/>
      <c r="E113" s="108"/>
      <c r="F113" s="108"/>
      <c r="G113" s="96">
        <f>SUM(C113:F113)</f>
        <v>0</v>
      </c>
    </row>
    <row r="114" spans="1:7" ht="14.25" customHeight="1" x14ac:dyDescent="0.25">
      <c r="A114" s="49"/>
      <c r="B114" s="38"/>
      <c r="C114" s="109"/>
      <c r="D114" s="39"/>
      <c r="E114" s="39"/>
      <c r="F114" s="39"/>
      <c r="G114" s="40"/>
    </row>
    <row r="115" spans="1:7" ht="14.25" customHeight="1" x14ac:dyDescent="0.25">
      <c r="A115" s="158" t="s">
        <v>159</v>
      </c>
      <c r="B115" s="155" t="s">
        <v>275</v>
      </c>
      <c r="C115" s="156">
        <f>SUM(C117)</f>
        <v>0</v>
      </c>
      <c r="D115" s="90">
        <f>SUM(D117)</f>
        <v>0</v>
      </c>
      <c r="E115" s="90">
        <f>SUM(E117)</f>
        <v>0</v>
      </c>
      <c r="F115" s="90">
        <f>SUM(F117)</f>
        <v>0</v>
      </c>
      <c r="G115" s="157">
        <f>SUM(G117)</f>
        <v>0</v>
      </c>
    </row>
    <row r="116" spans="1:7" ht="14.25" customHeight="1" x14ac:dyDescent="0.25">
      <c r="A116" s="49"/>
      <c r="B116" s="38"/>
      <c r="C116" s="109"/>
      <c r="D116" s="39"/>
      <c r="E116" s="39"/>
      <c r="F116" s="39"/>
      <c r="G116" s="40"/>
    </row>
    <row r="117" spans="1:7" ht="14.25" customHeight="1" x14ac:dyDescent="0.25">
      <c r="A117" s="49" t="s">
        <v>160</v>
      </c>
      <c r="B117" s="37" t="s">
        <v>161</v>
      </c>
      <c r="C117" s="108"/>
      <c r="D117" s="108"/>
      <c r="E117" s="108"/>
      <c r="F117" s="108"/>
      <c r="G117" s="96">
        <f>SUM(C117:F117)</f>
        <v>0</v>
      </c>
    </row>
    <row r="118" spans="1:7" ht="14.25" customHeight="1" x14ac:dyDescent="0.25">
      <c r="A118" s="49"/>
      <c r="B118" s="38"/>
      <c r="C118" s="109"/>
      <c r="D118" s="39"/>
      <c r="E118" s="39"/>
      <c r="F118" s="39"/>
      <c r="G118" s="40"/>
    </row>
    <row r="119" spans="1:7" ht="14.25" customHeight="1" x14ac:dyDescent="0.25">
      <c r="A119" s="158" t="s">
        <v>162</v>
      </c>
      <c r="B119" s="155" t="s">
        <v>163</v>
      </c>
      <c r="C119" s="156">
        <f>SUM(C121:C123)</f>
        <v>0</v>
      </c>
      <c r="D119" s="90">
        <f>SUM(D121:D123)</f>
        <v>0</v>
      </c>
      <c r="E119" s="90">
        <f>SUM(E121:E123)</f>
        <v>0</v>
      </c>
      <c r="F119" s="90">
        <f>SUM(F121:F123)</f>
        <v>0</v>
      </c>
      <c r="G119" s="157">
        <f>SUM(G121:G123)</f>
        <v>0</v>
      </c>
    </row>
    <row r="120" spans="1:7" ht="14.25" customHeight="1" x14ac:dyDescent="0.25">
      <c r="A120" s="49"/>
      <c r="B120" s="38"/>
      <c r="C120" s="109"/>
      <c r="D120" s="39"/>
      <c r="E120" s="39"/>
      <c r="F120" s="39"/>
      <c r="G120" s="40"/>
    </row>
    <row r="121" spans="1:7" ht="14.25" customHeight="1" x14ac:dyDescent="0.25">
      <c r="A121" s="49" t="s">
        <v>164</v>
      </c>
      <c r="B121" s="37" t="s">
        <v>165</v>
      </c>
      <c r="C121" s="108"/>
      <c r="D121" s="108"/>
      <c r="E121" s="108"/>
      <c r="F121" s="108"/>
      <c r="G121" s="96">
        <f>SUM(C121:F121)</f>
        <v>0</v>
      </c>
    </row>
    <row r="122" spans="1:7" ht="14.25" customHeight="1" x14ac:dyDescent="0.25">
      <c r="A122" s="49" t="s">
        <v>166</v>
      </c>
      <c r="B122" s="37" t="s">
        <v>167</v>
      </c>
      <c r="C122" s="108"/>
      <c r="D122" s="108"/>
      <c r="E122" s="108"/>
      <c r="F122" s="108"/>
      <c r="G122" s="96">
        <f>SUM(C122:F122)</f>
        <v>0</v>
      </c>
    </row>
    <row r="123" spans="1:7" ht="14.25" customHeight="1" x14ac:dyDescent="0.25">
      <c r="A123" s="49" t="s">
        <v>168</v>
      </c>
      <c r="B123" s="37" t="s">
        <v>169</v>
      </c>
      <c r="C123" s="108"/>
      <c r="D123" s="108"/>
      <c r="E123" s="108"/>
      <c r="F123" s="108"/>
      <c r="G123" s="96">
        <f>SUM(C123:F123)</f>
        <v>0</v>
      </c>
    </row>
    <row r="124" spans="1:7" ht="14.25" customHeight="1" x14ac:dyDescent="0.25">
      <c r="A124" s="49"/>
      <c r="B124" s="38"/>
      <c r="C124" s="109"/>
      <c r="D124" s="39"/>
      <c r="E124" s="39"/>
      <c r="F124" s="39"/>
      <c r="G124" s="40"/>
    </row>
    <row r="125" spans="1:7" ht="14.25" customHeight="1" x14ac:dyDescent="0.25">
      <c r="A125" s="158" t="s">
        <v>170</v>
      </c>
      <c r="B125" s="155" t="s">
        <v>171</v>
      </c>
      <c r="C125" s="156">
        <f>SUM(C127:C133)</f>
        <v>0</v>
      </c>
      <c r="D125" s="90">
        <f>SUM(D127:D133)</f>
        <v>0</v>
      </c>
      <c r="E125" s="90">
        <f>SUM(E127:E133)</f>
        <v>0</v>
      </c>
      <c r="F125" s="90">
        <f>SUM(F127:F133)</f>
        <v>0</v>
      </c>
      <c r="G125" s="157">
        <f>SUM(G127:G133)</f>
        <v>0</v>
      </c>
    </row>
    <row r="126" spans="1:7" ht="14.25" customHeight="1" x14ac:dyDescent="0.25">
      <c r="A126" s="49"/>
      <c r="B126" s="38"/>
      <c r="C126" s="109"/>
      <c r="D126" s="39"/>
      <c r="E126" s="39"/>
      <c r="F126" s="39"/>
      <c r="G126" s="40"/>
    </row>
    <row r="127" spans="1:7" ht="14.25" customHeight="1" x14ac:dyDescent="0.25">
      <c r="A127" s="49" t="s">
        <v>172</v>
      </c>
      <c r="B127" s="37" t="s">
        <v>173</v>
      </c>
      <c r="C127" s="108"/>
      <c r="D127" s="108"/>
      <c r="E127" s="108"/>
      <c r="F127" s="108"/>
      <c r="G127" s="96">
        <f>SUM(C127:F127)</f>
        <v>0</v>
      </c>
    </row>
    <row r="128" spans="1:7" ht="14.25" customHeight="1" x14ac:dyDescent="0.25">
      <c r="A128" s="49" t="s">
        <v>174</v>
      </c>
      <c r="B128" s="37" t="s">
        <v>175</v>
      </c>
      <c r="C128" s="108"/>
      <c r="D128" s="108"/>
      <c r="E128" s="108"/>
      <c r="F128" s="108"/>
      <c r="G128" s="96">
        <f t="shared" ref="G128:G133" si="1">SUM(C128:F128)</f>
        <v>0</v>
      </c>
    </row>
    <row r="129" spans="1:7" ht="14.25" customHeight="1" x14ac:dyDescent="0.25">
      <c r="A129" s="49" t="s">
        <v>176</v>
      </c>
      <c r="B129" s="37" t="s">
        <v>177</v>
      </c>
      <c r="C129" s="108"/>
      <c r="D129" s="108"/>
      <c r="E129" s="108"/>
      <c r="F129" s="108"/>
      <c r="G129" s="96">
        <f t="shared" si="1"/>
        <v>0</v>
      </c>
    </row>
    <row r="130" spans="1:7" ht="14.25" customHeight="1" x14ac:dyDescent="0.25">
      <c r="A130" s="49" t="s">
        <v>178</v>
      </c>
      <c r="B130" s="37" t="s">
        <v>179</v>
      </c>
      <c r="C130" s="108"/>
      <c r="D130" s="108"/>
      <c r="E130" s="108"/>
      <c r="F130" s="108"/>
      <c r="G130" s="96">
        <f t="shared" si="1"/>
        <v>0</v>
      </c>
    </row>
    <row r="131" spans="1:7" ht="14.25" customHeight="1" x14ac:dyDescent="0.25">
      <c r="A131" s="49" t="s">
        <v>180</v>
      </c>
      <c r="B131" s="37" t="s">
        <v>181</v>
      </c>
      <c r="C131" s="108"/>
      <c r="D131" s="108"/>
      <c r="E131" s="108"/>
      <c r="F131" s="108"/>
      <c r="G131" s="96">
        <f t="shared" si="1"/>
        <v>0</v>
      </c>
    </row>
    <row r="132" spans="1:7" ht="14.25" customHeight="1" x14ac:dyDescent="0.25">
      <c r="A132" s="49" t="s">
        <v>182</v>
      </c>
      <c r="B132" s="37" t="s">
        <v>276</v>
      </c>
      <c r="C132" s="108"/>
      <c r="D132" s="108"/>
      <c r="E132" s="108"/>
      <c r="F132" s="108"/>
      <c r="G132" s="96">
        <f t="shared" si="1"/>
        <v>0</v>
      </c>
    </row>
    <row r="133" spans="1:7" ht="14.25" customHeight="1" outlineLevel="1" x14ac:dyDescent="0.25">
      <c r="A133" s="49" t="s">
        <v>183</v>
      </c>
      <c r="B133" s="37" t="s">
        <v>184</v>
      </c>
      <c r="C133" s="108"/>
      <c r="D133" s="108"/>
      <c r="E133" s="108"/>
      <c r="F133" s="108"/>
      <c r="G133" s="96">
        <f t="shared" si="1"/>
        <v>0</v>
      </c>
    </row>
    <row r="134" spans="1:7" ht="14.25" customHeight="1" x14ac:dyDescent="0.25">
      <c r="A134" s="33"/>
      <c r="B134" s="34"/>
      <c r="C134" s="110"/>
      <c r="D134" s="42"/>
      <c r="E134" s="42"/>
      <c r="F134" s="42"/>
      <c r="G134" s="43"/>
    </row>
    <row r="135" spans="1:7" ht="14.25" customHeight="1" x14ac:dyDescent="0.25">
      <c r="A135" s="158" t="s">
        <v>185</v>
      </c>
      <c r="B135" s="155" t="s">
        <v>186</v>
      </c>
      <c r="C135" s="156">
        <f>SUM(C137:C138)</f>
        <v>0</v>
      </c>
      <c r="D135" s="90">
        <f>SUM(D137:D138)</f>
        <v>0</v>
      </c>
      <c r="E135" s="90">
        <f>SUM(E137:E138)</f>
        <v>0</v>
      </c>
      <c r="F135" s="90">
        <f>SUM(F137:F138)</f>
        <v>0</v>
      </c>
      <c r="G135" s="157">
        <f>SUM(G137:G138)</f>
        <v>0</v>
      </c>
    </row>
    <row r="136" spans="1:7" ht="14.25" customHeight="1" x14ac:dyDescent="0.25">
      <c r="A136" s="49"/>
      <c r="B136" s="38"/>
      <c r="C136" s="109"/>
      <c r="D136" s="39"/>
      <c r="E136" s="39"/>
      <c r="F136" s="39"/>
      <c r="G136" s="40"/>
    </row>
    <row r="137" spans="1:7" ht="14.25" customHeight="1" x14ac:dyDescent="0.25">
      <c r="A137" s="49" t="s">
        <v>187</v>
      </c>
      <c r="B137" s="37" t="s">
        <v>188</v>
      </c>
      <c r="C137" s="108"/>
      <c r="D137" s="108"/>
      <c r="E137" s="108"/>
      <c r="F137" s="108"/>
      <c r="G137" s="96">
        <f>SUM(C137:F137)</f>
        <v>0</v>
      </c>
    </row>
    <row r="138" spans="1:7" ht="14.25" customHeight="1" x14ac:dyDescent="0.25">
      <c r="A138" s="49" t="s">
        <v>189</v>
      </c>
      <c r="B138" s="37" t="s">
        <v>190</v>
      </c>
      <c r="C138" s="108"/>
      <c r="D138" s="108"/>
      <c r="E138" s="108"/>
      <c r="F138" s="108"/>
      <c r="G138" s="96">
        <f>SUM(C138:F138)</f>
        <v>0</v>
      </c>
    </row>
    <row r="139" spans="1:7" ht="14.25" customHeight="1" thickBot="1" x14ac:dyDescent="0.3">
      <c r="A139" s="51"/>
      <c r="B139" s="52"/>
      <c r="C139" s="113"/>
      <c r="D139" s="53"/>
      <c r="E139" s="53"/>
      <c r="F139" s="53"/>
      <c r="G139" s="65"/>
    </row>
    <row r="140" spans="1:7" ht="18" customHeight="1" thickBot="1" x14ac:dyDescent="0.3">
      <c r="A140" s="97">
        <v>2</v>
      </c>
      <c r="B140" s="98" t="s">
        <v>22</v>
      </c>
      <c r="C140" s="148">
        <f>+C142+C149+C153+C162+C167</f>
        <v>0</v>
      </c>
      <c r="D140" s="148">
        <f>+D142+D149+D153+D162+D167</f>
        <v>0</v>
      </c>
      <c r="E140" s="148">
        <f>+E142+E149+E153+E162+E167</f>
        <v>0</v>
      </c>
      <c r="F140" s="148">
        <f>+F142+F149+F153+F162+F167</f>
        <v>0</v>
      </c>
      <c r="G140" s="149">
        <f>+G142+G149+G153+G162+G167</f>
        <v>0</v>
      </c>
    </row>
    <row r="141" spans="1:7" ht="10.199999999999999" customHeight="1" x14ac:dyDescent="0.25">
      <c r="A141" s="33"/>
      <c r="B141" s="34"/>
      <c r="C141" s="110"/>
      <c r="D141" s="42"/>
      <c r="E141" s="42"/>
      <c r="F141" s="42"/>
      <c r="G141" s="66"/>
    </row>
    <row r="142" spans="1:7" ht="14.25" customHeight="1" x14ac:dyDescent="0.25">
      <c r="A142" s="158" t="s">
        <v>191</v>
      </c>
      <c r="B142" s="155" t="s">
        <v>192</v>
      </c>
      <c r="C142" s="156">
        <f>SUM(C144:C147)</f>
        <v>0</v>
      </c>
      <c r="D142" s="90">
        <f>SUM(D144:D147)</f>
        <v>0</v>
      </c>
      <c r="E142" s="90">
        <f>SUM(E144:E147)</f>
        <v>0</v>
      </c>
      <c r="F142" s="90">
        <f>SUM(F144:F147)</f>
        <v>0</v>
      </c>
      <c r="G142" s="157">
        <f>SUM(G144:G147)</f>
        <v>0</v>
      </c>
    </row>
    <row r="143" spans="1:7" ht="14.25" customHeight="1" x14ac:dyDescent="0.25">
      <c r="A143" s="33"/>
      <c r="B143" s="34"/>
      <c r="C143" s="110"/>
      <c r="D143" s="42"/>
      <c r="E143" s="42"/>
      <c r="F143" s="42"/>
      <c r="G143" s="66"/>
    </row>
    <row r="144" spans="1:7" ht="14.25" customHeight="1" x14ac:dyDescent="0.25">
      <c r="A144" s="49" t="s">
        <v>193</v>
      </c>
      <c r="B144" s="63" t="s">
        <v>194</v>
      </c>
      <c r="C144" s="108"/>
      <c r="D144" s="108"/>
      <c r="E144" s="108"/>
      <c r="F144" s="108"/>
      <c r="G144" s="96">
        <f>SUM(C144:F144)</f>
        <v>0</v>
      </c>
    </row>
    <row r="145" spans="1:7" ht="14.25" customHeight="1" x14ac:dyDescent="0.25">
      <c r="A145" s="49" t="s">
        <v>195</v>
      </c>
      <c r="B145" s="63" t="s">
        <v>196</v>
      </c>
      <c r="C145" s="108"/>
      <c r="D145" s="108"/>
      <c r="E145" s="108"/>
      <c r="F145" s="108"/>
      <c r="G145" s="96">
        <f>SUM(C145:F145)</f>
        <v>0</v>
      </c>
    </row>
    <row r="146" spans="1:7" ht="14.25" customHeight="1" x14ac:dyDescent="0.25">
      <c r="A146" s="49" t="s">
        <v>197</v>
      </c>
      <c r="B146" s="63" t="s">
        <v>198</v>
      </c>
      <c r="C146" s="108"/>
      <c r="D146" s="108"/>
      <c r="E146" s="108"/>
      <c r="F146" s="108"/>
      <c r="G146" s="96">
        <f>SUM(C146:F146)</f>
        <v>0</v>
      </c>
    </row>
    <row r="147" spans="1:7" ht="14.25" customHeight="1" outlineLevel="1" x14ac:dyDescent="0.25">
      <c r="A147" s="49" t="s">
        <v>199</v>
      </c>
      <c r="B147" s="38" t="s">
        <v>200</v>
      </c>
      <c r="C147" s="108"/>
      <c r="D147" s="108"/>
      <c r="E147" s="108"/>
      <c r="F147" s="108"/>
      <c r="G147" s="96">
        <f>SUM(C147:F147)</f>
        <v>0</v>
      </c>
    </row>
    <row r="148" spans="1:7" ht="14.25" customHeight="1" x14ac:dyDescent="0.25">
      <c r="A148" s="49"/>
      <c r="B148" s="38"/>
      <c r="C148" s="109"/>
      <c r="D148" s="39"/>
      <c r="E148" s="39"/>
      <c r="F148" s="39"/>
      <c r="G148" s="96"/>
    </row>
    <row r="149" spans="1:7" ht="14.25" customHeight="1" x14ac:dyDescent="0.25">
      <c r="A149" s="158" t="s">
        <v>349</v>
      </c>
      <c r="B149" s="155" t="s">
        <v>358</v>
      </c>
      <c r="C149" s="156">
        <f>+C151</f>
        <v>0</v>
      </c>
      <c r="D149" s="156">
        <f>+D151</f>
        <v>0</v>
      </c>
      <c r="E149" s="156">
        <f>+E151</f>
        <v>0</v>
      </c>
      <c r="F149" s="156">
        <f>+F151</f>
        <v>0</v>
      </c>
      <c r="G149" s="165">
        <f>+G151</f>
        <v>0</v>
      </c>
    </row>
    <row r="150" spans="1:7" ht="14.25" customHeight="1" x14ac:dyDescent="0.25">
      <c r="A150" s="49"/>
      <c r="B150" s="38"/>
      <c r="C150" s="109"/>
      <c r="D150" s="39"/>
      <c r="E150" s="39"/>
      <c r="F150" s="39"/>
      <c r="G150" s="40"/>
    </row>
    <row r="151" spans="1:7" ht="14.25" customHeight="1" x14ac:dyDescent="0.25">
      <c r="A151" s="49" t="s">
        <v>351</v>
      </c>
      <c r="B151" s="38" t="s">
        <v>352</v>
      </c>
      <c r="C151" s="108"/>
      <c r="D151" s="108"/>
      <c r="E151" s="108"/>
      <c r="F151" s="108"/>
      <c r="G151" s="96">
        <f>SUM(C151:F151)</f>
        <v>0</v>
      </c>
    </row>
    <row r="152" spans="1:7" ht="14.25" customHeight="1" collapsed="1" x14ac:dyDescent="0.25">
      <c r="A152" s="49"/>
      <c r="B152" s="38"/>
      <c r="C152" s="109"/>
      <c r="D152" s="39"/>
      <c r="E152" s="39"/>
      <c r="F152" s="39"/>
      <c r="G152" s="40"/>
    </row>
    <row r="153" spans="1:7" ht="14.25" customHeight="1" x14ac:dyDescent="0.25">
      <c r="A153" s="158" t="s">
        <v>201</v>
      </c>
      <c r="B153" s="155" t="s">
        <v>277</v>
      </c>
      <c r="C153" s="156">
        <f>SUM(C155:C160)</f>
        <v>0</v>
      </c>
      <c r="D153" s="90">
        <f>SUM(D155:D160)</f>
        <v>0</v>
      </c>
      <c r="E153" s="90">
        <f>SUM(E155:E160)</f>
        <v>0</v>
      </c>
      <c r="F153" s="90">
        <f>SUM(F155:F160)</f>
        <v>0</v>
      </c>
      <c r="G153" s="157">
        <f>SUM(G155:G160)</f>
        <v>0</v>
      </c>
    </row>
    <row r="154" spans="1:7" ht="14.25" customHeight="1" x14ac:dyDescent="0.25">
      <c r="A154" s="49"/>
      <c r="B154" s="38"/>
      <c r="C154" s="109"/>
      <c r="D154" s="39"/>
      <c r="E154" s="39"/>
      <c r="F154" s="39"/>
      <c r="G154" s="40"/>
    </row>
    <row r="155" spans="1:7" ht="14.25" customHeight="1" outlineLevel="1" x14ac:dyDescent="0.25">
      <c r="A155" s="49" t="s">
        <v>202</v>
      </c>
      <c r="B155" s="38" t="s">
        <v>203</v>
      </c>
      <c r="C155" s="108"/>
      <c r="D155" s="108"/>
      <c r="E155" s="108"/>
      <c r="F155" s="108"/>
      <c r="G155" s="96">
        <f t="shared" ref="G155:G160" si="2">SUM(C155:F155)</f>
        <v>0</v>
      </c>
    </row>
    <row r="156" spans="1:7" ht="14.25" customHeight="1" outlineLevel="1" x14ac:dyDescent="0.25">
      <c r="A156" s="49" t="s">
        <v>204</v>
      </c>
      <c r="B156" s="38" t="s">
        <v>205</v>
      </c>
      <c r="C156" s="108"/>
      <c r="D156" s="108"/>
      <c r="E156" s="108"/>
      <c r="F156" s="108"/>
      <c r="G156" s="96">
        <f t="shared" si="2"/>
        <v>0</v>
      </c>
    </row>
    <row r="157" spans="1:7" ht="14.25" customHeight="1" x14ac:dyDescent="0.25">
      <c r="A157" s="49" t="s">
        <v>206</v>
      </c>
      <c r="B157" s="38" t="s">
        <v>207</v>
      </c>
      <c r="C157" s="108"/>
      <c r="D157" s="108"/>
      <c r="E157" s="108"/>
      <c r="F157" s="108"/>
      <c r="G157" s="96">
        <f t="shared" si="2"/>
        <v>0</v>
      </c>
    </row>
    <row r="158" spans="1:7" ht="14.25" customHeight="1" outlineLevel="1" x14ac:dyDescent="0.25">
      <c r="A158" s="49" t="s">
        <v>208</v>
      </c>
      <c r="B158" s="38" t="s">
        <v>209</v>
      </c>
      <c r="C158" s="108"/>
      <c r="D158" s="108"/>
      <c r="E158" s="108"/>
      <c r="F158" s="108"/>
      <c r="G158" s="96">
        <f t="shared" si="2"/>
        <v>0</v>
      </c>
    </row>
    <row r="159" spans="1:7" ht="14.25" customHeight="1" x14ac:dyDescent="0.25">
      <c r="A159" s="49" t="s">
        <v>210</v>
      </c>
      <c r="B159" s="38" t="s">
        <v>211</v>
      </c>
      <c r="C159" s="108"/>
      <c r="D159" s="108"/>
      <c r="E159" s="108"/>
      <c r="F159" s="108"/>
      <c r="G159" s="96">
        <f t="shared" si="2"/>
        <v>0</v>
      </c>
    </row>
    <row r="160" spans="1:7" ht="14.25" customHeight="1" outlineLevel="1" x14ac:dyDescent="0.25">
      <c r="A160" s="49" t="s">
        <v>212</v>
      </c>
      <c r="B160" s="38" t="s">
        <v>213</v>
      </c>
      <c r="C160" s="108"/>
      <c r="D160" s="108"/>
      <c r="E160" s="108"/>
      <c r="F160" s="108"/>
      <c r="G160" s="96">
        <f t="shared" si="2"/>
        <v>0</v>
      </c>
    </row>
    <row r="161" spans="1:7" ht="14.25" customHeight="1" x14ac:dyDescent="0.25">
      <c r="A161" s="49"/>
      <c r="B161" s="38"/>
      <c r="C161" s="109"/>
      <c r="D161" s="39"/>
      <c r="E161" s="39"/>
      <c r="F161" s="39"/>
      <c r="G161" s="40"/>
    </row>
    <row r="162" spans="1:7" ht="14.25" customHeight="1" x14ac:dyDescent="0.25">
      <c r="A162" s="158" t="s">
        <v>214</v>
      </c>
      <c r="B162" s="155" t="s">
        <v>215</v>
      </c>
      <c r="C162" s="156">
        <f>SUM(C164:C165)</f>
        <v>0</v>
      </c>
      <c r="D162" s="90">
        <f>SUM(D164:D165)</f>
        <v>0</v>
      </c>
      <c r="E162" s="90">
        <f>SUM(E164:E165)</f>
        <v>0</v>
      </c>
      <c r="F162" s="90">
        <f>SUM(F164:F165)</f>
        <v>0</v>
      </c>
      <c r="G162" s="157">
        <f>SUM(G164:G165)</f>
        <v>0</v>
      </c>
    </row>
    <row r="163" spans="1:7" ht="14.25" customHeight="1" x14ac:dyDescent="0.25">
      <c r="A163" s="49"/>
      <c r="B163" s="38"/>
      <c r="C163" s="109"/>
      <c r="D163" s="39"/>
      <c r="E163" s="39"/>
      <c r="F163" s="39"/>
      <c r="G163" s="40"/>
    </row>
    <row r="164" spans="1:7" ht="14.25" customHeight="1" x14ac:dyDescent="0.25">
      <c r="A164" s="49" t="s">
        <v>216</v>
      </c>
      <c r="B164" s="38" t="s">
        <v>217</v>
      </c>
      <c r="C164" s="108"/>
      <c r="D164" s="108"/>
      <c r="E164" s="108"/>
      <c r="F164" s="108"/>
      <c r="G164" s="96">
        <f>SUM(C164:F164)</f>
        <v>0</v>
      </c>
    </row>
    <row r="165" spans="1:7" ht="14.25" customHeight="1" x14ac:dyDescent="0.25">
      <c r="A165" s="49" t="s">
        <v>218</v>
      </c>
      <c r="B165" s="38" t="s">
        <v>219</v>
      </c>
      <c r="C165" s="108"/>
      <c r="D165" s="108"/>
      <c r="E165" s="108"/>
      <c r="F165" s="108"/>
      <c r="G165" s="96">
        <f>SUM(C165:F165)</f>
        <v>0</v>
      </c>
    </row>
    <row r="166" spans="1:7" ht="14.25" customHeight="1" x14ac:dyDescent="0.25">
      <c r="A166" s="49"/>
      <c r="B166" s="38"/>
      <c r="C166" s="109"/>
      <c r="D166" s="39"/>
      <c r="E166" s="39"/>
      <c r="F166" s="39"/>
      <c r="G166" s="40"/>
    </row>
    <row r="167" spans="1:7" ht="14.25" customHeight="1" x14ac:dyDescent="0.25">
      <c r="A167" s="158" t="s">
        <v>220</v>
      </c>
      <c r="B167" s="155" t="s">
        <v>278</v>
      </c>
      <c r="C167" s="156">
        <f>SUM(C169:C176)</f>
        <v>0</v>
      </c>
      <c r="D167" s="90">
        <f>SUM(D169:D176)</f>
        <v>0</v>
      </c>
      <c r="E167" s="90">
        <f>SUM(E169:E176)</f>
        <v>0</v>
      </c>
      <c r="F167" s="90">
        <f>SUM(F169:F176)</f>
        <v>0</v>
      </c>
      <c r="G167" s="157">
        <f>SUM(G169:G176)</f>
        <v>0</v>
      </c>
    </row>
    <row r="168" spans="1:7" ht="14.25" customHeight="1" x14ac:dyDescent="0.25">
      <c r="A168" s="49"/>
      <c r="B168" s="38"/>
      <c r="C168" s="109"/>
      <c r="D168" s="39"/>
      <c r="E168" s="39"/>
      <c r="F168" s="39"/>
      <c r="G168" s="40"/>
    </row>
    <row r="169" spans="1:7" ht="14.25" customHeight="1" x14ac:dyDescent="0.25">
      <c r="A169" s="49" t="s">
        <v>221</v>
      </c>
      <c r="B169" s="37" t="s">
        <v>222</v>
      </c>
      <c r="C169" s="108"/>
      <c r="D169" s="108"/>
      <c r="E169" s="108"/>
      <c r="F169" s="108"/>
      <c r="G169" s="96">
        <f>SUM(C169:F169)</f>
        <v>0</v>
      </c>
    </row>
    <row r="170" spans="1:7" ht="14.25" customHeight="1" x14ac:dyDescent="0.25">
      <c r="A170" s="49" t="s">
        <v>223</v>
      </c>
      <c r="B170" s="37" t="s">
        <v>279</v>
      </c>
      <c r="C170" s="108"/>
      <c r="D170" s="108"/>
      <c r="E170" s="108"/>
      <c r="F170" s="108"/>
      <c r="G170" s="96">
        <f t="shared" ref="G170:G176" si="3">SUM(C170:F170)</f>
        <v>0</v>
      </c>
    </row>
    <row r="171" spans="1:7" ht="14.25" customHeight="1" x14ac:dyDescent="0.25">
      <c r="A171" s="49" t="s">
        <v>224</v>
      </c>
      <c r="B171" s="37" t="s">
        <v>225</v>
      </c>
      <c r="C171" s="108"/>
      <c r="D171" s="108"/>
      <c r="E171" s="108"/>
      <c r="F171" s="108"/>
      <c r="G171" s="96">
        <f t="shared" si="3"/>
        <v>0</v>
      </c>
    </row>
    <row r="172" spans="1:7" ht="14.25" customHeight="1" x14ac:dyDescent="0.25">
      <c r="A172" s="49" t="s">
        <v>226</v>
      </c>
      <c r="B172" s="37" t="s">
        <v>227</v>
      </c>
      <c r="C172" s="108"/>
      <c r="D172" s="108"/>
      <c r="E172" s="108"/>
      <c r="F172" s="108"/>
      <c r="G172" s="96">
        <f t="shared" si="3"/>
        <v>0</v>
      </c>
    </row>
    <row r="173" spans="1:7" ht="14.25" customHeight="1" x14ac:dyDescent="0.25">
      <c r="A173" s="49" t="s">
        <v>228</v>
      </c>
      <c r="B173" s="37" t="s">
        <v>229</v>
      </c>
      <c r="C173" s="108"/>
      <c r="D173" s="108"/>
      <c r="E173" s="108"/>
      <c r="F173" s="108"/>
      <c r="G173" s="96">
        <f t="shared" si="3"/>
        <v>0</v>
      </c>
    </row>
    <row r="174" spans="1:7" ht="14.25" customHeight="1" outlineLevel="1" x14ac:dyDescent="0.25">
      <c r="A174" s="49" t="s">
        <v>230</v>
      </c>
      <c r="B174" s="37" t="s">
        <v>231</v>
      </c>
      <c r="C174" s="108"/>
      <c r="D174" s="108"/>
      <c r="E174" s="108"/>
      <c r="F174" s="108"/>
      <c r="G174" s="96">
        <f t="shared" si="3"/>
        <v>0</v>
      </c>
    </row>
    <row r="175" spans="1:7" ht="14.25" customHeight="1" outlineLevel="1" x14ac:dyDescent="0.25">
      <c r="A175" s="49" t="s">
        <v>366</v>
      </c>
      <c r="B175" s="122" t="s">
        <v>410</v>
      </c>
      <c r="C175" s="108"/>
      <c r="D175" s="108"/>
      <c r="E175" s="108"/>
      <c r="F175" s="108"/>
      <c r="G175" s="96">
        <f t="shared" si="3"/>
        <v>0</v>
      </c>
    </row>
    <row r="176" spans="1:7" ht="14.25" customHeight="1" x14ac:dyDescent="0.25">
      <c r="A176" s="49" t="s">
        <v>232</v>
      </c>
      <c r="B176" s="37" t="s">
        <v>233</v>
      </c>
      <c r="C176" s="108"/>
      <c r="D176" s="108"/>
      <c r="E176" s="108"/>
      <c r="F176" s="108"/>
      <c r="G176" s="96">
        <f t="shared" si="3"/>
        <v>0</v>
      </c>
    </row>
    <row r="177" spans="1:7" ht="14.25" customHeight="1" thickBot="1" x14ac:dyDescent="0.3">
      <c r="A177" s="33"/>
      <c r="B177" s="34"/>
      <c r="C177" s="110"/>
      <c r="D177" s="42"/>
      <c r="E177" s="42"/>
      <c r="F177" s="42"/>
      <c r="G177" s="43"/>
    </row>
    <row r="178" spans="1:7" ht="18" customHeight="1" thickBot="1" x14ac:dyDescent="0.3">
      <c r="A178" s="97">
        <v>5</v>
      </c>
      <c r="B178" s="98" t="s">
        <v>57</v>
      </c>
      <c r="C178" s="148">
        <f>+C180+C190+C196</f>
        <v>0</v>
      </c>
      <c r="D178" s="99">
        <f>+D180+D190+D196</f>
        <v>0</v>
      </c>
      <c r="E178" s="99">
        <f>+E180+E190+E196</f>
        <v>0</v>
      </c>
      <c r="F178" s="99">
        <f>+F180+F190+F196</f>
        <v>0</v>
      </c>
      <c r="G178" s="100">
        <f>+G180+G190+G196</f>
        <v>0</v>
      </c>
    </row>
    <row r="179" spans="1:7" ht="14.25" customHeight="1" x14ac:dyDescent="0.25">
      <c r="A179" s="20"/>
      <c r="B179" s="21"/>
      <c r="C179" s="110"/>
      <c r="D179" s="42"/>
      <c r="E179" s="42"/>
      <c r="F179" s="42"/>
      <c r="G179" s="66"/>
    </row>
    <row r="180" spans="1:7" ht="14.25" customHeight="1" x14ac:dyDescent="0.25">
      <c r="A180" s="158" t="s">
        <v>234</v>
      </c>
      <c r="B180" s="155" t="s">
        <v>235</v>
      </c>
      <c r="C180" s="156">
        <f>SUM(C182:C188)</f>
        <v>0</v>
      </c>
      <c r="D180" s="90">
        <f>SUM(D182:D188)</f>
        <v>0</v>
      </c>
      <c r="E180" s="90">
        <f>SUM(E182:E188)</f>
        <v>0</v>
      </c>
      <c r="F180" s="90">
        <f>SUM(F182:F188)</f>
        <v>0</v>
      </c>
      <c r="G180" s="157">
        <f>SUM(G182:G188)</f>
        <v>0</v>
      </c>
    </row>
    <row r="181" spans="1:7" ht="14.25" customHeight="1" x14ac:dyDescent="0.25">
      <c r="A181" s="20"/>
      <c r="B181" s="21"/>
      <c r="C181" s="110"/>
      <c r="D181" s="42"/>
      <c r="E181" s="42"/>
      <c r="F181" s="42"/>
      <c r="G181" s="66"/>
    </row>
    <row r="182" spans="1:7" ht="14.25" customHeight="1" outlineLevel="1" x14ac:dyDescent="0.25">
      <c r="A182" s="49" t="s">
        <v>236</v>
      </c>
      <c r="B182" s="37" t="s">
        <v>237</v>
      </c>
      <c r="C182" s="108"/>
      <c r="D182" s="108"/>
      <c r="E182" s="108"/>
      <c r="F182" s="108"/>
      <c r="G182" s="96">
        <f>SUM(C182:F182)</f>
        <v>0</v>
      </c>
    </row>
    <row r="183" spans="1:7" ht="14.25" customHeight="1" x14ac:dyDescent="0.25">
      <c r="A183" s="49" t="s">
        <v>238</v>
      </c>
      <c r="B183" s="37" t="s">
        <v>239</v>
      </c>
      <c r="C183" s="108"/>
      <c r="D183" s="108"/>
      <c r="E183" s="108"/>
      <c r="F183" s="108"/>
      <c r="G183" s="96">
        <f t="shared" ref="G183:G188" si="4">SUM(C183:F183)</f>
        <v>0</v>
      </c>
    </row>
    <row r="184" spans="1:7" ht="14.25" customHeight="1" x14ac:dyDescent="0.25">
      <c r="A184" s="49" t="s">
        <v>240</v>
      </c>
      <c r="B184" s="37" t="s">
        <v>241</v>
      </c>
      <c r="C184" s="108"/>
      <c r="D184" s="108"/>
      <c r="E184" s="108"/>
      <c r="F184" s="108"/>
      <c r="G184" s="96">
        <f t="shared" si="4"/>
        <v>0</v>
      </c>
    </row>
    <row r="185" spans="1:7" ht="14.25" customHeight="1" x14ac:dyDescent="0.25">
      <c r="A185" s="49" t="s">
        <v>242</v>
      </c>
      <c r="B185" s="37" t="s">
        <v>243</v>
      </c>
      <c r="C185" s="108"/>
      <c r="D185" s="108"/>
      <c r="E185" s="108"/>
      <c r="F185" s="108"/>
      <c r="G185" s="96">
        <f t="shared" si="4"/>
        <v>0</v>
      </c>
    </row>
    <row r="186" spans="1:7" ht="14.25" customHeight="1" outlineLevel="1" x14ac:dyDescent="0.25">
      <c r="A186" s="49" t="s">
        <v>244</v>
      </c>
      <c r="B186" s="37" t="s">
        <v>245</v>
      </c>
      <c r="C186" s="108"/>
      <c r="D186" s="108"/>
      <c r="E186" s="108"/>
      <c r="F186" s="108"/>
      <c r="G186" s="96">
        <f t="shared" si="4"/>
        <v>0</v>
      </c>
    </row>
    <row r="187" spans="1:7" ht="14.25" customHeight="1" outlineLevel="1" x14ac:dyDescent="0.25">
      <c r="A187" s="49" t="s">
        <v>246</v>
      </c>
      <c r="B187" s="37" t="s">
        <v>247</v>
      </c>
      <c r="C187" s="108"/>
      <c r="D187" s="108"/>
      <c r="E187" s="108"/>
      <c r="F187" s="108"/>
      <c r="G187" s="96">
        <f t="shared" si="4"/>
        <v>0</v>
      </c>
    </row>
    <row r="188" spans="1:7" ht="14.25" customHeight="1" outlineLevel="1" collapsed="1" x14ac:dyDescent="0.25">
      <c r="A188" s="49" t="s">
        <v>248</v>
      </c>
      <c r="B188" s="94" t="s">
        <v>249</v>
      </c>
      <c r="C188" s="108"/>
      <c r="D188" s="108"/>
      <c r="E188" s="108"/>
      <c r="F188" s="108"/>
      <c r="G188" s="96">
        <f t="shared" si="4"/>
        <v>0</v>
      </c>
    </row>
    <row r="189" spans="1:7" ht="14.25" customHeight="1" outlineLevel="1" x14ac:dyDescent="0.25">
      <c r="A189" s="49"/>
      <c r="B189" s="67"/>
      <c r="C189" s="109"/>
      <c r="D189" s="39"/>
      <c r="E189" s="39"/>
      <c r="F189" s="39"/>
      <c r="G189" s="40"/>
    </row>
    <row r="190" spans="1:7" ht="14.25" customHeight="1" outlineLevel="1" x14ac:dyDescent="0.25">
      <c r="A190" s="158" t="s">
        <v>250</v>
      </c>
      <c r="B190" s="155" t="s">
        <v>251</v>
      </c>
      <c r="C190" s="156">
        <f>SUM(C192:C194)</f>
        <v>0</v>
      </c>
      <c r="D190" s="90">
        <f>SUM(D192:D194)</f>
        <v>0</v>
      </c>
      <c r="E190" s="90">
        <f>SUM(E192:E194)</f>
        <v>0</v>
      </c>
      <c r="F190" s="90">
        <f>SUM(F192:F194)</f>
        <v>0</v>
      </c>
      <c r="G190" s="157">
        <f>SUM(G192:G194)</f>
        <v>0</v>
      </c>
    </row>
    <row r="191" spans="1:7" ht="14.25" customHeight="1" outlineLevel="1" x14ac:dyDescent="0.25">
      <c r="A191" s="49"/>
      <c r="B191" s="67"/>
      <c r="C191" s="109"/>
      <c r="D191" s="39"/>
      <c r="E191" s="39"/>
      <c r="F191" s="39"/>
      <c r="G191" s="40"/>
    </row>
    <row r="192" spans="1:7" ht="14.25" customHeight="1" outlineLevel="1" x14ac:dyDescent="0.25">
      <c r="A192" s="49" t="s">
        <v>252</v>
      </c>
      <c r="B192" s="38" t="s">
        <v>253</v>
      </c>
      <c r="C192" s="108"/>
      <c r="D192" s="108"/>
      <c r="E192" s="108"/>
      <c r="F192" s="108"/>
      <c r="G192" s="96">
        <f>SUM(C192:F192)</f>
        <v>0</v>
      </c>
    </row>
    <row r="193" spans="1:7" ht="14.25" customHeight="1" outlineLevel="1" x14ac:dyDescent="0.25">
      <c r="A193" s="49" t="s">
        <v>254</v>
      </c>
      <c r="B193" s="68" t="s">
        <v>255</v>
      </c>
      <c r="C193" s="108"/>
      <c r="D193" s="108"/>
      <c r="E193" s="108"/>
      <c r="F193" s="108"/>
      <c r="G193" s="96">
        <f>SUM(C193:F193)</f>
        <v>0</v>
      </c>
    </row>
    <row r="194" spans="1:7" ht="14.25" customHeight="1" outlineLevel="1" x14ac:dyDescent="0.25">
      <c r="A194" s="49" t="s">
        <v>256</v>
      </c>
      <c r="B194" s="68" t="s">
        <v>257</v>
      </c>
      <c r="C194" s="108"/>
      <c r="D194" s="108"/>
      <c r="E194" s="108"/>
      <c r="F194" s="108"/>
      <c r="G194" s="96">
        <f>SUM(C194:F194)</f>
        <v>0</v>
      </c>
    </row>
    <row r="195" spans="1:7" ht="14.25" customHeight="1" outlineLevel="1" x14ac:dyDescent="0.25">
      <c r="A195" s="69"/>
      <c r="B195" s="68"/>
      <c r="C195" s="115"/>
      <c r="D195" s="70"/>
      <c r="E195" s="70"/>
      <c r="F195" s="70"/>
      <c r="G195" s="71"/>
    </row>
    <row r="196" spans="1:7" ht="14.25" customHeight="1" outlineLevel="1" x14ac:dyDescent="0.25">
      <c r="A196" s="158" t="s">
        <v>258</v>
      </c>
      <c r="B196" s="155" t="s">
        <v>251</v>
      </c>
      <c r="C196" s="156">
        <f>SUM(C198)</f>
        <v>0</v>
      </c>
      <c r="D196" s="90">
        <f>SUM(D198)</f>
        <v>0</v>
      </c>
      <c r="E196" s="90">
        <f>SUM(E198)</f>
        <v>0</v>
      </c>
      <c r="F196" s="90">
        <f>SUM(F198)</f>
        <v>0</v>
      </c>
      <c r="G196" s="157">
        <f>SUM(G198)</f>
        <v>0</v>
      </c>
    </row>
    <row r="197" spans="1:7" ht="14.25" customHeight="1" outlineLevel="1" x14ac:dyDescent="0.25">
      <c r="A197" s="69"/>
      <c r="B197" s="68"/>
      <c r="C197" s="115"/>
      <c r="D197" s="70"/>
      <c r="E197" s="70"/>
      <c r="F197" s="70"/>
      <c r="G197" s="71"/>
    </row>
    <row r="198" spans="1:7" ht="14.25" customHeight="1" outlineLevel="1" x14ac:dyDescent="0.25">
      <c r="A198" s="49" t="s">
        <v>259</v>
      </c>
      <c r="B198" s="68" t="s">
        <v>260</v>
      </c>
      <c r="C198" s="108"/>
      <c r="D198" s="108"/>
      <c r="E198" s="108"/>
      <c r="F198" s="108"/>
      <c r="G198" s="96">
        <f>SUM(C198:F198)</f>
        <v>0</v>
      </c>
    </row>
    <row r="199" spans="1:7" ht="11.4" customHeight="1" thickBot="1" x14ac:dyDescent="0.3">
      <c r="A199" s="72"/>
      <c r="B199" s="73"/>
      <c r="C199" s="113"/>
      <c r="D199" s="53"/>
      <c r="E199" s="53"/>
      <c r="F199" s="53"/>
      <c r="G199" s="65"/>
    </row>
    <row r="200" spans="1:7" ht="18" customHeight="1" thickBot="1" x14ac:dyDescent="0.3">
      <c r="A200" s="97">
        <v>6</v>
      </c>
      <c r="B200" s="98" t="s">
        <v>261</v>
      </c>
      <c r="C200" s="148">
        <f>+C202+C207+C215+C211</f>
        <v>0</v>
      </c>
      <c r="D200" s="99">
        <f>+D202+D207+D215</f>
        <v>0</v>
      </c>
      <c r="E200" s="99">
        <f>+E202+E207+E215</f>
        <v>0</v>
      </c>
      <c r="F200" s="99">
        <f>+F202+F207+F215</f>
        <v>0</v>
      </c>
      <c r="G200" s="100">
        <f>+G202+G207+G215+G211</f>
        <v>0</v>
      </c>
    </row>
    <row r="201" spans="1:7" ht="14.25" customHeight="1" x14ac:dyDescent="0.25">
      <c r="A201" s="20"/>
      <c r="B201" s="21"/>
      <c r="C201" s="110"/>
      <c r="D201" s="42"/>
      <c r="E201" s="42"/>
      <c r="F201" s="42"/>
      <c r="G201" s="66"/>
    </row>
    <row r="202" spans="1:7" ht="14.25" customHeight="1" x14ac:dyDescent="0.25">
      <c r="A202" s="158" t="s">
        <v>262</v>
      </c>
      <c r="B202" s="155" t="s">
        <v>280</v>
      </c>
      <c r="C202" s="156">
        <f>SUM(C204:C205)</f>
        <v>0</v>
      </c>
      <c r="D202" s="156">
        <f>SUM(D204:D205)</f>
        <v>0</v>
      </c>
      <c r="E202" s="156">
        <f>SUM(E204:E205)</f>
        <v>0</v>
      </c>
      <c r="F202" s="156">
        <f>SUM(F204:F205)</f>
        <v>0</v>
      </c>
      <c r="G202" s="165">
        <f>SUM(G204:G205)</f>
        <v>0</v>
      </c>
    </row>
    <row r="203" spans="1:7" ht="14.25" customHeight="1" x14ac:dyDescent="0.25">
      <c r="A203" s="20"/>
      <c r="B203" s="21"/>
      <c r="C203" s="110"/>
      <c r="D203" s="42"/>
      <c r="E203" s="42"/>
      <c r="F203" s="42"/>
      <c r="G203" s="66"/>
    </row>
    <row r="204" spans="1:7" ht="14.25" customHeight="1" outlineLevel="1" x14ac:dyDescent="0.25">
      <c r="A204" s="49" t="s">
        <v>353</v>
      </c>
      <c r="B204" s="37" t="s">
        <v>354</v>
      </c>
      <c r="C204" s="108"/>
      <c r="D204" s="108"/>
      <c r="E204" s="108"/>
      <c r="F204" s="108"/>
      <c r="G204" s="96">
        <f>SUM(C204:F204)</f>
        <v>0</v>
      </c>
    </row>
    <row r="205" spans="1:7" ht="14.25" customHeight="1" x14ac:dyDescent="0.25">
      <c r="A205" s="74" t="s">
        <v>263</v>
      </c>
      <c r="B205" s="57" t="s">
        <v>59</v>
      </c>
      <c r="C205" s="108"/>
      <c r="D205" s="108"/>
      <c r="E205" s="108"/>
      <c r="F205" s="108"/>
      <c r="G205" s="96">
        <f>SUM(C205:F205)</f>
        <v>0</v>
      </c>
    </row>
    <row r="206" spans="1:7" ht="14.25" customHeight="1" x14ac:dyDescent="0.25">
      <c r="A206" s="74"/>
      <c r="B206" s="75"/>
      <c r="C206" s="109"/>
      <c r="D206" s="39"/>
      <c r="E206" s="39"/>
      <c r="F206" s="39"/>
      <c r="G206" s="40"/>
    </row>
    <row r="207" spans="1:7" ht="14.25" customHeight="1" x14ac:dyDescent="0.25">
      <c r="A207" s="158" t="s">
        <v>264</v>
      </c>
      <c r="B207" s="155" t="s">
        <v>265</v>
      </c>
      <c r="C207" s="156">
        <f>SUM(C209)</f>
        <v>0</v>
      </c>
      <c r="D207" s="90">
        <f>SUM(D209)</f>
        <v>0</v>
      </c>
      <c r="E207" s="90">
        <f>SUM(E209)</f>
        <v>0</v>
      </c>
      <c r="F207" s="90">
        <f>SUM(F209)</f>
        <v>0</v>
      </c>
      <c r="G207" s="157">
        <f>SUM(G209)</f>
        <v>0</v>
      </c>
    </row>
    <row r="208" spans="1:7" ht="14.25" customHeight="1" x14ac:dyDescent="0.25">
      <c r="A208" s="74"/>
      <c r="B208" s="75"/>
      <c r="C208" s="109"/>
      <c r="D208" s="39"/>
      <c r="E208" s="39"/>
      <c r="F208" s="39"/>
      <c r="G208" s="40"/>
    </row>
    <row r="209" spans="1:7" ht="13.2" customHeight="1" x14ac:dyDescent="0.25">
      <c r="A209" s="74" t="s">
        <v>345</v>
      </c>
      <c r="B209" s="57" t="s">
        <v>36</v>
      </c>
      <c r="C209" s="108"/>
      <c r="D209" s="108"/>
      <c r="E209" s="108"/>
      <c r="F209" s="108"/>
      <c r="G209" s="96">
        <f>SUM(C209:F209)</f>
        <v>0</v>
      </c>
    </row>
    <row r="210" spans="1:7" ht="13.2" customHeight="1" x14ac:dyDescent="0.25">
      <c r="A210" s="74"/>
      <c r="B210" s="75"/>
      <c r="C210" s="109"/>
      <c r="D210" s="109"/>
      <c r="E210" s="109"/>
      <c r="F210" s="109"/>
      <c r="G210" s="96"/>
    </row>
    <row r="211" spans="1:7" ht="13.2" customHeight="1" x14ac:dyDescent="0.25">
      <c r="A211" s="158" t="s">
        <v>378</v>
      </c>
      <c r="B211" s="155" t="s">
        <v>379</v>
      </c>
      <c r="C211" s="156">
        <f>SUM(C213)</f>
        <v>0</v>
      </c>
      <c r="D211" s="90">
        <f>SUM(D213)</f>
        <v>0</v>
      </c>
      <c r="E211" s="90">
        <f>SUM(E213)</f>
        <v>0</v>
      </c>
      <c r="F211" s="90">
        <f>SUM(F213)</f>
        <v>0</v>
      </c>
      <c r="G211" s="157">
        <f>SUM(G213)</f>
        <v>0</v>
      </c>
    </row>
    <row r="212" spans="1:7" ht="13.2" customHeight="1" x14ac:dyDescent="0.25">
      <c r="A212" s="74"/>
      <c r="B212" s="75"/>
      <c r="C212" s="109"/>
      <c r="D212" s="39"/>
      <c r="E212" s="39"/>
      <c r="F212" s="39"/>
      <c r="G212" s="40"/>
    </row>
    <row r="213" spans="1:7" ht="13.2" customHeight="1" x14ac:dyDescent="0.25">
      <c r="A213" s="74" t="s">
        <v>380</v>
      </c>
      <c r="B213" s="57" t="s">
        <v>381</v>
      </c>
      <c r="C213" s="108"/>
      <c r="D213" s="108"/>
      <c r="E213" s="108"/>
      <c r="F213" s="108"/>
      <c r="G213" s="96">
        <f>SUM(C213:F213)</f>
        <v>0</v>
      </c>
    </row>
    <row r="214" spans="1:7" ht="14.25" customHeight="1" x14ac:dyDescent="0.25">
      <c r="A214" s="74"/>
      <c r="B214" s="75"/>
      <c r="C214" s="109"/>
      <c r="D214" s="39"/>
      <c r="E214" s="39"/>
      <c r="F214" s="39"/>
      <c r="G214" s="40"/>
    </row>
    <row r="215" spans="1:7" ht="14.25" customHeight="1" x14ac:dyDescent="0.25">
      <c r="A215" s="158" t="s">
        <v>266</v>
      </c>
      <c r="B215" s="155" t="s">
        <v>281</v>
      </c>
      <c r="C215" s="156">
        <f>SUM(C217:C218)</f>
        <v>0</v>
      </c>
      <c r="D215" s="156">
        <f>SUM(D217:D218)</f>
        <v>0</v>
      </c>
      <c r="E215" s="156">
        <f>SUM(E217:E218)</f>
        <v>0</v>
      </c>
      <c r="F215" s="156">
        <f>SUM(F217:F218)</f>
        <v>0</v>
      </c>
      <c r="G215" s="165">
        <f>SUM(G217:G218)</f>
        <v>0</v>
      </c>
    </row>
    <row r="216" spans="1:7" ht="14.25" customHeight="1" x14ac:dyDescent="0.25">
      <c r="A216" s="74"/>
      <c r="B216" s="75"/>
      <c r="C216" s="109"/>
      <c r="D216" s="39"/>
      <c r="E216" s="39"/>
      <c r="F216" s="39"/>
      <c r="G216" s="40"/>
    </row>
    <row r="217" spans="1:7" ht="14.25" customHeight="1" x14ac:dyDescent="0.25">
      <c r="A217" s="49" t="s">
        <v>267</v>
      </c>
      <c r="B217" s="37" t="s">
        <v>282</v>
      </c>
      <c r="C217" s="108"/>
      <c r="D217" s="108"/>
      <c r="E217" s="108"/>
      <c r="F217" s="108"/>
      <c r="G217" s="96">
        <f>SUM(C217:F217)</f>
        <v>0</v>
      </c>
    </row>
    <row r="218" spans="1:7" ht="14.25" customHeight="1" x14ac:dyDescent="0.25">
      <c r="A218" s="49" t="s">
        <v>359</v>
      </c>
      <c r="B218" s="37" t="s">
        <v>368</v>
      </c>
      <c r="C218" s="108"/>
      <c r="D218" s="108"/>
      <c r="E218" s="108"/>
      <c r="F218" s="108"/>
      <c r="G218" s="96">
        <f>SUM(C218:F218)</f>
        <v>0</v>
      </c>
    </row>
    <row r="219" spans="1:7" ht="10.95" customHeight="1" thickBot="1" x14ac:dyDescent="0.3">
      <c r="A219" s="51"/>
      <c r="B219" s="52"/>
      <c r="C219" s="113"/>
      <c r="D219" s="53"/>
      <c r="E219" s="53"/>
      <c r="F219" s="53"/>
      <c r="G219" s="54"/>
    </row>
    <row r="220" spans="1:7" ht="18" customHeight="1" thickBot="1" x14ac:dyDescent="0.3">
      <c r="A220" s="97">
        <v>9</v>
      </c>
      <c r="B220" s="98" t="s">
        <v>58</v>
      </c>
      <c r="C220" s="148">
        <f>+C222</f>
        <v>0</v>
      </c>
      <c r="D220" s="148">
        <f>+D222</f>
        <v>0</v>
      </c>
      <c r="E220" s="148">
        <f>+E222</f>
        <v>0</v>
      </c>
      <c r="F220" s="148">
        <f>+F222</f>
        <v>0</v>
      </c>
      <c r="G220" s="149">
        <f>+G222</f>
        <v>0</v>
      </c>
    </row>
    <row r="221" spans="1:7" ht="14.25" customHeight="1" x14ac:dyDescent="0.25">
      <c r="A221" s="20"/>
      <c r="B221" s="21"/>
      <c r="C221" s="110"/>
      <c r="D221" s="42"/>
      <c r="E221" s="42"/>
      <c r="F221" s="42"/>
      <c r="G221" s="66"/>
    </row>
    <row r="222" spans="1:7" ht="14.25" customHeight="1" x14ac:dyDescent="0.25">
      <c r="A222" s="158" t="s">
        <v>268</v>
      </c>
      <c r="B222" s="155" t="s">
        <v>269</v>
      </c>
      <c r="C222" s="156">
        <f>SUM(C224:C225)</f>
        <v>0</v>
      </c>
      <c r="D222" s="90">
        <f>SUM(D224:D225)</f>
        <v>0</v>
      </c>
      <c r="E222" s="90">
        <f>SUM(E224:E225)</f>
        <v>0</v>
      </c>
      <c r="F222" s="90">
        <f>SUM(F224:F225)</f>
        <v>0</v>
      </c>
      <c r="G222" s="157">
        <f>SUM(G224:G225)</f>
        <v>0</v>
      </c>
    </row>
    <row r="223" spans="1:7" ht="14.25" customHeight="1" x14ac:dyDescent="0.25">
      <c r="A223" s="74"/>
      <c r="B223" s="75"/>
      <c r="C223" s="109"/>
      <c r="D223" s="39"/>
      <c r="E223" s="39"/>
      <c r="F223" s="39"/>
      <c r="G223" s="48"/>
    </row>
    <row r="224" spans="1:7" ht="14.25" customHeight="1" outlineLevel="1" x14ac:dyDescent="0.25">
      <c r="A224" s="69" t="s">
        <v>270</v>
      </c>
      <c r="B224" s="76" t="s">
        <v>60</v>
      </c>
      <c r="C224" s="108"/>
      <c r="D224" s="108"/>
      <c r="E224" s="108"/>
      <c r="F224" s="108"/>
      <c r="G224" s="96">
        <f>SUM(C224:F224)</f>
        <v>0</v>
      </c>
    </row>
    <row r="225" spans="1:7" ht="14.25" customHeight="1" x14ac:dyDescent="0.25">
      <c r="A225" s="69" t="s">
        <v>271</v>
      </c>
      <c r="B225" s="77" t="s">
        <v>283</v>
      </c>
      <c r="C225" s="108"/>
      <c r="D225" s="108"/>
      <c r="E225" s="108"/>
      <c r="F225" s="108"/>
      <c r="G225" s="96">
        <f>SUM(C225:F225)</f>
        <v>0</v>
      </c>
    </row>
    <row r="226" spans="1:7" ht="9.6" customHeight="1" thickBot="1" x14ac:dyDescent="0.3">
      <c r="A226" s="51"/>
      <c r="B226" s="52"/>
      <c r="C226" s="113"/>
      <c r="D226" s="53"/>
      <c r="E226" s="53"/>
      <c r="F226" s="53"/>
      <c r="G226" s="78"/>
    </row>
    <row r="227" spans="1:7" ht="10.199999999999999" customHeight="1" thickBot="1" x14ac:dyDescent="0.3">
      <c r="A227" s="3"/>
      <c r="B227" s="4"/>
      <c r="C227" s="116"/>
      <c r="D227" s="5"/>
      <c r="E227" s="5"/>
      <c r="F227" s="5"/>
      <c r="G227" s="5"/>
    </row>
    <row r="228" spans="1:7" ht="13.8" thickTop="1" x14ac:dyDescent="0.25"/>
  </sheetData>
  <mergeCells count="8">
    <mergeCell ref="A32:B32"/>
    <mergeCell ref="C37:E37"/>
    <mergeCell ref="A2:G2"/>
    <mergeCell ref="A3:G3"/>
    <mergeCell ref="A4:G4"/>
    <mergeCell ref="A5:G5"/>
    <mergeCell ref="A13:B13"/>
    <mergeCell ref="A31:B3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theme="9" tint="-0.499984740745262"/>
  </sheetPr>
  <dimension ref="A2:L61"/>
  <sheetViews>
    <sheetView showGridLines="0" topLeftCell="A7" zoomScale="96" zoomScaleNormal="96" workbookViewId="0">
      <selection activeCell="E62" sqref="E62"/>
    </sheetView>
  </sheetViews>
  <sheetFormatPr baseColWidth="10" defaultColWidth="11.44140625" defaultRowHeight="16.2" outlineLevelRow="2" x14ac:dyDescent="0.4"/>
  <cols>
    <col min="1" max="1" width="18.5546875" style="362" customWidth="1"/>
    <col min="2" max="2" width="1.44140625" style="362" customWidth="1"/>
    <col min="3" max="3" width="1.33203125" style="362" customWidth="1"/>
    <col min="4" max="4" width="2.109375" style="362" hidden="1" customWidth="1"/>
    <col min="5" max="5" width="43" style="362" customWidth="1"/>
    <col min="6" max="6" width="11.88671875" style="362" customWidth="1"/>
    <col min="7" max="8" width="16.44140625" style="383" bestFit="1" customWidth="1"/>
    <col min="9" max="9" width="13.5546875" style="362" bestFit="1" customWidth="1"/>
    <col min="10" max="10" width="15.88671875" style="362" bestFit="1" customWidth="1"/>
    <col min="11" max="11" width="18.33203125" style="362" bestFit="1" customWidth="1"/>
    <col min="12" max="12" width="13.6640625" style="362" bestFit="1" customWidth="1"/>
    <col min="13" max="16384" width="11.44140625" style="362"/>
  </cols>
  <sheetData>
    <row r="2" spans="1:11" x14ac:dyDescent="0.4">
      <c r="A2" s="360"/>
      <c r="B2" s="360"/>
      <c r="C2" s="360"/>
      <c r="D2" s="360"/>
      <c r="E2" s="1472"/>
      <c r="F2" s="1472"/>
      <c r="G2" s="1472"/>
      <c r="H2" s="1472"/>
    </row>
    <row r="3" spans="1:11" x14ac:dyDescent="0.4">
      <c r="A3" s="1473" t="s">
        <v>303</v>
      </c>
      <c r="B3" s="1473"/>
      <c r="C3" s="1473"/>
      <c r="D3" s="1473"/>
      <c r="E3" s="1473"/>
      <c r="F3" s="1473"/>
      <c r="G3" s="1473"/>
      <c r="H3" s="1473"/>
    </row>
    <row r="4" spans="1:11" ht="16.8" thickBot="1" x14ac:dyDescent="0.45">
      <c r="A4" s="1474" t="s">
        <v>285</v>
      </c>
      <c r="B4" s="1474"/>
      <c r="C4" s="1474"/>
      <c r="D4" s="1474"/>
      <c r="E4" s="1474"/>
      <c r="F4" s="1474"/>
      <c r="G4" s="1474"/>
      <c r="H4" s="1474"/>
    </row>
    <row r="5" spans="1:11" ht="16.8" thickTop="1" x14ac:dyDescent="0.4">
      <c r="A5" s="363"/>
      <c r="B5" s="363"/>
      <c r="C5" s="363"/>
      <c r="D5" s="363"/>
      <c r="E5" s="363"/>
      <c r="F5" s="363"/>
      <c r="G5" s="376"/>
      <c r="H5" s="376"/>
    </row>
    <row r="6" spans="1:11" x14ac:dyDescent="0.4">
      <c r="A6" s="1473" t="s">
        <v>286</v>
      </c>
      <c r="B6" s="1473"/>
      <c r="C6" s="1473"/>
      <c r="D6" s="1473"/>
      <c r="E6" s="1473"/>
      <c r="F6" s="1473"/>
      <c r="G6" s="1473"/>
      <c r="H6" s="1473"/>
    </row>
    <row r="7" spans="1:11" x14ac:dyDescent="0.4">
      <c r="A7" s="1472" t="s">
        <v>1271</v>
      </c>
      <c r="B7" s="1472"/>
      <c r="C7" s="1472"/>
      <c r="D7" s="1472"/>
      <c r="E7" s="1472"/>
      <c r="F7" s="1472"/>
      <c r="G7" s="1472"/>
      <c r="H7" s="1472"/>
    </row>
    <row r="8" spans="1:11" x14ac:dyDescent="0.4">
      <c r="A8" s="360"/>
      <c r="B8" s="360"/>
      <c r="C8" s="360"/>
      <c r="D8" s="360"/>
      <c r="E8" s="377"/>
      <c r="F8" s="377"/>
      <c r="G8" s="378"/>
      <c r="H8" s="378"/>
    </row>
    <row r="9" spans="1:11" ht="28.5" customHeight="1" thickBot="1" x14ac:dyDescent="0.5">
      <c r="A9" s="379"/>
      <c r="B9" s="379"/>
      <c r="C9" s="379"/>
      <c r="D9" s="379"/>
      <c r="E9" s="380" t="s">
        <v>287</v>
      </c>
      <c r="F9" s="380"/>
      <c r="G9" s="381" t="s">
        <v>342</v>
      </c>
      <c r="H9" s="382">
        <f>+H19+H14+H35</f>
        <v>15002038951.450001</v>
      </c>
      <c r="I9" s="383"/>
      <c r="J9" s="384"/>
      <c r="K9" s="384"/>
    </row>
    <row r="10" spans="1:11" ht="16.8" hidden="1" thickTop="1" x14ac:dyDescent="0.4">
      <c r="A10" s="360"/>
      <c r="B10" s="360"/>
      <c r="C10" s="360"/>
      <c r="D10" s="360"/>
      <c r="E10" s="377"/>
      <c r="F10" s="377"/>
      <c r="G10" s="385"/>
      <c r="H10" s="385"/>
    </row>
    <row r="11" spans="1:11" hidden="1" x14ac:dyDescent="0.4">
      <c r="A11" s="360"/>
      <c r="B11" s="360"/>
      <c r="C11" s="360"/>
      <c r="D11" s="360"/>
      <c r="E11" s="377"/>
      <c r="F11" s="377"/>
      <c r="G11" s="385"/>
      <c r="H11" s="385"/>
    </row>
    <row r="12" spans="1:11" hidden="1" x14ac:dyDescent="0.4">
      <c r="A12" s="386" t="s">
        <v>288</v>
      </c>
      <c r="B12" s="387" t="s">
        <v>289</v>
      </c>
      <c r="C12" s="387"/>
      <c r="D12" s="387"/>
      <c r="E12" s="387"/>
      <c r="F12" s="387"/>
      <c r="G12" s="388"/>
      <c r="H12" s="388"/>
    </row>
    <row r="13" spans="1:11" hidden="1" x14ac:dyDescent="0.4">
      <c r="A13" s="389"/>
      <c r="B13" s="389"/>
      <c r="C13" s="390"/>
      <c r="D13" s="390"/>
      <c r="E13" s="390"/>
      <c r="F13" s="390"/>
      <c r="G13" s="391"/>
      <c r="H13" s="391"/>
    </row>
    <row r="14" spans="1:11" hidden="1" outlineLevel="1" x14ac:dyDescent="0.4">
      <c r="A14" s="392" t="s">
        <v>290</v>
      </c>
      <c r="B14" s="392"/>
      <c r="C14" s="393" t="s">
        <v>291</v>
      </c>
      <c r="D14" s="393"/>
      <c r="E14" s="393" t="s">
        <v>291</v>
      </c>
      <c r="F14" s="393"/>
      <c r="G14" s="394"/>
      <c r="H14" s="395">
        <f>+G16</f>
        <v>0</v>
      </c>
    </row>
    <row r="15" spans="1:11" hidden="1" outlineLevel="1" x14ac:dyDescent="0.4">
      <c r="A15" s="389"/>
      <c r="B15" s="389"/>
      <c r="C15" s="396"/>
      <c r="D15" s="396"/>
      <c r="E15" s="396"/>
      <c r="F15" s="396"/>
      <c r="G15" s="391"/>
      <c r="H15" s="397"/>
    </row>
    <row r="16" spans="1:11" hidden="1" outlineLevel="1" x14ac:dyDescent="0.4">
      <c r="A16" s="389" t="s">
        <v>292</v>
      </c>
      <c r="B16" s="389"/>
      <c r="C16" s="398" t="s">
        <v>293</v>
      </c>
      <c r="D16" s="398"/>
      <c r="E16" s="398" t="s">
        <v>293</v>
      </c>
      <c r="F16" s="398"/>
      <c r="G16" s="399">
        <f>SUM(G17)</f>
        <v>0</v>
      </c>
      <c r="H16" s="399"/>
    </row>
    <row r="17" spans="1:12" hidden="1" outlineLevel="1" x14ac:dyDescent="0.4">
      <c r="A17" s="400" t="s">
        <v>294</v>
      </c>
      <c r="B17" s="400"/>
      <c r="C17" s="401" t="s">
        <v>295</v>
      </c>
      <c r="D17" s="401"/>
      <c r="E17" s="402" t="s">
        <v>295</v>
      </c>
      <c r="F17" s="402"/>
      <c r="G17" s="403">
        <v>0</v>
      </c>
      <c r="H17" s="399"/>
    </row>
    <row r="18" spans="1:12" ht="16.8" outlineLevel="1" thickTop="1" x14ac:dyDescent="0.4">
      <c r="A18" s="400"/>
      <c r="B18" s="400"/>
      <c r="C18" s="401"/>
      <c r="D18" s="401"/>
      <c r="E18" s="401"/>
      <c r="F18" s="401"/>
      <c r="G18" s="404"/>
      <c r="H18" s="399"/>
    </row>
    <row r="19" spans="1:12" x14ac:dyDescent="0.4">
      <c r="A19" s="392" t="s">
        <v>296</v>
      </c>
      <c r="B19" s="392"/>
      <c r="C19" s="393"/>
      <c r="D19" s="393"/>
      <c r="E19" s="393" t="s">
        <v>20</v>
      </c>
      <c r="F19" s="393"/>
      <c r="G19" s="405"/>
      <c r="H19" s="406">
        <f>+G21+G29</f>
        <v>13386793930.49</v>
      </c>
    </row>
    <row r="20" spans="1:12" x14ac:dyDescent="0.4">
      <c r="A20" s="389"/>
      <c r="B20" s="389"/>
      <c r="C20" s="396"/>
      <c r="D20" s="396"/>
      <c r="E20" s="396"/>
      <c r="F20" s="396"/>
      <c r="G20" s="404"/>
      <c r="H20" s="399"/>
    </row>
    <row r="21" spans="1:12" x14ac:dyDescent="0.4">
      <c r="A21" s="407" t="s">
        <v>297</v>
      </c>
      <c r="B21" s="407"/>
      <c r="C21" s="408"/>
      <c r="D21" s="408" t="s">
        <v>307</v>
      </c>
      <c r="E21" s="408"/>
      <c r="F21" s="408"/>
      <c r="G21" s="409">
        <f>SUM(G23:G27)</f>
        <v>13386793930.49</v>
      </c>
      <c r="H21" s="410"/>
    </row>
    <row r="22" spans="1:12" s="413" customFormat="1" x14ac:dyDescent="0.4">
      <c r="A22" s="411"/>
      <c r="B22" s="411"/>
      <c r="C22" s="411"/>
      <c r="D22" s="411"/>
      <c r="E22" s="396"/>
      <c r="F22" s="396"/>
      <c r="G22" s="397"/>
      <c r="H22" s="412"/>
    </row>
    <row r="23" spans="1:12" x14ac:dyDescent="0.4">
      <c r="A23" s="360" t="s">
        <v>316</v>
      </c>
      <c r="B23" s="360"/>
      <c r="C23" s="360"/>
      <c r="D23" s="360"/>
      <c r="E23" s="402" t="s">
        <v>339</v>
      </c>
      <c r="F23" s="402"/>
      <c r="G23" s="404">
        <v>3600000000</v>
      </c>
      <c r="H23" s="412"/>
      <c r="J23" s="1442"/>
    </row>
    <row r="24" spans="1:12" x14ac:dyDescent="0.4">
      <c r="A24" s="360" t="s">
        <v>316</v>
      </c>
      <c r="B24" s="360"/>
      <c r="C24" s="360"/>
      <c r="D24" s="360"/>
      <c r="E24" s="402" t="s">
        <v>1069</v>
      </c>
      <c r="F24" s="402"/>
      <c r="G24" s="404">
        <v>3845000000</v>
      </c>
      <c r="H24" s="412"/>
      <c r="J24" s="1442"/>
    </row>
    <row r="25" spans="1:12" hidden="1" x14ac:dyDescent="0.4">
      <c r="A25" s="360" t="s">
        <v>316</v>
      </c>
      <c r="B25" s="360"/>
      <c r="C25" s="360"/>
      <c r="D25" s="360"/>
      <c r="E25" s="402" t="s">
        <v>1095</v>
      </c>
      <c r="F25" s="402"/>
      <c r="G25" s="404">
        <v>0</v>
      </c>
      <c r="H25" s="412"/>
      <c r="J25" s="1442"/>
    </row>
    <row r="26" spans="1:12" x14ac:dyDescent="0.4">
      <c r="A26" s="360" t="s">
        <v>341</v>
      </c>
      <c r="B26" s="360"/>
      <c r="C26" s="360"/>
      <c r="D26" s="360"/>
      <c r="E26" s="402" t="s">
        <v>347</v>
      </c>
      <c r="F26" s="402"/>
      <c r="G26" s="404">
        <f>5941793930.49</f>
        <v>5941793930.4899998</v>
      </c>
      <c r="H26" s="412"/>
      <c r="I26" s="384"/>
      <c r="J26" s="1439"/>
      <c r="K26" s="1439"/>
      <c r="L26" s="384"/>
    </row>
    <row r="27" spans="1:12" hidden="1" x14ac:dyDescent="0.4">
      <c r="A27" s="360" t="s">
        <v>546</v>
      </c>
      <c r="B27" s="360"/>
      <c r="C27" s="360"/>
      <c r="D27" s="360"/>
      <c r="E27" s="402" t="s">
        <v>1071</v>
      </c>
      <c r="F27" s="402"/>
      <c r="G27" s="404">
        <v>0</v>
      </c>
      <c r="H27" s="412"/>
    </row>
    <row r="28" spans="1:12" hidden="1" outlineLevel="1" x14ac:dyDescent="0.4">
      <c r="A28" s="360"/>
      <c r="B28" s="360"/>
      <c r="C28" s="360"/>
      <c r="D28" s="360"/>
      <c r="E28" s="402"/>
      <c r="F28" s="402"/>
      <c r="G28" s="412"/>
      <c r="H28" s="412"/>
    </row>
    <row r="29" spans="1:12" hidden="1" outlineLevel="1" x14ac:dyDescent="0.4">
      <c r="A29" s="392" t="s">
        <v>317</v>
      </c>
      <c r="B29" s="392"/>
      <c r="C29" s="393"/>
      <c r="D29" s="393" t="s">
        <v>340</v>
      </c>
      <c r="E29" s="393"/>
      <c r="F29" s="393"/>
      <c r="G29" s="395">
        <f>SUM(G31:G31)</f>
        <v>0</v>
      </c>
      <c r="H29" s="414"/>
    </row>
    <row r="30" spans="1:12" s="413" customFormat="1" hidden="1" outlineLevel="1" x14ac:dyDescent="0.4">
      <c r="A30" s="411"/>
      <c r="B30" s="411"/>
      <c r="C30" s="411"/>
      <c r="D30" s="411"/>
      <c r="E30" s="396"/>
      <c r="F30" s="396"/>
      <c r="G30" s="397"/>
      <c r="H30" s="412"/>
    </row>
    <row r="31" spans="1:12" hidden="1" outlineLevel="1" x14ac:dyDescent="0.4">
      <c r="A31" s="360" t="s">
        <v>318</v>
      </c>
      <c r="B31" s="360"/>
      <c r="C31" s="360"/>
      <c r="D31" s="360"/>
      <c r="E31" s="402" t="s">
        <v>320</v>
      </c>
      <c r="F31" s="402"/>
      <c r="G31" s="404">
        <f>+G32+G33</f>
        <v>0</v>
      </c>
      <c r="H31" s="412"/>
    </row>
    <row r="32" spans="1:12" hidden="1" outlineLevel="1" x14ac:dyDescent="0.4">
      <c r="A32" s="360"/>
      <c r="B32" s="360"/>
      <c r="C32" s="360"/>
      <c r="D32" s="360"/>
      <c r="E32" s="402" t="s">
        <v>533</v>
      </c>
      <c r="F32" s="402"/>
      <c r="G32" s="404">
        <v>0</v>
      </c>
      <c r="H32" s="412"/>
    </row>
    <row r="33" spans="1:12" hidden="1" outlineLevel="1" x14ac:dyDescent="0.4">
      <c r="A33" s="360"/>
      <c r="B33" s="360"/>
      <c r="C33" s="360"/>
      <c r="D33" s="360"/>
      <c r="E33" s="402" t="s">
        <v>518</v>
      </c>
      <c r="F33" s="402"/>
      <c r="G33" s="404">
        <v>0</v>
      </c>
      <c r="H33" s="412"/>
    </row>
    <row r="34" spans="1:12" collapsed="1" x14ac:dyDescent="0.4">
      <c r="A34" s="415"/>
      <c r="B34" s="415"/>
      <c r="C34" s="415"/>
      <c r="D34" s="415"/>
      <c r="E34" s="416"/>
      <c r="F34" s="416"/>
      <c r="G34" s="417"/>
      <c r="H34" s="417"/>
    </row>
    <row r="35" spans="1:12" x14ac:dyDescent="0.4">
      <c r="A35" s="392" t="s">
        <v>298</v>
      </c>
      <c r="B35" s="392"/>
      <c r="C35" s="392"/>
      <c r="D35" s="392"/>
      <c r="E35" s="393" t="s">
        <v>299</v>
      </c>
      <c r="F35" s="393"/>
      <c r="G35" s="414"/>
      <c r="H35" s="406">
        <f>+G37</f>
        <v>1615245020.96</v>
      </c>
    </row>
    <row r="36" spans="1:12" x14ac:dyDescent="0.4">
      <c r="A36" s="389"/>
      <c r="B36" s="389"/>
      <c r="C36" s="389"/>
      <c r="D36" s="389"/>
      <c r="E36" s="396"/>
      <c r="F36" s="396"/>
      <c r="G36" s="412"/>
      <c r="H36" s="399"/>
    </row>
    <row r="37" spans="1:12" x14ac:dyDescent="0.4">
      <c r="A37" s="418" t="s">
        <v>300</v>
      </c>
      <c r="B37" s="418"/>
      <c r="C37" s="418"/>
      <c r="D37" s="418"/>
      <c r="E37" s="419" t="s">
        <v>301</v>
      </c>
      <c r="F37" s="419"/>
      <c r="G37" s="420">
        <f>+G39+G44</f>
        <v>1615245020.96</v>
      </c>
      <c r="H37" s="421"/>
    </row>
    <row r="38" spans="1:12" hidden="1" x14ac:dyDescent="0.4">
      <c r="A38" s="389"/>
      <c r="B38" s="389"/>
      <c r="C38" s="389"/>
      <c r="D38" s="389"/>
      <c r="E38" s="398"/>
      <c r="F38" s="398"/>
      <c r="G38" s="397"/>
      <c r="H38" s="399"/>
    </row>
    <row r="39" spans="1:12" hidden="1" outlineLevel="2" x14ac:dyDescent="0.4">
      <c r="A39" s="422" t="s">
        <v>302</v>
      </c>
      <c r="B39" s="422"/>
      <c r="C39" s="422"/>
      <c r="D39" s="422"/>
      <c r="E39" s="423" t="s">
        <v>369</v>
      </c>
      <c r="F39" s="423"/>
      <c r="G39" s="412">
        <f>SUM(G40:G42)</f>
        <v>0</v>
      </c>
      <c r="H39" s="412"/>
      <c r="I39" s="383"/>
    </row>
    <row r="40" spans="1:12" s="425" customFormat="1" hidden="1" outlineLevel="2" x14ac:dyDescent="0.4">
      <c r="A40" s="422"/>
      <c r="B40" s="422"/>
      <c r="C40" s="422"/>
      <c r="D40" s="422"/>
      <c r="E40" s="423" t="s">
        <v>1097</v>
      </c>
      <c r="F40" s="423"/>
      <c r="G40" s="424">
        <v>0</v>
      </c>
      <c r="H40" s="412"/>
    </row>
    <row r="41" spans="1:12" hidden="1" outlineLevel="2" x14ac:dyDescent="0.4">
      <c r="A41" s="422"/>
      <c r="B41" s="422"/>
      <c r="C41" s="422"/>
      <c r="D41" s="422"/>
      <c r="E41" s="423" t="s">
        <v>1098</v>
      </c>
      <c r="F41" s="402"/>
      <c r="G41" s="424">
        <v>0</v>
      </c>
      <c r="H41" s="412"/>
    </row>
    <row r="42" spans="1:12" hidden="1" outlineLevel="2" x14ac:dyDescent="0.4">
      <c r="A42" s="422"/>
      <c r="B42" s="422"/>
      <c r="C42" s="422"/>
      <c r="D42" s="422"/>
      <c r="E42" s="402" t="s">
        <v>1096</v>
      </c>
      <c r="F42" s="402"/>
      <c r="G42" s="424">
        <v>0</v>
      </c>
      <c r="H42" s="412"/>
    </row>
    <row r="43" spans="1:12" outlineLevel="2" x14ac:dyDescent="0.4">
      <c r="A43" s="422"/>
      <c r="B43" s="422"/>
      <c r="C43" s="422"/>
      <c r="D43" s="422"/>
      <c r="E43" s="402"/>
      <c r="F43" s="402"/>
      <c r="G43" s="412"/>
      <c r="H43" s="412"/>
      <c r="L43" s="1442"/>
    </row>
    <row r="44" spans="1:12" x14ac:dyDescent="0.4">
      <c r="A44" s="422" t="s">
        <v>370</v>
      </c>
      <c r="B44" s="422"/>
      <c r="C44" s="422"/>
      <c r="D44" s="422"/>
      <c r="E44" s="402" t="s">
        <v>371</v>
      </c>
      <c r="F44" s="402"/>
      <c r="G44" s="412">
        <f>1614345020.96+900000</f>
        <v>1615245020.96</v>
      </c>
      <c r="H44" s="412"/>
      <c r="I44" s="384"/>
      <c r="J44" s="1442"/>
      <c r="L44" s="1442"/>
    </row>
    <row r="45" spans="1:12" hidden="1" x14ac:dyDescent="0.4">
      <c r="A45" s="411"/>
      <c r="B45" s="411"/>
      <c r="C45" s="411"/>
      <c r="D45" s="411"/>
      <c r="E45" s="398"/>
      <c r="F45" s="398"/>
      <c r="G45" s="399"/>
      <c r="H45" s="412"/>
      <c r="L45" s="1442"/>
    </row>
    <row r="46" spans="1:12" hidden="1" x14ac:dyDescent="0.4">
      <c r="A46" s="411"/>
      <c r="B46" s="411"/>
      <c r="C46" s="411"/>
      <c r="D46" s="411"/>
      <c r="E46" s="398"/>
      <c r="F46" s="398"/>
      <c r="G46" s="399"/>
      <c r="H46" s="412"/>
      <c r="L46" s="1442"/>
    </row>
    <row r="47" spans="1:12" hidden="1" outlineLevel="1" x14ac:dyDescent="0.4">
      <c r="A47" s="360" t="s">
        <v>382</v>
      </c>
      <c r="B47" s="360"/>
      <c r="C47" s="360"/>
      <c r="D47" s="360"/>
      <c r="E47" s="402" t="s">
        <v>534</v>
      </c>
      <c r="F47" s="426">
        <v>0</v>
      </c>
      <c r="G47" s="412" t="s">
        <v>382</v>
      </c>
      <c r="H47" s="412" t="s">
        <v>382</v>
      </c>
      <c r="L47" s="1442"/>
    </row>
    <row r="48" spans="1:12" hidden="1" outlineLevel="1" x14ac:dyDescent="0.4">
      <c r="A48" s="360"/>
      <c r="B48" s="360"/>
      <c r="C48" s="360"/>
      <c r="D48" s="360"/>
      <c r="E48" s="402" t="s">
        <v>433</v>
      </c>
      <c r="F48" s="427">
        <v>0</v>
      </c>
      <c r="G48" s="384"/>
      <c r="H48" s="412"/>
      <c r="L48" s="1442"/>
    </row>
    <row r="49" spans="1:12" hidden="1" outlineLevel="1" x14ac:dyDescent="0.4">
      <c r="A49" s="360"/>
      <c r="B49" s="360"/>
      <c r="C49" s="360"/>
      <c r="D49" s="360"/>
      <c r="E49" s="402" t="s">
        <v>1114</v>
      </c>
      <c r="F49" s="427">
        <v>0</v>
      </c>
      <c r="G49" s="384"/>
      <c r="H49" s="412"/>
      <c r="L49" s="1442"/>
    </row>
    <row r="50" spans="1:12" hidden="1" outlineLevel="1" x14ac:dyDescent="0.4">
      <c r="A50" s="360"/>
      <c r="B50" s="360"/>
      <c r="C50" s="360"/>
      <c r="D50" s="360"/>
      <c r="E50" s="402" t="s">
        <v>1099</v>
      </c>
      <c r="F50" s="427">
        <v>0</v>
      </c>
      <c r="G50" s="384"/>
      <c r="H50" s="412"/>
      <c r="L50" s="1442"/>
    </row>
    <row r="51" spans="1:12" hidden="1" outlineLevel="1" x14ac:dyDescent="0.4">
      <c r="A51" s="360"/>
      <c r="B51" s="360"/>
      <c r="C51" s="360"/>
      <c r="D51" s="360"/>
      <c r="E51" s="402" t="s">
        <v>1100</v>
      </c>
      <c r="F51" s="428">
        <v>0</v>
      </c>
      <c r="G51" s="384"/>
      <c r="H51" s="412"/>
      <c r="L51" s="1442"/>
    </row>
    <row r="52" spans="1:12" hidden="1" outlineLevel="1" x14ac:dyDescent="0.4">
      <c r="A52" s="360"/>
      <c r="B52" s="360"/>
      <c r="C52" s="360"/>
      <c r="D52" s="360"/>
      <c r="E52" s="402" t="s">
        <v>1101</v>
      </c>
      <c r="F52" s="428">
        <v>0</v>
      </c>
      <c r="G52" s="384"/>
      <c r="H52" s="412"/>
      <c r="L52" s="1442"/>
    </row>
    <row r="53" spans="1:12" hidden="1" outlineLevel="1" x14ac:dyDescent="0.4">
      <c r="A53" s="360"/>
      <c r="B53" s="360"/>
      <c r="C53" s="360"/>
      <c r="D53" s="360"/>
      <c r="E53" s="402" t="s">
        <v>1102</v>
      </c>
      <c r="F53" s="426">
        <v>0</v>
      </c>
      <c r="G53" s="384"/>
      <c r="H53" s="412"/>
      <c r="L53" s="1442"/>
    </row>
    <row r="54" spans="1:12" hidden="1" outlineLevel="1" x14ac:dyDescent="0.4">
      <c r="A54" s="360"/>
      <c r="B54" s="360"/>
      <c r="C54" s="360"/>
      <c r="D54" s="360"/>
      <c r="E54" s="402" t="s">
        <v>1115</v>
      </c>
      <c r="F54" s="426">
        <v>0</v>
      </c>
      <c r="G54" s="384"/>
      <c r="H54" s="412"/>
      <c r="L54" s="1442"/>
    </row>
    <row r="55" spans="1:12" ht="8.1" hidden="1" customHeight="1" outlineLevel="1" x14ac:dyDescent="0.4">
      <c r="A55" s="360"/>
      <c r="B55" s="360"/>
      <c r="C55" s="360"/>
      <c r="D55" s="360"/>
      <c r="E55" s="402"/>
      <c r="F55" s="402"/>
      <c r="G55" s="412"/>
      <c r="H55" s="412"/>
      <c r="L55" s="1442"/>
    </row>
    <row r="56" spans="1:12" ht="18" collapsed="1" thickBot="1" x14ac:dyDescent="0.5">
      <c r="A56" s="429"/>
      <c r="B56" s="429"/>
      <c r="C56" s="429"/>
      <c r="D56" s="429"/>
      <c r="E56" s="430"/>
      <c r="F56" s="430"/>
      <c r="G56" s="431"/>
      <c r="H56" s="431"/>
      <c r="K56" s="365"/>
      <c r="L56" s="1442"/>
    </row>
    <row r="57" spans="1:12" ht="16.8" thickTop="1" x14ac:dyDescent="0.4">
      <c r="L57" s="1442"/>
    </row>
    <row r="58" spans="1:12" x14ac:dyDescent="0.4">
      <c r="J58" s="432" t="s">
        <v>382</v>
      </c>
      <c r="L58" s="1442"/>
    </row>
    <row r="61" spans="1:12" x14ac:dyDescent="0.4">
      <c r="H61" s="433" t="s">
        <v>382</v>
      </c>
    </row>
  </sheetData>
  <mergeCells count="5">
    <mergeCell ref="A7:H7"/>
    <mergeCell ref="E2:H2"/>
    <mergeCell ref="A3:H3"/>
    <mergeCell ref="A4:H4"/>
    <mergeCell ref="A6:H6"/>
  </mergeCells>
  <phoneticPr fontId="0" type="noConversion"/>
  <printOptions horizontalCentered="1"/>
  <pageMargins left="0.78740157480314965" right="0.78740157480314965" top="0.98425196850393704" bottom="0.98425196850393704" header="0.59055118110236227" footer="0.59055118110236227"/>
  <pageSetup scale="80" orientation="portrait" useFirstPageNumber="1" r:id="rId1"/>
  <headerFooter alignWithMargins="0">
    <oddFooter>&amp;C&amp;"Tw Cen MT,Normal"&amp;P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9" tint="-0.499984740745262"/>
  </sheetPr>
  <dimension ref="A2:F37"/>
  <sheetViews>
    <sheetView showGridLines="0" topLeftCell="B1" zoomScale="90" zoomScaleNormal="90" workbookViewId="0">
      <selection activeCell="C38" sqref="C38"/>
    </sheetView>
  </sheetViews>
  <sheetFormatPr baseColWidth="10" defaultColWidth="11.44140625" defaultRowHeight="16.2" outlineLevelRow="1" x14ac:dyDescent="0.4"/>
  <cols>
    <col min="1" max="1" width="4.109375" style="434" hidden="1" customWidth="1"/>
    <col min="2" max="2" width="74.109375" style="434" bestFit="1" customWidth="1"/>
    <col min="3" max="3" width="18" style="436" customWidth="1"/>
    <col min="4" max="4" width="10.5546875" style="434" customWidth="1"/>
    <col min="5" max="5" width="11.44140625" style="434" customWidth="1"/>
    <col min="6" max="16384" width="11.44140625" style="362"/>
  </cols>
  <sheetData>
    <row r="2" spans="2:4" ht="15" customHeight="1" x14ac:dyDescent="0.4">
      <c r="B2" s="1477" t="s">
        <v>303</v>
      </c>
      <c r="C2" s="1477"/>
      <c r="D2" s="1477"/>
    </row>
    <row r="3" spans="2:4" ht="16.8" thickBot="1" x14ac:dyDescent="0.45">
      <c r="B3" s="1479" t="s">
        <v>285</v>
      </c>
      <c r="C3" s="1479"/>
      <c r="D3" s="1479"/>
    </row>
    <row r="4" spans="2:4" ht="8.25" customHeight="1" thickTop="1" x14ac:dyDescent="0.4"/>
    <row r="5" spans="2:4" x14ac:dyDescent="0.4">
      <c r="B5" s="1477" t="s">
        <v>1278</v>
      </c>
      <c r="C5" s="1477"/>
      <c r="D5" s="1477"/>
    </row>
    <row r="6" spans="2:4" x14ac:dyDescent="0.4">
      <c r="B6" s="1478" t="s">
        <v>40</v>
      </c>
      <c r="C6" s="1478"/>
      <c r="D6" s="1478"/>
    </row>
    <row r="7" spans="2:4" ht="4.5" customHeight="1" x14ac:dyDescent="0.4"/>
    <row r="8" spans="2:4" x14ac:dyDescent="0.4">
      <c r="B8" s="1472" t="s">
        <v>1275</v>
      </c>
      <c r="C8" s="1472"/>
      <c r="D8" s="1472"/>
    </row>
    <row r="9" spans="2:4" hidden="1" x14ac:dyDescent="0.4"/>
    <row r="10" spans="2:4" ht="16.8" thickBot="1" x14ac:dyDescent="0.45"/>
    <row r="11" spans="2:4" ht="25.5" customHeight="1" thickBot="1" x14ac:dyDescent="0.45">
      <c r="B11" s="437" t="s">
        <v>1</v>
      </c>
      <c r="C11" s="438" t="s">
        <v>50</v>
      </c>
      <c r="D11" s="437" t="s">
        <v>5</v>
      </c>
    </row>
    <row r="12" spans="2:4" x14ac:dyDescent="0.4">
      <c r="B12" s="439"/>
      <c r="C12" s="440"/>
      <c r="D12" s="441"/>
    </row>
    <row r="13" spans="2:4" x14ac:dyDescent="0.4">
      <c r="B13" s="442" t="s">
        <v>2</v>
      </c>
      <c r="C13" s="1432">
        <f>SUM(C15:C21)</f>
        <v>13386793930.49</v>
      </c>
      <c r="D13" s="443">
        <f>C13/C34</f>
        <v>0.89233163397406845</v>
      </c>
    </row>
    <row r="14" spans="2:4" x14ac:dyDescent="0.4">
      <c r="B14" s="439"/>
      <c r="C14" s="712"/>
      <c r="D14" s="441"/>
    </row>
    <row r="15" spans="2:4" ht="15.6" hidden="1" customHeight="1" x14ac:dyDescent="0.4">
      <c r="B15" s="444" t="s">
        <v>360</v>
      </c>
      <c r="C15" s="1433">
        <v>0</v>
      </c>
      <c r="D15" s="446">
        <f>+C15/C34</f>
        <v>0</v>
      </c>
    </row>
    <row r="16" spans="2:4" hidden="1" x14ac:dyDescent="0.4">
      <c r="B16" s="439"/>
      <c r="C16" s="712"/>
      <c r="D16" s="441"/>
    </row>
    <row r="17" spans="2:6" ht="20.100000000000001" customHeight="1" x14ac:dyDescent="0.4">
      <c r="B17" s="447" t="s">
        <v>1075</v>
      </c>
      <c r="C17" s="717">
        <v>3600000000</v>
      </c>
      <c r="D17" s="446">
        <f>+C17/C34</f>
        <v>0.23996738121067518</v>
      </c>
    </row>
    <row r="18" spans="2:6" ht="20.100000000000001" customHeight="1" x14ac:dyDescent="0.4">
      <c r="B18" s="447" t="s">
        <v>1137</v>
      </c>
      <c r="C18" s="717">
        <v>3845000000</v>
      </c>
      <c r="D18" s="446">
        <f>+C18/C34</f>
        <v>0.25629849465417948</v>
      </c>
    </row>
    <row r="19" spans="2:6" ht="20.100000000000001" hidden="1" customHeight="1" x14ac:dyDescent="0.4">
      <c r="B19" s="447" t="s">
        <v>1113</v>
      </c>
      <c r="C19" s="717">
        <v>0</v>
      </c>
      <c r="D19" s="446">
        <f>+C19/C34</f>
        <v>0</v>
      </c>
    </row>
    <row r="20" spans="2:6" ht="20.100000000000001" hidden="1" customHeight="1" x14ac:dyDescent="0.4">
      <c r="B20" s="448" t="s">
        <v>1071</v>
      </c>
      <c r="C20" s="412">
        <v>0</v>
      </c>
      <c r="D20" s="446">
        <f>+C20/C34</f>
        <v>0</v>
      </c>
    </row>
    <row r="21" spans="2:6" ht="20.100000000000001" customHeight="1" x14ac:dyDescent="0.4">
      <c r="B21" s="447" t="s">
        <v>1138</v>
      </c>
      <c r="C21" s="717">
        <f>+'CLASIFICACION DE INGRESOS 2024'!G26</f>
        <v>5941793930.4899998</v>
      </c>
      <c r="D21" s="446">
        <f>+C21/C34</f>
        <v>0.39606575810921385</v>
      </c>
    </row>
    <row r="22" spans="2:6" hidden="1" x14ac:dyDescent="0.4">
      <c r="B22" s="447"/>
      <c r="C22" s="717"/>
      <c r="D22" s="441"/>
      <c r="F22" s="449"/>
    </row>
    <row r="23" spans="2:6" hidden="1" x14ac:dyDescent="0.4">
      <c r="B23" s="450" t="s">
        <v>319</v>
      </c>
      <c r="C23" s="1434">
        <f>SUM(C25)</f>
        <v>0</v>
      </c>
      <c r="D23" s="451">
        <f>+C23/C34</f>
        <v>0</v>
      </c>
    </row>
    <row r="24" spans="2:6" hidden="1" x14ac:dyDescent="0.4">
      <c r="B24" s="439"/>
      <c r="C24" s="712"/>
      <c r="D24" s="441"/>
    </row>
    <row r="25" spans="2:6" ht="27" hidden="1" customHeight="1" x14ac:dyDescent="0.4">
      <c r="B25" s="452" t="s">
        <v>320</v>
      </c>
      <c r="C25" s="1433">
        <v>0</v>
      </c>
      <c r="D25" s="446">
        <f>+C25/C34</f>
        <v>0</v>
      </c>
    </row>
    <row r="26" spans="2:6" hidden="1" x14ac:dyDescent="0.4">
      <c r="B26" s="447"/>
      <c r="C26" s="717"/>
      <c r="D26" s="446"/>
    </row>
    <row r="27" spans="2:6" hidden="1" outlineLevel="1" x14ac:dyDescent="0.4">
      <c r="B27" s="447" t="s">
        <v>65</v>
      </c>
      <c r="C27" s="717"/>
      <c r="D27" s="446">
        <f>+C27/C34</f>
        <v>0</v>
      </c>
    </row>
    <row r="28" spans="2:6" outlineLevel="1" x14ac:dyDescent="0.4">
      <c r="B28" s="447"/>
      <c r="C28" s="717"/>
      <c r="D28" s="441"/>
    </row>
    <row r="29" spans="2:6" x14ac:dyDescent="0.4">
      <c r="B29" s="453" t="s">
        <v>272</v>
      </c>
      <c r="C29" s="1435">
        <f>SUM(C31:C32)</f>
        <v>1615245020.96</v>
      </c>
      <c r="D29" s="454">
        <f>+C29/C34</f>
        <v>0.10766836602593148</v>
      </c>
    </row>
    <row r="30" spans="2:6" x14ac:dyDescent="0.4">
      <c r="B30" s="447"/>
      <c r="C30" s="717"/>
      <c r="D30" s="441"/>
      <c r="F30" s="383"/>
    </row>
    <row r="31" spans="2:6" hidden="1" x14ac:dyDescent="0.4">
      <c r="B31" s="447" t="s">
        <v>376</v>
      </c>
      <c r="C31" s="717">
        <v>0</v>
      </c>
      <c r="D31" s="446">
        <f>+C31/C34</f>
        <v>0</v>
      </c>
    </row>
    <row r="32" spans="2:6" outlineLevel="1" x14ac:dyDescent="0.4">
      <c r="B32" s="447" t="s">
        <v>63</v>
      </c>
      <c r="C32" s="717">
        <f>+'CLASIFICACION DE INGRESOS 2024'!G44</f>
        <v>1615245020.96</v>
      </c>
      <c r="D32" s="446">
        <f>+C32/C34</f>
        <v>0.10766836602593148</v>
      </c>
    </row>
    <row r="33" spans="2:4" x14ac:dyDescent="0.4">
      <c r="B33" s="447"/>
      <c r="C33" s="717"/>
      <c r="D33" s="441"/>
    </row>
    <row r="34" spans="2:4" ht="18.75" customHeight="1" x14ac:dyDescent="0.4">
      <c r="B34" s="455" t="s">
        <v>3</v>
      </c>
      <c r="C34" s="1436">
        <f>+C23+C13+C29</f>
        <v>15002038951.450001</v>
      </c>
      <c r="D34" s="456">
        <f>SUM(D23+D13+D29)</f>
        <v>0.99999999999999989</v>
      </c>
    </row>
    <row r="35" spans="2:4" ht="18" thickBot="1" x14ac:dyDescent="0.5">
      <c r="B35" s="457"/>
      <c r="C35" s="458"/>
      <c r="D35" s="459"/>
    </row>
    <row r="36" spans="2:4" ht="16.8" thickBot="1" x14ac:dyDescent="0.45"/>
    <row r="37" spans="2:4" ht="16.8" thickTop="1" x14ac:dyDescent="0.4">
      <c r="B37" s="460"/>
      <c r="C37" s="461"/>
      <c r="D37" s="460"/>
    </row>
  </sheetData>
  <mergeCells count="5">
    <mergeCell ref="B2:D2"/>
    <mergeCell ref="B5:D5"/>
    <mergeCell ref="B6:D6"/>
    <mergeCell ref="B8:D8"/>
    <mergeCell ref="B3:D3"/>
  </mergeCells>
  <phoneticPr fontId="0" type="noConversion"/>
  <printOptions horizontalCentered="1"/>
  <pageMargins left="0.78740157480314965" right="0.78740157480314965" top="1.1811023622047245" bottom="1.1811023622047245" header="0.59055118110236227" footer="0.59055118110236227"/>
  <pageSetup scale="85" firstPageNumber="2" orientation="portrait" useFirstPageNumber="1" r:id="rId1"/>
  <headerFooter alignWithMargins="0">
    <oddFooter>&amp;C&amp;"Tw Cen MT,Normal"&amp;P</oddFooter>
  </headerFooter>
  <ignoredErrors>
    <ignoredError sqref="D13:D17 D20:D32" evalError="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9" tint="-0.499984740745262"/>
  </sheetPr>
  <dimension ref="A1:C39"/>
  <sheetViews>
    <sheetView showGridLines="0" topLeftCell="A15" workbookViewId="0">
      <selection activeCell="E62" sqref="E62"/>
    </sheetView>
  </sheetViews>
  <sheetFormatPr baseColWidth="10" defaultColWidth="11.44140625" defaultRowHeight="16.2" outlineLevelRow="1" x14ac:dyDescent="0.4"/>
  <cols>
    <col min="1" max="1" width="20.88671875" style="362" customWidth="1"/>
    <col min="2" max="2" width="16" style="383" customWidth="1"/>
    <col min="3" max="3" width="49.44140625" style="362" customWidth="1"/>
    <col min="4" max="16384" width="11.44140625" style="362"/>
  </cols>
  <sheetData>
    <row r="1" spans="1:3" x14ac:dyDescent="0.4">
      <c r="A1" s="1472"/>
      <c r="B1" s="1472"/>
    </row>
    <row r="2" spans="1:3" x14ac:dyDescent="0.4">
      <c r="A2" s="1472" t="s">
        <v>303</v>
      </c>
      <c r="B2" s="1472"/>
      <c r="C2" s="1472"/>
    </row>
    <row r="3" spans="1:3" ht="16.8" thickBot="1" x14ac:dyDescent="0.45">
      <c r="A3" s="1474" t="s">
        <v>285</v>
      </c>
      <c r="B3" s="1474"/>
      <c r="C3" s="1474"/>
    </row>
    <row r="4" spans="1:3" ht="6.75" customHeight="1" thickTop="1" x14ac:dyDescent="0.4">
      <c r="A4" s="363"/>
      <c r="B4" s="376"/>
      <c r="C4" s="363"/>
    </row>
    <row r="5" spans="1:3" x14ac:dyDescent="0.4">
      <c r="A5" s="1472" t="s">
        <v>1251</v>
      </c>
      <c r="B5" s="1472"/>
      <c r="C5" s="1472"/>
    </row>
    <row r="6" spans="1:3" x14ac:dyDescent="0.4">
      <c r="A6" s="1473" t="s">
        <v>1271</v>
      </c>
      <c r="B6" s="1473"/>
      <c r="C6" s="1473"/>
    </row>
    <row r="7" spans="1:3" ht="16.8" thickBot="1" x14ac:dyDescent="0.45">
      <c r="A7" s="363"/>
      <c r="B7" s="376"/>
      <c r="C7" s="363"/>
    </row>
    <row r="8" spans="1:3" ht="33" thickBot="1" x14ac:dyDescent="0.45">
      <c r="A8" s="462" t="s">
        <v>363</v>
      </c>
      <c r="B8" s="463" t="s">
        <v>1325</v>
      </c>
      <c r="C8" s="464" t="s">
        <v>364</v>
      </c>
    </row>
    <row r="9" spans="1:3" hidden="1" outlineLevel="1" x14ac:dyDescent="0.4">
      <c r="A9" s="465"/>
      <c r="B9" s="440"/>
      <c r="C9" s="466"/>
    </row>
    <row r="10" spans="1:3" hidden="1" outlineLevel="1" x14ac:dyDescent="0.4">
      <c r="A10" s="1480" t="s">
        <v>293</v>
      </c>
      <c r="B10" s="1481"/>
      <c r="C10" s="1482"/>
    </row>
    <row r="11" spans="1:3" hidden="1" outlineLevel="1" x14ac:dyDescent="0.4">
      <c r="A11" s="467"/>
      <c r="B11" s="468"/>
      <c r="C11" s="469"/>
    </row>
    <row r="12" spans="1:3" ht="99.75" hidden="1" customHeight="1" outlineLevel="1" x14ac:dyDescent="0.4">
      <c r="A12" s="470" t="s">
        <v>294</v>
      </c>
      <c r="B12" s="471">
        <v>0</v>
      </c>
      <c r="C12" s="472" t="s">
        <v>1082</v>
      </c>
    </row>
    <row r="13" spans="1:3" collapsed="1" x14ac:dyDescent="0.4">
      <c r="A13" s="465"/>
      <c r="B13" s="440"/>
      <c r="C13" s="466"/>
    </row>
    <row r="14" spans="1:3" x14ac:dyDescent="0.4">
      <c r="A14" s="1480" t="s">
        <v>339</v>
      </c>
      <c r="B14" s="1481"/>
      <c r="C14" s="1482"/>
    </row>
    <row r="15" spans="1:3" x14ac:dyDescent="0.4">
      <c r="A15" s="467"/>
      <c r="B15" s="468"/>
      <c r="C15" s="469"/>
    </row>
    <row r="16" spans="1:3" ht="162" x14ac:dyDescent="0.4">
      <c r="A16" s="470" t="s">
        <v>316</v>
      </c>
      <c r="B16" s="473">
        <v>7445000000</v>
      </c>
      <c r="C16" s="472" t="s">
        <v>1326</v>
      </c>
    </row>
    <row r="17" spans="1:3" ht="104.4" hidden="1" customHeight="1" x14ac:dyDescent="0.4">
      <c r="A17" s="470" t="s">
        <v>316</v>
      </c>
      <c r="B17" s="471">
        <v>0</v>
      </c>
      <c r="C17" s="474" t="s">
        <v>388</v>
      </c>
    </row>
    <row r="18" spans="1:3" x14ac:dyDescent="0.4">
      <c r="A18" s="452"/>
      <c r="B18" s="445"/>
      <c r="C18" s="475"/>
    </row>
    <row r="19" spans="1:3" x14ac:dyDescent="0.4">
      <c r="A19" s="1480" t="s">
        <v>347</v>
      </c>
      <c r="B19" s="1481"/>
      <c r="C19" s="1482"/>
    </row>
    <row r="20" spans="1:3" x14ac:dyDescent="0.4">
      <c r="A20" s="467"/>
      <c r="B20" s="468"/>
      <c r="C20" s="469"/>
    </row>
    <row r="21" spans="1:3" ht="102" customHeight="1" x14ac:dyDescent="0.4">
      <c r="A21" s="470" t="s">
        <v>341</v>
      </c>
      <c r="B21" s="473">
        <f>+'CLASIFICACION DE INGRESOS 2024'!G26</f>
        <v>5941793930.4899998</v>
      </c>
      <c r="C21" s="476" t="s">
        <v>1252</v>
      </c>
    </row>
    <row r="22" spans="1:3" hidden="1" x14ac:dyDescent="0.4">
      <c r="A22" s="444"/>
      <c r="B22" s="445"/>
      <c r="C22" s="477"/>
    </row>
    <row r="23" spans="1:3" hidden="1" x14ac:dyDescent="0.4">
      <c r="A23" s="1480" t="s">
        <v>1071</v>
      </c>
      <c r="B23" s="1481"/>
      <c r="C23" s="1482"/>
    </row>
    <row r="24" spans="1:3" hidden="1" x14ac:dyDescent="0.4">
      <c r="A24" s="467"/>
      <c r="B24" s="468"/>
      <c r="C24" s="469"/>
    </row>
    <row r="25" spans="1:3" ht="58.5" hidden="1" customHeight="1" x14ac:dyDescent="0.4">
      <c r="A25" s="470" t="s">
        <v>546</v>
      </c>
      <c r="B25" s="471">
        <v>0</v>
      </c>
      <c r="C25" s="476" t="s">
        <v>1076</v>
      </c>
    </row>
    <row r="26" spans="1:3" hidden="1" outlineLevel="1" x14ac:dyDescent="0.4">
      <c r="A26" s="1480" t="s">
        <v>320</v>
      </c>
      <c r="B26" s="1481"/>
      <c r="C26" s="1482"/>
    </row>
    <row r="27" spans="1:3" hidden="1" outlineLevel="1" x14ac:dyDescent="0.4">
      <c r="A27" s="478"/>
      <c r="B27" s="479"/>
      <c r="C27" s="480"/>
    </row>
    <row r="28" spans="1:3" ht="53.25" hidden="1" customHeight="1" outlineLevel="1" x14ac:dyDescent="0.4">
      <c r="A28" s="481" t="s">
        <v>318</v>
      </c>
      <c r="B28" s="482">
        <v>0</v>
      </c>
      <c r="C28" s="476" t="s">
        <v>1072</v>
      </c>
    </row>
    <row r="29" spans="1:3" ht="12" customHeight="1" outlineLevel="1" x14ac:dyDescent="0.4">
      <c r="A29" s="483"/>
      <c r="B29" s="445"/>
      <c r="C29" s="475"/>
    </row>
    <row r="30" spans="1:3" ht="11.25" customHeight="1" x14ac:dyDescent="0.4">
      <c r="A30" s="1480" t="s">
        <v>301</v>
      </c>
      <c r="B30" s="1481"/>
      <c r="C30" s="1482"/>
    </row>
    <row r="31" spans="1:3" ht="10.5" customHeight="1" x14ac:dyDescent="0.4">
      <c r="A31" s="478"/>
      <c r="B31" s="479"/>
      <c r="C31" s="480"/>
    </row>
    <row r="32" spans="1:3" hidden="1" x14ac:dyDescent="0.4">
      <c r="A32" s="470" t="s">
        <v>300</v>
      </c>
      <c r="B32" s="484">
        <v>0</v>
      </c>
      <c r="C32" s="485" t="s">
        <v>382</v>
      </c>
    </row>
    <row r="33" spans="1:3" ht="64.8" x14ac:dyDescent="0.4">
      <c r="A33" s="486" t="s">
        <v>370</v>
      </c>
      <c r="B33" s="487">
        <f>+'CLASIFICACION DE INGRESOS 2024'!G44</f>
        <v>1615245020.96</v>
      </c>
      <c r="C33" s="488" t="s">
        <v>1253</v>
      </c>
    </row>
    <row r="34" spans="1:3" ht="13.5" hidden="1" customHeight="1" x14ac:dyDescent="0.4">
      <c r="A34" s="489"/>
      <c r="B34" s="490"/>
      <c r="C34" s="488"/>
    </row>
    <row r="35" spans="1:3" ht="11.25" hidden="1" customHeight="1" x14ac:dyDescent="0.4">
      <c r="A35" s="489"/>
      <c r="B35" s="490"/>
      <c r="C35" s="488"/>
    </row>
    <row r="36" spans="1:3" ht="13.5" hidden="1" customHeight="1" x14ac:dyDescent="0.4">
      <c r="A36" s="491"/>
      <c r="B36" s="492"/>
      <c r="C36" s="488"/>
    </row>
    <row r="37" spans="1:3" ht="16.8" thickBot="1" x14ac:dyDescent="0.45">
      <c r="A37" s="439"/>
      <c r="B37" s="440"/>
      <c r="C37" s="466"/>
    </row>
    <row r="38" spans="1:3" ht="17.399999999999999" customHeight="1" thickBot="1" x14ac:dyDescent="0.45">
      <c r="A38" s="493"/>
      <c r="B38" s="494">
        <f>+B33+B21+B32+B16+B12+B28+B25</f>
        <v>15002038951.450001</v>
      </c>
      <c r="C38" s="464" t="s">
        <v>365</v>
      </c>
    </row>
    <row r="39" spans="1:3" ht="16.8" thickBot="1" x14ac:dyDescent="0.45">
      <c r="A39" s="495"/>
      <c r="B39" s="496"/>
      <c r="C39" s="497"/>
    </row>
  </sheetData>
  <mergeCells count="11">
    <mergeCell ref="A30:C30"/>
    <mergeCell ref="A1:B1"/>
    <mergeCell ref="A2:C2"/>
    <mergeCell ref="A3:C3"/>
    <mergeCell ref="A5:C5"/>
    <mergeCell ref="A6:C6"/>
    <mergeCell ref="A23:C23"/>
    <mergeCell ref="A14:C14"/>
    <mergeCell ref="A19:C19"/>
    <mergeCell ref="A26:C26"/>
    <mergeCell ref="A10:C10"/>
  </mergeCells>
  <printOptions horizontalCentered="1"/>
  <pageMargins left="0.70866141732283472" right="0.70866141732283472" top="0.74803149606299213" bottom="0.74803149606299213" header="0.31496062992125984" footer="0.59055118110236227"/>
  <pageSetup scale="95" firstPageNumber="3" orientation="portrait" useFirstPageNumber="1" r:id="rId1"/>
  <headerFooter>
    <oddFooter>&amp;C&amp;"Tw Cen MT,Normal"&amp;9&amp;P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3:AJ48"/>
  <sheetViews>
    <sheetView showGridLines="0" zoomScale="75" zoomScaleNormal="75" workbookViewId="0">
      <selection activeCell="E62" sqref="E62"/>
    </sheetView>
  </sheetViews>
  <sheetFormatPr baseColWidth="10" defaultColWidth="11.44140625" defaultRowHeight="16.2" outlineLevelRow="1" outlineLevelCol="2" x14ac:dyDescent="0.4"/>
  <cols>
    <col min="1" max="1" width="2.44140625" style="434" customWidth="1"/>
    <col min="2" max="2" width="38.6640625" style="434" customWidth="1"/>
    <col min="3" max="3" width="20.44140625" style="434" bestFit="1" customWidth="1"/>
    <col min="4" max="4" width="20.5546875" style="434" bestFit="1" customWidth="1"/>
    <col min="5" max="5" width="20.44140625" style="434" bestFit="1" customWidth="1"/>
    <col min="6" max="6" width="18.5546875" style="434" customWidth="1"/>
    <col min="7" max="8" width="18.6640625" style="434" customWidth="1"/>
    <col min="9" max="13" width="18.6640625" style="434" hidden="1" customWidth="1"/>
    <col min="14" max="18" width="17.6640625" style="434" hidden="1" customWidth="1"/>
    <col min="19" max="19" width="18.5546875" style="594" hidden="1" customWidth="1"/>
    <col min="20" max="20" width="18.5546875" style="434" hidden="1" customWidth="1"/>
    <col min="21" max="21" width="16.6640625" style="434" hidden="1" customWidth="1"/>
    <col min="22" max="22" width="18.6640625" style="434" hidden="1" customWidth="1" outlineLevel="1"/>
    <col min="23" max="23" width="18.5546875" style="434" hidden="1" customWidth="1" outlineLevel="1"/>
    <col min="24" max="24" width="17.6640625" style="434" hidden="1" customWidth="1" outlineLevel="1"/>
    <col min="25" max="25" width="18.6640625" style="434" hidden="1" customWidth="1" outlineLevel="1"/>
    <col min="26" max="27" width="18.6640625" style="434" hidden="1" customWidth="1" outlineLevel="2"/>
    <col min="28" max="28" width="2" style="593" customWidth="1" collapsed="1"/>
    <col min="29" max="16384" width="11.44140625" style="362"/>
  </cols>
  <sheetData>
    <row r="3" spans="1:28" ht="15.75" customHeight="1" x14ac:dyDescent="0.4">
      <c r="B3" s="1485" t="s">
        <v>41</v>
      </c>
      <c r="C3" s="1485"/>
      <c r="D3" s="1485"/>
      <c r="E3" s="1485"/>
      <c r="F3" s="1485"/>
      <c r="G3" s="1485"/>
      <c r="H3" s="1485"/>
      <c r="I3" s="1485"/>
      <c r="J3" s="1485"/>
      <c r="K3" s="1485"/>
      <c r="L3" s="1485"/>
      <c r="M3" s="1485"/>
      <c r="N3" s="1485"/>
      <c r="O3" s="1485"/>
      <c r="P3" s="1485"/>
      <c r="Q3" s="1485"/>
      <c r="R3" s="1485"/>
      <c r="S3" s="1485"/>
      <c r="T3" s="1485"/>
      <c r="U3" s="1485"/>
      <c r="V3" s="1485"/>
      <c r="W3" s="1485"/>
      <c r="X3" s="1485"/>
      <c r="Y3" s="1485"/>
      <c r="Z3" s="1485"/>
      <c r="AA3" s="1485"/>
      <c r="AB3" s="1485"/>
    </row>
    <row r="4" spans="1:28" ht="18" thickBot="1" x14ac:dyDescent="0.5">
      <c r="A4" s="498"/>
      <c r="B4" s="1486"/>
      <c r="C4" s="1486"/>
      <c r="D4" s="1486"/>
      <c r="E4" s="1486"/>
      <c r="F4" s="1486"/>
      <c r="G4" s="1486"/>
      <c r="H4" s="1486"/>
      <c r="I4" s="1486"/>
      <c r="J4" s="1486"/>
      <c r="K4" s="1486"/>
      <c r="L4" s="1486"/>
      <c r="M4" s="1486"/>
      <c r="N4" s="1486"/>
      <c r="O4" s="1486"/>
      <c r="P4" s="1486"/>
      <c r="Q4" s="1486"/>
      <c r="R4" s="1486"/>
      <c r="S4" s="1486"/>
      <c r="T4" s="1486"/>
      <c r="U4" s="1486"/>
      <c r="V4" s="1486"/>
      <c r="W4" s="1486"/>
      <c r="X4" s="1486"/>
      <c r="Y4" s="1486"/>
      <c r="Z4" s="1486"/>
      <c r="AA4" s="1486"/>
      <c r="AB4" s="1486"/>
    </row>
    <row r="5" spans="1:28" ht="9.75" customHeight="1" thickTop="1" x14ac:dyDescent="0.45">
      <c r="B5" s="367"/>
      <c r="C5" s="367"/>
      <c r="D5" s="367"/>
      <c r="E5" s="367"/>
      <c r="F5" s="367"/>
      <c r="G5" s="367"/>
      <c r="H5" s="367"/>
      <c r="I5" s="367"/>
      <c r="J5" s="367"/>
      <c r="K5" s="367"/>
      <c r="L5" s="367"/>
      <c r="M5" s="367"/>
      <c r="N5" s="367"/>
      <c r="O5" s="367"/>
      <c r="P5" s="367"/>
      <c r="Q5" s="367"/>
      <c r="R5" s="367"/>
      <c r="S5" s="499"/>
      <c r="T5" s="367"/>
      <c r="U5" s="367"/>
      <c r="V5" s="367"/>
      <c r="W5" s="367"/>
      <c r="X5" s="367"/>
      <c r="Y5" s="367"/>
      <c r="Z5" s="367"/>
      <c r="AA5" s="367"/>
      <c r="AB5" s="500"/>
    </row>
    <row r="6" spans="1:28" ht="17.399999999999999" x14ac:dyDescent="0.45">
      <c r="B6" s="1476" t="s">
        <v>4</v>
      </c>
      <c r="C6" s="1476"/>
      <c r="D6" s="1476"/>
      <c r="E6" s="1476"/>
      <c r="F6" s="1476"/>
      <c r="G6" s="1476"/>
      <c r="H6" s="1476"/>
      <c r="I6" s="1476"/>
      <c r="J6" s="1476"/>
      <c r="K6" s="1476"/>
      <c r="L6" s="1476"/>
      <c r="M6" s="1476"/>
      <c r="N6" s="1476"/>
      <c r="O6" s="1476"/>
      <c r="P6" s="1476"/>
      <c r="Q6" s="1476"/>
      <c r="R6" s="1476"/>
      <c r="S6" s="1476"/>
      <c r="T6" s="1476"/>
      <c r="U6" s="1476"/>
      <c r="V6" s="1476"/>
      <c r="W6" s="1476"/>
      <c r="X6" s="1476"/>
      <c r="Y6" s="1476"/>
      <c r="Z6" s="1476"/>
      <c r="AA6" s="1476"/>
      <c r="AB6" s="1476"/>
    </row>
    <row r="7" spans="1:28" ht="17.399999999999999" x14ac:dyDescent="0.45">
      <c r="B7" s="1476" t="s">
        <v>1282</v>
      </c>
      <c r="C7" s="1476"/>
      <c r="D7" s="1476"/>
      <c r="E7" s="1476"/>
      <c r="F7" s="1476"/>
      <c r="G7" s="1476"/>
      <c r="H7" s="1476"/>
      <c r="I7" s="1476"/>
      <c r="J7" s="1476"/>
      <c r="K7" s="1476"/>
      <c r="L7" s="1476"/>
      <c r="M7" s="1476"/>
      <c r="N7" s="1476"/>
      <c r="O7" s="1476"/>
      <c r="P7" s="1476"/>
      <c r="Q7" s="1476"/>
      <c r="R7" s="1476"/>
      <c r="S7" s="1476"/>
      <c r="T7" s="1476"/>
      <c r="U7" s="1476"/>
      <c r="V7" s="1476"/>
      <c r="W7" s="1476"/>
      <c r="X7" s="1476"/>
      <c r="Y7" s="1476"/>
      <c r="Z7" s="1476"/>
      <c r="AA7" s="1476"/>
      <c r="AB7" s="1476"/>
    </row>
    <row r="8" spans="1:28" ht="17.399999999999999" x14ac:dyDescent="0.45">
      <c r="B8" s="1483" t="s">
        <v>40</v>
      </c>
      <c r="C8" s="1483"/>
      <c r="D8" s="1483"/>
      <c r="E8" s="1483"/>
      <c r="F8" s="1483"/>
      <c r="G8" s="1483"/>
      <c r="H8" s="1483"/>
      <c r="I8" s="1483"/>
      <c r="J8" s="1483"/>
      <c r="K8" s="1483"/>
      <c r="L8" s="1483"/>
      <c r="M8" s="1483"/>
      <c r="N8" s="1483"/>
      <c r="O8" s="1483"/>
      <c r="P8" s="1483"/>
      <c r="Q8" s="1483"/>
      <c r="R8" s="1483"/>
      <c r="S8" s="1483"/>
      <c r="T8" s="1483"/>
      <c r="U8" s="1483"/>
      <c r="V8" s="1483"/>
      <c r="W8" s="1483"/>
      <c r="X8" s="1483"/>
      <c r="Y8" s="1483"/>
      <c r="Z8" s="1483"/>
      <c r="AA8" s="1483"/>
      <c r="AB8" s="1483"/>
    </row>
    <row r="9" spans="1:28" ht="9.75" customHeight="1" thickBot="1" x14ac:dyDescent="0.5">
      <c r="B9" s="365"/>
      <c r="C9" s="365"/>
      <c r="D9" s="365"/>
      <c r="E9" s="365"/>
      <c r="F9" s="365"/>
      <c r="G9" s="365"/>
      <c r="H9" s="365"/>
      <c r="I9" s="365"/>
      <c r="J9" s="365"/>
      <c r="K9" s="365"/>
      <c r="L9" s="365"/>
      <c r="M9" s="365"/>
      <c r="N9" s="365"/>
      <c r="O9" s="365"/>
      <c r="P9" s="365"/>
      <c r="Q9" s="365"/>
      <c r="R9" s="365"/>
      <c r="S9" s="366"/>
      <c r="T9" s="365"/>
      <c r="U9" s="365"/>
      <c r="V9" s="365"/>
      <c r="W9" s="365"/>
      <c r="X9" s="365"/>
      <c r="Y9" s="365"/>
      <c r="Z9" s="365"/>
      <c r="AA9" s="365"/>
      <c r="AB9" s="500"/>
    </row>
    <row r="10" spans="1:28" ht="23.4" customHeight="1" x14ac:dyDescent="0.45">
      <c r="A10" s="501"/>
      <c r="B10" s="1484"/>
      <c r="C10" s="1484"/>
      <c r="D10" s="1484"/>
      <c r="E10" s="1484"/>
      <c r="F10" s="1484"/>
      <c r="G10" s="1484"/>
      <c r="H10" s="1484"/>
      <c r="I10" s="1484"/>
      <c r="J10" s="1484"/>
      <c r="K10" s="1484"/>
      <c r="L10" s="1484"/>
      <c r="M10" s="1484"/>
      <c r="N10" s="1484"/>
      <c r="O10" s="1484"/>
      <c r="P10" s="1484"/>
      <c r="Q10" s="1484"/>
      <c r="R10" s="1484"/>
      <c r="S10" s="1484"/>
      <c r="T10" s="1484"/>
      <c r="U10" s="1484"/>
      <c r="V10" s="1484"/>
      <c r="W10" s="1484"/>
      <c r="X10" s="1484"/>
      <c r="Y10" s="1484"/>
      <c r="Z10" s="1484"/>
      <c r="AA10" s="1484"/>
      <c r="AB10" s="502"/>
    </row>
    <row r="11" spans="1:28" ht="10.5" customHeight="1" x14ac:dyDescent="0.45">
      <c r="A11" s="503"/>
      <c r="B11" s="504"/>
      <c r="C11" s="504"/>
      <c r="D11" s="504"/>
      <c r="E11" s="504"/>
      <c r="F11" s="504"/>
      <c r="G11" s="504"/>
      <c r="H11" s="504"/>
      <c r="I11" s="504"/>
      <c r="J11" s="504"/>
      <c r="K11" s="504"/>
      <c r="L11" s="504"/>
      <c r="M11" s="504"/>
      <c r="N11" s="504"/>
      <c r="O11" s="504"/>
      <c r="P11" s="504"/>
      <c r="Q11" s="504"/>
      <c r="R11" s="504"/>
      <c r="S11" s="505"/>
      <c r="T11" s="504"/>
      <c r="U11" s="504"/>
      <c r="V11" s="504"/>
      <c r="W11" s="504"/>
      <c r="X11" s="504"/>
      <c r="Y11" s="504"/>
      <c r="Z11" s="504"/>
      <c r="AA11" s="504"/>
      <c r="AB11" s="506"/>
    </row>
    <row r="12" spans="1:28" ht="21.75" customHeight="1" x14ac:dyDescent="0.45">
      <c r="A12" s="507"/>
      <c r="B12" s="508" t="s">
        <v>48</v>
      </c>
      <c r="C12" s="508">
        <v>2023</v>
      </c>
      <c r="D12" s="508">
        <v>2022</v>
      </c>
      <c r="E12" s="508">
        <v>2021</v>
      </c>
      <c r="F12" s="508">
        <v>2020</v>
      </c>
      <c r="G12" s="508">
        <v>2019</v>
      </c>
      <c r="H12" s="508">
        <v>2018</v>
      </c>
      <c r="I12" s="509">
        <v>2017</v>
      </c>
      <c r="J12" s="509">
        <v>2016</v>
      </c>
      <c r="K12" s="509">
        <v>2015</v>
      </c>
      <c r="L12" s="509">
        <v>2014</v>
      </c>
      <c r="M12" s="509">
        <v>2013</v>
      </c>
      <c r="N12" s="509">
        <v>2012</v>
      </c>
      <c r="O12" s="509">
        <v>2011</v>
      </c>
      <c r="P12" s="509">
        <v>2010</v>
      </c>
      <c r="Q12" s="509">
        <v>2009</v>
      </c>
      <c r="R12" s="509">
        <v>2008</v>
      </c>
      <c r="S12" s="509">
        <v>2007</v>
      </c>
      <c r="T12" s="509">
        <v>2006</v>
      </c>
      <c r="U12" s="509">
        <v>2005</v>
      </c>
      <c r="V12" s="509">
        <v>2004</v>
      </c>
      <c r="W12" s="509">
        <v>2003</v>
      </c>
      <c r="X12" s="509">
        <v>2002</v>
      </c>
      <c r="Y12" s="509">
        <v>2001</v>
      </c>
      <c r="Z12" s="509">
        <v>2000</v>
      </c>
      <c r="AA12" s="509">
        <v>1999</v>
      </c>
      <c r="AB12" s="510"/>
    </row>
    <row r="13" spans="1:28" ht="9.75" customHeight="1" x14ac:dyDescent="0.45">
      <c r="A13" s="503"/>
      <c r="B13" s="511"/>
      <c r="C13" s="511"/>
      <c r="D13" s="511"/>
      <c r="E13" s="511"/>
      <c r="F13" s="511"/>
      <c r="G13" s="511"/>
      <c r="H13" s="511"/>
      <c r="I13" s="511"/>
      <c r="J13" s="511"/>
      <c r="K13" s="511"/>
      <c r="L13" s="511"/>
      <c r="M13" s="511"/>
      <c r="N13" s="511"/>
      <c r="O13" s="511"/>
      <c r="P13" s="511"/>
      <c r="Q13" s="373"/>
      <c r="R13" s="373"/>
      <c r="S13" s="373"/>
      <c r="T13" s="511"/>
      <c r="U13" s="511"/>
      <c r="V13" s="511"/>
      <c r="W13" s="511"/>
      <c r="X13" s="511"/>
      <c r="Y13" s="511"/>
      <c r="Z13" s="511"/>
      <c r="AA13" s="512"/>
      <c r="AB13" s="506"/>
    </row>
    <row r="14" spans="1:28" ht="21.75" customHeight="1" x14ac:dyDescent="0.45">
      <c r="A14" s="513"/>
      <c r="B14" s="514" t="s">
        <v>2</v>
      </c>
      <c r="C14" s="515">
        <f>SUM(C17+C19+C21+C23+C27+C25)</f>
        <v>13998763394.700001</v>
      </c>
      <c r="D14" s="515">
        <f>SUM(D17+D19+D21+D23+D27+D25)</f>
        <v>12927645570.360001</v>
      </c>
      <c r="E14" s="515">
        <f>SUM(E17+E19+E21+E23+E27+E25)</f>
        <v>13824566159.003056</v>
      </c>
      <c r="F14" s="515">
        <f>SUM(F17+F19+F21+F23+F27+F25)</f>
        <v>12423088684</v>
      </c>
      <c r="G14" s="515">
        <f>SUM(G17+G19+G21+G23+G27+G25)</f>
        <v>10520682698.029999</v>
      </c>
      <c r="H14" s="515">
        <f>SUM(H17+H19+H21+H23+H27)</f>
        <v>10032395044.99</v>
      </c>
      <c r="I14" s="515">
        <f>SUM(I17+I19+I21+I23+I27)</f>
        <v>7967332007</v>
      </c>
      <c r="J14" s="515">
        <f>SUM(J17+J19+J21+J23+J27)</f>
        <v>6986188988</v>
      </c>
      <c r="K14" s="515">
        <f t="shared" ref="K14:R14" si="0">SUM(K17+K19+K21+K23+K27)</f>
        <v>6060810755</v>
      </c>
      <c r="L14" s="515">
        <f t="shared" si="0"/>
        <v>10984041242</v>
      </c>
      <c r="M14" s="515">
        <f t="shared" si="0"/>
        <v>7111354443</v>
      </c>
      <c r="N14" s="515">
        <f t="shared" si="0"/>
        <v>7380143270.1999998</v>
      </c>
      <c r="O14" s="515">
        <f t="shared" si="0"/>
        <v>6613084961</v>
      </c>
      <c r="P14" s="515">
        <f t="shared" si="0"/>
        <v>8747229093</v>
      </c>
      <c r="Q14" s="515">
        <f t="shared" si="0"/>
        <v>4346819458</v>
      </c>
      <c r="R14" s="515">
        <f t="shared" si="0"/>
        <v>2328443021</v>
      </c>
      <c r="S14" s="515">
        <f>SUM(S17+S19+S21+S23)</f>
        <v>1669439500</v>
      </c>
      <c r="T14" s="515">
        <f>SUM(T17+T19+T21+T23)</f>
        <v>1485468500</v>
      </c>
      <c r="U14" s="515">
        <f>SUM(U17+U19+U21)</f>
        <v>1489448260</v>
      </c>
      <c r="V14" s="515">
        <f t="shared" ref="V14:AA14" si="1">SUM(V17)</f>
        <v>0</v>
      </c>
      <c r="W14" s="515">
        <f t="shared" si="1"/>
        <v>0</v>
      </c>
      <c r="X14" s="515">
        <f t="shared" si="1"/>
        <v>863900000</v>
      </c>
      <c r="Y14" s="515">
        <f t="shared" si="1"/>
        <v>1214419550</v>
      </c>
      <c r="Z14" s="515">
        <f t="shared" si="1"/>
        <v>2200000000</v>
      </c>
      <c r="AA14" s="515">
        <f t="shared" si="1"/>
        <v>100000000</v>
      </c>
      <c r="AB14" s="516"/>
    </row>
    <row r="15" spans="1:28" ht="17.399999999999999" hidden="1" x14ac:dyDescent="0.45">
      <c r="A15" s="503"/>
      <c r="B15" s="511"/>
      <c r="C15" s="511"/>
      <c r="D15" s="511"/>
      <c r="E15" s="511"/>
      <c r="F15" s="511"/>
      <c r="G15" s="511"/>
      <c r="H15" s="511"/>
      <c r="I15" s="511"/>
      <c r="J15" s="511"/>
      <c r="K15" s="511"/>
      <c r="L15" s="511"/>
      <c r="M15" s="511"/>
      <c r="N15" s="511"/>
      <c r="O15" s="511"/>
      <c r="P15" s="373"/>
      <c r="Q15" s="373"/>
      <c r="R15" s="373"/>
      <c r="S15" s="373"/>
      <c r="T15" s="511"/>
      <c r="U15" s="511"/>
      <c r="V15" s="511"/>
      <c r="W15" s="511"/>
      <c r="X15" s="511"/>
      <c r="Y15" s="511"/>
      <c r="Z15" s="511"/>
      <c r="AA15" s="512"/>
      <c r="AB15" s="506"/>
    </row>
    <row r="16" spans="1:28" ht="17.399999999999999" x14ac:dyDescent="0.45">
      <c r="A16" s="503"/>
      <c r="B16" s="511"/>
      <c r="C16" s="511"/>
      <c r="D16" s="511"/>
      <c r="E16" s="511"/>
      <c r="F16" s="511"/>
      <c r="G16" s="511"/>
      <c r="H16" s="511"/>
      <c r="I16" s="511"/>
      <c r="J16" s="511"/>
      <c r="K16" s="511"/>
      <c r="L16" s="511"/>
      <c r="M16" s="511"/>
      <c r="N16" s="511"/>
      <c r="O16" s="511"/>
      <c r="P16" s="373"/>
      <c r="Q16" s="373"/>
      <c r="R16" s="373"/>
      <c r="S16" s="373"/>
      <c r="T16" s="511"/>
      <c r="U16" s="511"/>
      <c r="V16" s="511"/>
      <c r="W16" s="511"/>
      <c r="X16" s="511"/>
      <c r="Y16" s="511"/>
      <c r="Z16" s="511"/>
      <c r="AA16" s="512"/>
      <c r="AB16" s="506"/>
    </row>
    <row r="17" spans="1:36" ht="52.2" x14ac:dyDescent="0.45">
      <c r="A17" s="517"/>
      <c r="B17" s="518" t="s">
        <v>52</v>
      </c>
      <c r="C17" s="519">
        <f>58500000+740000000</f>
        <v>798500000</v>
      </c>
      <c r="D17" s="519">
        <v>36702490.359999999</v>
      </c>
      <c r="E17" s="520">
        <v>90506159</v>
      </c>
      <c r="F17" s="520">
        <v>262459241</v>
      </c>
      <c r="G17" s="520">
        <v>258048382.97999999</v>
      </c>
      <c r="H17" s="520">
        <v>315004020</v>
      </c>
      <c r="I17" s="521">
        <f>40000000+14645093</f>
        <v>54645093</v>
      </c>
      <c r="J17" s="522">
        <v>100000000</v>
      </c>
      <c r="K17" s="522">
        <v>49120520</v>
      </c>
      <c r="L17" s="522">
        <v>31688822</v>
      </c>
      <c r="M17" s="522">
        <v>101784747</v>
      </c>
      <c r="N17" s="522">
        <v>111874522</v>
      </c>
      <c r="O17" s="522">
        <v>129277865</v>
      </c>
      <c r="P17" s="522">
        <v>25864840</v>
      </c>
      <c r="Q17" s="522">
        <v>0</v>
      </c>
      <c r="R17" s="522">
        <v>0</v>
      </c>
      <c r="S17" s="522">
        <f>11800000+7500000</f>
        <v>19300000</v>
      </c>
      <c r="T17" s="523">
        <v>45192500</v>
      </c>
      <c r="U17" s="523">
        <v>45158904</v>
      </c>
      <c r="V17" s="523"/>
      <c r="W17" s="523"/>
      <c r="X17" s="523">
        <v>863900000</v>
      </c>
      <c r="Y17" s="521">
        <v>1214419550</v>
      </c>
      <c r="Z17" s="521">
        <v>2200000000</v>
      </c>
      <c r="AA17" s="521">
        <v>100000000</v>
      </c>
      <c r="AB17" s="524"/>
    </row>
    <row r="18" spans="1:36" ht="12.75" customHeight="1" x14ac:dyDescent="0.45">
      <c r="A18" s="503"/>
      <c r="B18" s="525"/>
      <c r="C18" s="526"/>
      <c r="D18" s="527"/>
      <c r="E18" s="526"/>
      <c r="F18" s="526"/>
      <c r="G18" s="526"/>
      <c r="H18" s="526"/>
      <c r="I18" s="528" t="s">
        <v>541</v>
      </c>
      <c r="J18" s="525"/>
      <c r="K18" s="525"/>
      <c r="L18" s="525"/>
      <c r="M18" s="525"/>
      <c r="N18" s="525"/>
      <c r="O18" s="525"/>
      <c r="P18" s="529"/>
      <c r="Q18" s="529"/>
      <c r="R18" s="529"/>
      <c r="S18" s="529"/>
      <c r="T18" s="530"/>
      <c r="U18" s="530"/>
      <c r="V18" s="530"/>
      <c r="W18" s="530"/>
      <c r="X18" s="530"/>
      <c r="Y18" s="530"/>
      <c r="Z18" s="530"/>
      <c r="AA18" s="530"/>
      <c r="AB18" s="506"/>
    </row>
    <row r="19" spans="1:36" ht="34.799999999999997" x14ac:dyDescent="0.45">
      <c r="A19" s="517"/>
      <c r="B19" s="518" t="s">
        <v>1111</v>
      </c>
      <c r="C19" s="519">
        <v>7487000000</v>
      </c>
      <c r="D19" s="519">
        <f>3600000000+3995000000</f>
        <v>7595000000</v>
      </c>
      <c r="E19" s="520">
        <v>8607300000.0030556</v>
      </c>
      <c r="F19" s="520">
        <v>7042011097</v>
      </c>
      <c r="G19" s="520">
        <v>5197800000</v>
      </c>
      <c r="H19" s="520">
        <v>3628000000</v>
      </c>
      <c r="I19" s="521">
        <v>3628000000</v>
      </c>
      <c r="J19" s="522">
        <v>3721907558</v>
      </c>
      <c r="K19" s="522">
        <v>3864051442</v>
      </c>
      <c r="L19" s="522">
        <v>8088200000</v>
      </c>
      <c r="M19" s="522">
        <v>3354000000</v>
      </c>
      <c r="N19" s="522">
        <v>4327390196</v>
      </c>
      <c r="O19" s="522">
        <v>5673900000</v>
      </c>
      <c r="P19" s="522">
        <v>8104200000</v>
      </c>
      <c r="Q19" s="522">
        <v>3912628800</v>
      </c>
      <c r="R19" s="522">
        <v>2030400000</v>
      </c>
      <c r="S19" s="522">
        <v>1650139500</v>
      </c>
      <c r="T19" s="523">
        <v>1340800000</v>
      </c>
      <c r="U19" s="523">
        <v>1129500000</v>
      </c>
      <c r="V19" s="523">
        <f>1055200000</f>
        <v>1055200000</v>
      </c>
      <c r="W19" s="523">
        <v>923559000</v>
      </c>
      <c r="X19" s="523"/>
      <c r="Y19" s="521"/>
      <c r="Z19" s="521"/>
      <c r="AA19" s="521"/>
      <c r="AB19" s="524"/>
      <c r="AD19" s="525"/>
      <c r="AE19" s="529"/>
      <c r="AF19" s="529"/>
      <c r="AG19" s="531"/>
      <c r="AH19" s="531"/>
      <c r="AI19" s="531"/>
      <c r="AJ19" s="531"/>
    </row>
    <row r="20" spans="1:36" ht="12.75" customHeight="1" x14ac:dyDescent="0.45">
      <c r="A20" s="503"/>
      <c r="B20" s="525"/>
      <c r="C20" s="526"/>
      <c r="D20" s="527"/>
      <c r="E20" s="526"/>
      <c r="F20" s="526"/>
      <c r="G20" s="526"/>
      <c r="H20" s="526"/>
      <c r="I20" s="530"/>
      <c r="J20" s="525"/>
      <c r="K20" s="525"/>
      <c r="L20" s="525"/>
      <c r="M20" s="525"/>
      <c r="N20" s="525"/>
      <c r="O20" s="525"/>
      <c r="P20" s="529"/>
      <c r="Q20" s="529"/>
      <c r="R20" s="529"/>
      <c r="S20" s="529"/>
      <c r="T20" s="531"/>
      <c r="U20" s="531"/>
      <c r="V20" s="531"/>
      <c r="W20" s="531"/>
      <c r="X20" s="531"/>
      <c r="Y20" s="530"/>
      <c r="Z20" s="530"/>
      <c r="AA20" s="530"/>
      <c r="AB20" s="506"/>
    </row>
    <row r="21" spans="1:36" ht="52.2" x14ac:dyDescent="0.45">
      <c r="A21" s="517"/>
      <c r="B21" s="518" t="s">
        <v>1240</v>
      </c>
      <c r="C21" s="519">
        <v>5713263394.6999998</v>
      </c>
      <c r="D21" s="519">
        <v>5295943080</v>
      </c>
      <c r="E21" s="520">
        <v>5126760000</v>
      </c>
      <c r="F21" s="520">
        <v>5076000000</v>
      </c>
      <c r="G21" s="520">
        <v>5000000000</v>
      </c>
      <c r="H21" s="520">
        <v>5081241519.3699999</v>
      </c>
      <c r="I21" s="521">
        <v>3805079000</v>
      </c>
      <c r="J21" s="522">
        <v>3131281430</v>
      </c>
      <c r="K21" s="522">
        <v>2147638793</v>
      </c>
      <c r="L21" s="522">
        <v>2859628881</v>
      </c>
      <c r="M21" s="522">
        <v>3655569696</v>
      </c>
      <c r="N21" s="522">
        <v>2932630793</v>
      </c>
      <c r="O21" s="522">
        <v>784019600</v>
      </c>
      <c r="P21" s="522">
        <v>572139712</v>
      </c>
      <c r="Q21" s="522">
        <v>408595329</v>
      </c>
      <c r="R21" s="522">
        <v>263575060</v>
      </c>
      <c r="S21" s="522">
        <v>0</v>
      </c>
      <c r="T21" s="523">
        <v>16476000</v>
      </c>
      <c r="U21" s="523">
        <v>314789356</v>
      </c>
      <c r="V21" s="522"/>
      <c r="W21" s="522"/>
      <c r="X21" s="523"/>
      <c r="Y21" s="521"/>
      <c r="Z21" s="521"/>
      <c r="AA21" s="521"/>
      <c r="AB21" s="524"/>
    </row>
    <row r="22" spans="1:36" ht="12.75" customHeight="1" x14ac:dyDescent="0.45">
      <c r="A22" s="503"/>
      <c r="B22" s="525"/>
      <c r="C22" s="526"/>
      <c r="D22" s="527"/>
      <c r="E22" s="526"/>
      <c r="F22" s="526"/>
      <c r="G22" s="526"/>
      <c r="H22" s="526"/>
      <c r="I22" s="530"/>
      <c r="J22" s="525"/>
      <c r="K22" s="525"/>
      <c r="L22" s="525"/>
      <c r="M22" s="525"/>
      <c r="N22" s="525"/>
      <c r="O22" s="525"/>
      <c r="P22" s="529"/>
      <c r="Q22" s="529"/>
      <c r="R22" s="529"/>
      <c r="S22" s="529"/>
      <c r="T22" s="529"/>
      <c r="U22" s="529"/>
      <c r="V22" s="529"/>
      <c r="W22" s="529"/>
      <c r="X22" s="531"/>
      <c r="Y22" s="530"/>
      <c r="Z22" s="530"/>
      <c r="AA22" s="530"/>
      <c r="AB22" s="506"/>
    </row>
    <row r="23" spans="1:36" ht="34.799999999999997" x14ac:dyDescent="0.45">
      <c r="A23" s="517"/>
      <c r="B23" s="518" t="s">
        <v>348</v>
      </c>
      <c r="C23" s="519"/>
      <c r="D23" s="519"/>
      <c r="E23" s="532"/>
      <c r="F23" s="532"/>
      <c r="G23" s="520"/>
      <c r="H23" s="520">
        <v>745394943</v>
      </c>
      <c r="I23" s="521">
        <f>375000000+58893200</f>
        <v>433893200</v>
      </c>
      <c r="J23" s="533">
        <v>0</v>
      </c>
      <c r="K23" s="533">
        <v>0</v>
      </c>
      <c r="L23" s="533">
        <v>0</v>
      </c>
      <c r="M23" s="533">
        <v>0</v>
      </c>
      <c r="N23" s="533">
        <v>0</v>
      </c>
      <c r="O23" s="518"/>
      <c r="P23" s="522">
        <v>0</v>
      </c>
      <c r="Q23" s="522">
        <v>0</v>
      </c>
      <c r="R23" s="522">
        <v>16160000</v>
      </c>
      <c r="S23" s="522">
        <v>0</v>
      </c>
      <c r="T23" s="523">
        <v>83000000</v>
      </c>
      <c r="U23" s="523">
        <v>314789356</v>
      </c>
      <c r="V23" s="522"/>
      <c r="W23" s="522"/>
      <c r="X23" s="523"/>
      <c r="Y23" s="521"/>
      <c r="Z23" s="521"/>
      <c r="AA23" s="521"/>
      <c r="AB23" s="524"/>
    </row>
    <row r="24" spans="1:36" ht="12.75" hidden="1" customHeight="1" x14ac:dyDescent="0.45">
      <c r="A24" s="503"/>
      <c r="B24" s="525"/>
      <c r="C24" s="526"/>
      <c r="D24" s="527"/>
      <c r="E24" s="526"/>
      <c r="F24" s="526"/>
      <c r="G24" s="526"/>
      <c r="H24" s="526"/>
      <c r="I24" s="530"/>
      <c r="J24" s="525"/>
      <c r="K24" s="525"/>
      <c r="L24" s="525"/>
      <c r="M24" s="525"/>
      <c r="N24" s="525"/>
      <c r="O24" s="525"/>
      <c r="P24" s="529"/>
      <c r="Q24" s="529"/>
      <c r="R24" s="529"/>
      <c r="S24" s="529"/>
      <c r="T24" s="529"/>
      <c r="U24" s="529"/>
      <c r="V24" s="529"/>
      <c r="W24" s="529"/>
      <c r="X24" s="531"/>
      <c r="Y24" s="530"/>
      <c r="Z24" s="530"/>
      <c r="AA24" s="530"/>
      <c r="AB24" s="506"/>
    </row>
    <row r="25" spans="1:36" ht="34.799999999999997" hidden="1" x14ac:dyDescent="0.45">
      <c r="A25" s="517"/>
      <c r="B25" s="518" t="s">
        <v>1081</v>
      </c>
      <c r="C25" s="532"/>
      <c r="D25" s="519"/>
      <c r="E25" s="532"/>
      <c r="F25" s="532"/>
      <c r="G25" s="520">
        <v>0</v>
      </c>
      <c r="H25" s="520"/>
      <c r="I25" s="521"/>
      <c r="J25" s="533"/>
      <c r="K25" s="533"/>
      <c r="L25" s="533"/>
      <c r="M25" s="533"/>
      <c r="N25" s="533"/>
      <c r="O25" s="518"/>
      <c r="P25" s="522"/>
      <c r="Q25" s="522"/>
      <c r="R25" s="522"/>
      <c r="S25" s="522"/>
      <c r="T25" s="523"/>
      <c r="U25" s="523"/>
      <c r="V25" s="522"/>
      <c r="W25" s="522"/>
      <c r="X25" s="523"/>
      <c r="Y25" s="521"/>
      <c r="Z25" s="521"/>
      <c r="AA25" s="521"/>
      <c r="AB25" s="524"/>
    </row>
    <row r="26" spans="1:36" ht="13.5" customHeight="1" x14ac:dyDescent="0.45">
      <c r="A26" s="503"/>
      <c r="B26" s="525"/>
      <c r="C26" s="526"/>
      <c r="D26" s="527"/>
      <c r="E26" s="526"/>
      <c r="F26" s="526"/>
      <c r="G26" s="526"/>
      <c r="H26" s="526"/>
      <c r="I26" s="530"/>
      <c r="J26" s="525"/>
      <c r="K26" s="525"/>
      <c r="L26" s="525"/>
      <c r="M26" s="525"/>
      <c r="N26" s="525"/>
      <c r="O26" s="525"/>
      <c r="P26" s="529"/>
      <c r="Q26" s="529"/>
      <c r="R26" s="529"/>
      <c r="S26" s="529"/>
      <c r="T26" s="531"/>
      <c r="U26" s="531"/>
      <c r="V26" s="529"/>
      <c r="W26" s="529"/>
      <c r="X26" s="531"/>
      <c r="Y26" s="530"/>
      <c r="Z26" s="530"/>
      <c r="AA26" s="530"/>
      <c r="AB26" s="506"/>
    </row>
    <row r="27" spans="1:36" ht="33.75" customHeight="1" x14ac:dyDescent="0.45">
      <c r="A27" s="517"/>
      <c r="B27" s="518" t="s">
        <v>323</v>
      </c>
      <c r="C27" s="519"/>
      <c r="D27" s="519"/>
      <c r="E27" s="532"/>
      <c r="F27" s="520">
        <v>42618346</v>
      </c>
      <c r="G27" s="520">
        <v>64834315.049999997</v>
      </c>
      <c r="H27" s="520">
        <v>262754562.62</v>
      </c>
      <c r="I27" s="521">
        <v>45714714</v>
      </c>
      <c r="J27" s="522">
        <v>33000000</v>
      </c>
      <c r="K27" s="533">
        <v>0</v>
      </c>
      <c r="L27" s="522">
        <v>4523539</v>
      </c>
      <c r="M27" s="518"/>
      <c r="N27" s="522">
        <v>8247759.2000000002</v>
      </c>
      <c r="O27" s="522">
        <v>25887496</v>
      </c>
      <c r="P27" s="522">
        <v>45024541</v>
      </c>
      <c r="Q27" s="522">
        <v>25595329</v>
      </c>
      <c r="R27" s="522">
        <v>18307961</v>
      </c>
      <c r="S27" s="522">
        <v>0</v>
      </c>
      <c r="T27" s="523">
        <v>0</v>
      </c>
      <c r="U27" s="523">
        <v>0</v>
      </c>
      <c r="V27" s="522">
        <v>0</v>
      </c>
      <c r="W27" s="522">
        <v>0</v>
      </c>
      <c r="X27" s="523"/>
      <c r="Y27" s="521"/>
      <c r="Z27" s="521"/>
      <c r="AA27" s="521"/>
      <c r="AB27" s="524"/>
    </row>
    <row r="28" spans="1:36" ht="13.5" hidden="1" customHeight="1" x14ac:dyDescent="0.45">
      <c r="A28" s="503"/>
      <c r="B28" s="525"/>
      <c r="C28" s="526"/>
      <c r="D28" s="527"/>
      <c r="E28" s="526"/>
      <c r="F28" s="526"/>
      <c r="G28" s="526"/>
      <c r="H28" s="526"/>
      <c r="I28" s="530"/>
      <c r="J28" s="525"/>
      <c r="K28" s="525"/>
      <c r="L28" s="525"/>
      <c r="M28" s="525"/>
      <c r="N28" s="525"/>
      <c r="O28" s="525"/>
      <c r="P28" s="529"/>
      <c r="Q28" s="529"/>
      <c r="R28" s="529"/>
      <c r="S28" s="529"/>
      <c r="T28" s="531"/>
      <c r="U28" s="531"/>
      <c r="V28" s="529"/>
      <c r="W28" s="529"/>
      <c r="X28" s="531"/>
      <c r="Y28" s="530"/>
      <c r="Z28" s="530"/>
      <c r="AA28" s="530"/>
      <c r="AB28" s="506"/>
    </row>
    <row r="29" spans="1:36" ht="13.5" hidden="1" customHeight="1" x14ac:dyDescent="0.45">
      <c r="A29" s="503"/>
      <c r="B29" s="525"/>
      <c r="C29" s="526"/>
      <c r="D29" s="527"/>
      <c r="E29" s="526"/>
      <c r="F29" s="526"/>
      <c r="G29" s="526"/>
      <c r="H29" s="526"/>
      <c r="I29" s="530"/>
      <c r="J29" s="525"/>
      <c r="K29" s="525"/>
      <c r="L29" s="525"/>
      <c r="M29" s="525"/>
      <c r="N29" s="525"/>
      <c r="O29" s="525"/>
      <c r="P29" s="529"/>
      <c r="Q29" s="529"/>
      <c r="R29" s="529"/>
      <c r="S29" s="529"/>
      <c r="T29" s="531"/>
      <c r="U29" s="531"/>
      <c r="V29" s="529"/>
      <c r="W29" s="529"/>
      <c r="X29" s="531"/>
      <c r="Y29" s="530"/>
      <c r="Z29" s="530"/>
      <c r="AA29" s="530"/>
      <c r="AB29" s="506"/>
    </row>
    <row r="30" spans="1:36" ht="12.75" customHeight="1" x14ac:dyDescent="0.45">
      <c r="A30" s="503"/>
      <c r="B30" s="525"/>
      <c r="C30" s="526"/>
      <c r="D30" s="527"/>
      <c r="E30" s="526"/>
      <c r="F30" s="526"/>
      <c r="G30" s="526"/>
      <c r="H30" s="526"/>
      <c r="I30" s="530"/>
      <c r="J30" s="525"/>
      <c r="K30" s="525"/>
      <c r="L30" s="525"/>
      <c r="M30" s="525"/>
      <c r="N30" s="525"/>
      <c r="O30" s="525"/>
      <c r="P30" s="529"/>
      <c r="Q30" s="529"/>
      <c r="R30" s="529"/>
      <c r="S30" s="529"/>
      <c r="T30" s="529"/>
      <c r="U30" s="529"/>
      <c r="V30" s="529"/>
      <c r="W30" s="529"/>
      <c r="X30" s="531"/>
      <c r="Y30" s="530"/>
      <c r="Z30" s="530"/>
      <c r="AA30" s="530"/>
      <c r="AB30" s="506"/>
    </row>
    <row r="31" spans="1:36" ht="18.75" customHeight="1" x14ac:dyDescent="0.45">
      <c r="A31" s="534"/>
      <c r="B31" s="535" t="s">
        <v>321</v>
      </c>
      <c r="C31" s="536">
        <f>+C34</f>
        <v>1687456540</v>
      </c>
      <c r="D31" s="536">
        <f>+D34</f>
        <v>10020170036</v>
      </c>
      <c r="E31" s="537">
        <f>+E33+E34</f>
        <v>189997048.92000002</v>
      </c>
      <c r="F31" s="537">
        <f t="shared" ref="F31:S31" si="2">SUM(F33+F34)</f>
        <v>73164073</v>
      </c>
      <c r="G31" s="537">
        <f t="shared" si="2"/>
        <v>2078667861</v>
      </c>
      <c r="H31" s="537">
        <f t="shared" si="2"/>
        <v>1613181679</v>
      </c>
      <c r="I31" s="538">
        <f t="shared" si="2"/>
        <v>510015206</v>
      </c>
      <c r="J31" s="539">
        <f t="shared" si="2"/>
        <v>755476989</v>
      </c>
      <c r="K31" s="539">
        <f t="shared" si="2"/>
        <v>1514050131</v>
      </c>
      <c r="L31" s="539">
        <f t="shared" si="2"/>
        <v>683046830</v>
      </c>
      <c r="M31" s="539">
        <f t="shared" si="2"/>
        <v>2384179947</v>
      </c>
      <c r="N31" s="539">
        <f t="shared" si="2"/>
        <v>587186678</v>
      </c>
      <c r="O31" s="539">
        <f t="shared" si="2"/>
        <v>3508787272</v>
      </c>
      <c r="P31" s="539">
        <f t="shared" si="2"/>
        <v>653472120</v>
      </c>
      <c r="Q31" s="539">
        <f t="shared" si="2"/>
        <v>89697872</v>
      </c>
      <c r="R31" s="539">
        <f t="shared" si="2"/>
        <v>54886142</v>
      </c>
      <c r="S31" s="539">
        <f t="shared" si="2"/>
        <v>64608479</v>
      </c>
      <c r="T31" s="540">
        <f t="shared" ref="T31:Y31" si="3">+T33</f>
        <v>0</v>
      </c>
      <c r="U31" s="540">
        <f t="shared" si="3"/>
        <v>0</v>
      </c>
      <c r="V31" s="540">
        <f t="shared" si="3"/>
        <v>737884410.26999998</v>
      </c>
      <c r="W31" s="540">
        <f t="shared" si="3"/>
        <v>452443259</v>
      </c>
      <c r="X31" s="540">
        <f t="shared" si="3"/>
        <v>314809847</v>
      </c>
      <c r="Y31" s="541">
        <f t="shared" si="3"/>
        <v>185085500</v>
      </c>
      <c r="Z31" s="541">
        <f>SUM(Z36)</f>
        <v>16714961</v>
      </c>
      <c r="AA31" s="541">
        <f>SUM(AA37)</f>
        <v>0</v>
      </c>
      <c r="AB31" s="542"/>
    </row>
    <row r="32" spans="1:36" ht="12.75" customHeight="1" x14ac:dyDescent="0.45">
      <c r="A32" s="503"/>
      <c r="B32" s="511"/>
      <c r="C32" s="543"/>
      <c r="D32" s="544"/>
      <c r="E32" s="543"/>
      <c r="F32" s="543"/>
      <c r="G32" s="543"/>
      <c r="H32" s="543"/>
      <c r="I32" s="545"/>
      <c r="J32" s="511"/>
      <c r="K32" s="511"/>
      <c r="L32" s="511"/>
      <c r="M32" s="511"/>
      <c r="N32" s="511"/>
      <c r="O32" s="511"/>
      <c r="P32" s="373"/>
      <c r="Q32" s="373"/>
      <c r="R32" s="373"/>
      <c r="S32" s="373"/>
      <c r="T32" s="373"/>
      <c r="U32" s="373"/>
      <c r="V32" s="373"/>
      <c r="W32" s="373"/>
      <c r="X32" s="373"/>
      <c r="Y32" s="511"/>
      <c r="Z32" s="511"/>
      <c r="AA32" s="512"/>
      <c r="AB32" s="506"/>
    </row>
    <row r="33" spans="1:28" ht="19.95" customHeight="1" x14ac:dyDescent="0.45">
      <c r="A33" s="546"/>
      <c r="B33" s="547" t="s">
        <v>62</v>
      </c>
      <c r="C33" s="548"/>
      <c r="D33" s="548"/>
      <c r="E33" s="549"/>
      <c r="F33" s="549"/>
      <c r="G33" s="550">
        <v>471310308</v>
      </c>
      <c r="H33" s="550">
        <v>974120728</v>
      </c>
      <c r="I33" s="551">
        <v>171677000</v>
      </c>
      <c r="J33" s="522">
        <f>40011742+47000000</f>
        <v>87011742</v>
      </c>
      <c r="K33" s="522">
        <v>200482546</v>
      </c>
      <c r="L33" s="522">
        <v>7500000</v>
      </c>
      <c r="M33" s="522">
        <v>198259385</v>
      </c>
      <c r="N33" s="522">
        <v>131617076</v>
      </c>
      <c r="O33" s="522">
        <v>108688252</v>
      </c>
      <c r="P33" s="552">
        <v>267205635</v>
      </c>
      <c r="Q33" s="552">
        <v>0</v>
      </c>
      <c r="R33" s="552">
        <v>0</v>
      </c>
      <c r="S33" s="552">
        <v>0</v>
      </c>
      <c r="T33" s="523">
        <v>0</v>
      </c>
      <c r="U33" s="523">
        <v>0</v>
      </c>
      <c r="V33" s="523">
        <f>60000000+533820145.27+6000000+127623991+10440274</f>
        <v>737884410.26999998</v>
      </c>
      <c r="W33" s="553">
        <f>163438941+175754318+113250000</f>
        <v>452443259</v>
      </c>
      <c r="X33" s="553">
        <v>314809847</v>
      </c>
      <c r="Y33" s="551">
        <v>185085500</v>
      </c>
      <c r="Z33" s="551">
        <v>16714961</v>
      </c>
      <c r="AA33" s="551">
        <v>0</v>
      </c>
      <c r="AB33" s="554"/>
    </row>
    <row r="34" spans="1:28" ht="18" customHeight="1" x14ac:dyDescent="0.45">
      <c r="A34" s="546"/>
      <c r="B34" s="547" t="s">
        <v>63</v>
      </c>
      <c r="C34" s="548">
        <v>1687456540</v>
      </c>
      <c r="D34" s="548">
        <v>10020170036</v>
      </c>
      <c r="E34" s="550">
        <v>189997048.92000002</v>
      </c>
      <c r="F34" s="550">
        <v>73164073</v>
      </c>
      <c r="G34" s="550">
        <v>1607357553</v>
      </c>
      <c r="H34" s="550">
        <v>639060951</v>
      </c>
      <c r="I34" s="551">
        <f>337992046+346160</f>
        <v>338338206</v>
      </c>
      <c r="J34" s="522">
        <f>604345247+64120000</f>
        <v>668465247</v>
      </c>
      <c r="K34" s="522">
        <v>1313567585</v>
      </c>
      <c r="L34" s="522">
        <v>675546830</v>
      </c>
      <c r="M34" s="522">
        <v>2185920562</v>
      </c>
      <c r="N34" s="522">
        <v>455569602</v>
      </c>
      <c r="O34" s="522">
        <v>3400099020</v>
      </c>
      <c r="P34" s="552">
        <v>386266485</v>
      </c>
      <c r="Q34" s="552">
        <v>89697872</v>
      </c>
      <c r="R34" s="552">
        <v>54886142</v>
      </c>
      <c r="S34" s="552">
        <v>64608479</v>
      </c>
      <c r="T34" s="523">
        <v>50777596</v>
      </c>
      <c r="U34" s="523">
        <v>109150700</v>
      </c>
      <c r="V34" s="523">
        <f>60000000+533820145.27+6000000+127623991+10440274</f>
        <v>737884410.26999998</v>
      </c>
      <c r="W34" s="553">
        <f>163438941+175754318+113250000</f>
        <v>452443259</v>
      </c>
      <c r="X34" s="553">
        <v>314809848</v>
      </c>
      <c r="Y34" s="551">
        <v>185085500</v>
      </c>
      <c r="Z34" s="551">
        <v>16714961</v>
      </c>
      <c r="AA34" s="551">
        <v>0</v>
      </c>
      <c r="AB34" s="554"/>
    </row>
    <row r="35" spans="1:28" ht="17.399999999999999" x14ac:dyDescent="0.45">
      <c r="A35" s="439"/>
      <c r="B35" s="365"/>
      <c r="C35" s="500"/>
      <c r="D35" s="555"/>
      <c r="E35" s="500"/>
      <c r="F35" s="500"/>
      <c r="G35" s="500"/>
      <c r="H35" s="500"/>
      <c r="I35" s="556"/>
      <c r="J35" s="365"/>
      <c r="K35" s="365"/>
      <c r="L35" s="365"/>
      <c r="M35" s="365"/>
      <c r="N35" s="365"/>
      <c r="O35" s="365"/>
      <c r="P35" s="366"/>
      <c r="Q35" s="366"/>
      <c r="R35" s="366"/>
      <c r="S35" s="366"/>
      <c r="T35" s="365"/>
      <c r="U35" s="365"/>
      <c r="V35" s="365"/>
      <c r="W35" s="365"/>
      <c r="X35" s="365"/>
      <c r="Y35" s="365"/>
      <c r="Z35" s="365"/>
      <c r="AA35" s="365"/>
      <c r="AB35" s="557"/>
    </row>
    <row r="36" spans="1:28" ht="22.5" hidden="1" customHeight="1" outlineLevel="1" x14ac:dyDescent="0.45">
      <c r="A36" s="558"/>
      <c r="B36" s="547" t="s">
        <v>49</v>
      </c>
      <c r="C36" s="549"/>
      <c r="D36" s="548"/>
      <c r="E36" s="549"/>
      <c r="F36" s="549"/>
      <c r="G36" s="549"/>
      <c r="H36" s="549"/>
      <c r="I36" s="559"/>
      <c r="J36" s="547"/>
      <c r="K36" s="547"/>
      <c r="L36" s="547"/>
      <c r="M36" s="547"/>
      <c r="N36" s="547"/>
      <c r="O36" s="547"/>
      <c r="P36" s="552"/>
      <c r="Q36" s="552"/>
      <c r="R36" s="552"/>
      <c r="S36" s="552"/>
      <c r="T36" s="521">
        <v>50777596</v>
      </c>
      <c r="U36" s="521">
        <v>109150700</v>
      </c>
      <c r="V36" s="521">
        <f>60000000+533820145.27+6000000+127623991+10440274</f>
        <v>737884410.26999998</v>
      </c>
      <c r="W36" s="551">
        <f>163438941+175754318+113250000</f>
        <v>452443259</v>
      </c>
      <c r="X36" s="551">
        <v>314809847</v>
      </c>
      <c r="Y36" s="551">
        <v>185085500</v>
      </c>
      <c r="Z36" s="551">
        <v>16714961</v>
      </c>
      <c r="AA36" s="551">
        <v>0</v>
      </c>
      <c r="AB36" s="554"/>
    </row>
    <row r="37" spans="1:28" ht="17.399999999999999" hidden="1" outlineLevel="1" x14ac:dyDescent="0.45">
      <c r="A37" s="503"/>
      <c r="B37" s="511"/>
      <c r="C37" s="543"/>
      <c r="D37" s="544"/>
      <c r="E37" s="543"/>
      <c r="F37" s="543"/>
      <c r="G37" s="543"/>
      <c r="H37" s="543"/>
      <c r="I37" s="512"/>
      <c r="J37" s="511"/>
      <c r="K37" s="511"/>
      <c r="L37" s="511"/>
      <c r="M37" s="511"/>
      <c r="N37" s="511"/>
      <c r="O37" s="511"/>
      <c r="P37" s="373"/>
      <c r="Q37" s="373"/>
      <c r="R37" s="373"/>
      <c r="S37" s="373"/>
      <c r="T37" s="511"/>
      <c r="U37" s="511"/>
      <c r="V37" s="511"/>
      <c r="W37" s="511"/>
      <c r="X37" s="511"/>
      <c r="Y37" s="511"/>
      <c r="Z37" s="511"/>
      <c r="AA37" s="512"/>
      <c r="AB37" s="506"/>
    </row>
    <row r="38" spans="1:28" ht="17.399999999999999" hidden="1" outlineLevel="1" x14ac:dyDescent="0.45">
      <c r="A38" s="503"/>
      <c r="B38" s="511"/>
      <c r="C38" s="543"/>
      <c r="D38" s="544"/>
      <c r="E38" s="543"/>
      <c r="F38" s="543"/>
      <c r="G38" s="543"/>
      <c r="H38" s="543"/>
      <c r="I38" s="512"/>
      <c r="J38" s="511"/>
      <c r="K38" s="511"/>
      <c r="L38" s="511"/>
      <c r="M38" s="511"/>
      <c r="N38" s="511"/>
      <c r="O38" s="511"/>
      <c r="P38" s="373"/>
      <c r="Q38" s="373"/>
      <c r="R38" s="373"/>
      <c r="S38" s="373"/>
      <c r="T38" s="511"/>
      <c r="U38" s="511"/>
      <c r="V38" s="511"/>
      <c r="W38" s="511"/>
      <c r="X38" s="511"/>
      <c r="Y38" s="511"/>
      <c r="Z38" s="511"/>
      <c r="AA38" s="512"/>
      <c r="AB38" s="506"/>
    </row>
    <row r="39" spans="1:28" ht="18.75" hidden="1" customHeight="1" outlineLevel="1" x14ac:dyDescent="0.45">
      <c r="A39" s="560"/>
      <c r="B39" s="561" t="s">
        <v>24</v>
      </c>
      <c r="C39" s="562"/>
      <c r="D39" s="563"/>
      <c r="E39" s="562"/>
      <c r="F39" s="562"/>
      <c r="G39" s="562"/>
      <c r="H39" s="562"/>
      <c r="I39" s="564"/>
      <c r="J39" s="561"/>
      <c r="K39" s="561"/>
      <c r="L39" s="561"/>
      <c r="M39" s="561"/>
      <c r="N39" s="561"/>
      <c r="O39" s="561"/>
      <c r="P39" s="565"/>
      <c r="Q39" s="565"/>
      <c r="R39" s="565"/>
      <c r="S39" s="565"/>
      <c r="T39" s="566">
        <f>SUM(T41:T42)</f>
        <v>0</v>
      </c>
      <c r="U39" s="566">
        <f t="shared" ref="U39:Z39" si="4">SUM(U41:U42)</f>
        <v>0</v>
      </c>
      <c r="V39" s="566">
        <f t="shared" si="4"/>
        <v>0</v>
      </c>
      <c r="W39" s="566">
        <f t="shared" si="4"/>
        <v>0</v>
      </c>
      <c r="X39" s="566">
        <f t="shared" si="4"/>
        <v>0</v>
      </c>
      <c r="Y39" s="566">
        <f t="shared" si="4"/>
        <v>0</v>
      </c>
      <c r="Z39" s="566">
        <f t="shared" si="4"/>
        <v>0</v>
      </c>
      <c r="AA39" s="566">
        <f>SUM(AA43)</f>
        <v>0</v>
      </c>
      <c r="AB39" s="567"/>
    </row>
    <row r="40" spans="1:28" ht="17.399999999999999" hidden="1" outlineLevel="1" x14ac:dyDescent="0.45">
      <c r="A40" s="503"/>
      <c r="B40" s="511"/>
      <c r="C40" s="543"/>
      <c r="D40" s="544"/>
      <c r="E40" s="543"/>
      <c r="F40" s="543"/>
      <c r="G40" s="543"/>
      <c r="H40" s="543"/>
      <c r="I40" s="512"/>
      <c r="J40" s="511"/>
      <c r="K40" s="511"/>
      <c r="L40" s="511"/>
      <c r="M40" s="511"/>
      <c r="N40" s="511"/>
      <c r="O40" s="511"/>
      <c r="P40" s="373"/>
      <c r="Q40" s="373"/>
      <c r="R40" s="373"/>
      <c r="S40" s="373"/>
      <c r="T40" s="511"/>
      <c r="U40" s="511"/>
      <c r="V40" s="511"/>
      <c r="W40" s="511"/>
      <c r="X40" s="511"/>
      <c r="Y40" s="511"/>
      <c r="Z40" s="511"/>
      <c r="AA40" s="512"/>
      <c r="AB40" s="506"/>
    </row>
    <row r="41" spans="1:28" ht="17.399999999999999" hidden="1" outlineLevel="1" x14ac:dyDescent="0.45">
      <c r="A41" s="568"/>
      <c r="B41" s="569" t="s">
        <v>62</v>
      </c>
      <c r="C41" s="570"/>
      <c r="D41" s="571"/>
      <c r="E41" s="570"/>
      <c r="F41" s="570"/>
      <c r="G41" s="570"/>
      <c r="H41" s="570"/>
      <c r="I41" s="572"/>
      <c r="J41" s="569"/>
      <c r="K41" s="569"/>
      <c r="L41" s="569"/>
      <c r="M41" s="569"/>
      <c r="N41" s="569"/>
      <c r="O41" s="569"/>
      <c r="P41" s="573"/>
      <c r="Q41" s="573"/>
      <c r="R41" s="573"/>
      <c r="S41" s="573"/>
      <c r="T41" s="574"/>
      <c r="U41" s="574"/>
      <c r="V41" s="574"/>
      <c r="W41" s="574"/>
      <c r="X41" s="574"/>
      <c r="Y41" s="574"/>
      <c r="Z41" s="574"/>
      <c r="AA41" s="575"/>
      <c r="AB41" s="576"/>
    </row>
    <row r="42" spans="1:28" ht="17.399999999999999" hidden="1" outlineLevel="1" x14ac:dyDescent="0.45">
      <c r="A42" s="577"/>
      <c r="B42" s="578" t="s">
        <v>63</v>
      </c>
      <c r="C42" s="579"/>
      <c r="D42" s="580"/>
      <c r="E42" s="579"/>
      <c r="F42" s="579"/>
      <c r="G42" s="579"/>
      <c r="H42" s="579"/>
      <c r="I42" s="581"/>
      <c r="J42" s="578"/>
      <c r="K42" s="578"/>
      <c r="L42" s="578"/>
      <c r="M42" s="578"/>
      <c r="N42" s="578"/>
      <c r="O42" s="578"/>
      <c r="P42" s="582"/>
      <c r="Q42" s="582"/>
      <c r="R42" s="582"/>
      <c r="S42" s="582"/>
      <c r="T42" s="583"/>
      <c r="U42" s="583"/>
      <c r="V42" s="583"/>
      <c r="W42" s="584"/>
      <c r="X42" s="584"/>
      <c r="Y42" s="584"/>
      <c r="Z42" s="584"/>
      <c r="AA42" s="585"/>
      <c r="AB42" s="557"/>
    </row>
    <row r="43" spans="1:28" ht="17.399999999999999" hidden="1" outlineLevel="1" x14ac:dyDescent="0.45">
      <c r="A43" s="503"/>
      <c r="B43" s="511"/>
      <c r="C43" s="543"/>
      <c r="D43" s="544"/>
      <c r="E43" s="543"/>
      <c r="F43" s="543"/>
      <c r="G43" s="543"/>
      <c r="H43" s="543"/>
      <c r="I43" s="512"/>
      <c r="J43" s="511"/>
      <c r="K43" s="511"/>
      <c r="L43" s="511"/>
      <c r="M43" s="511"/>
      <c r="N43" s="511"/>
      <c r="O43" s="511"/>
      <c r="P43" s="373"/>
      <c r="Q43" s="373"/>
      <c r="R43" s="373"/>
      <c r="S43" s="373"/>
      <c r="T43" s="511"/>
      <c r="U43" s="511"/>
      <c r="V43" s="511"/>
      <c r="W43" s="511"/>
      <c r="X43" s="511"/>
      <c r="Y43" s="511"/>
      <c r="Z43" s="511"/>
      <c r="AA43" s="512"/>
      <c r="AB43" s="506"/>
    </row>
    <row r="44" spans="1:28" ht="21.75" customHeight="1" collapsed="1" x14ac:dyDescent="0.45">
      <c r="A44" s="513"/>
      <c r="B44" s="586" t="s">
        <v>3</v>
      </c>
      <c r="C44" s="587">
        <f t="shared" ref="C44:H44" si="5">SUM(C31+C14)</f>
        <v>15686219934.700001</v>
      </c>
      <c r="D44" s="587">
        <f t="shared" si="5"/>
        <v>22947815606.360001</v>
      </c>
      <c r="E44" s="587">
        <f t="shared" si="5"/>
        <v>14014563207.923056</v>
      </c>
      <c r="F44" s="587">
        <f t="shared" si="5"/>
        <v>12496252757</v>
      </c>
      <c r="G44" s="587">
        <f t="shared" si="5"/>
        <v>12599350559.029999</v>
      </c>
      <c r="H44" s="587">
        <f t="shared" si="5"/>
        <v>11645576723.99</v>
      </c>
      <c r="I44" s="588">
        <f t="shared" ref="I44:Z44" si="6">SUM(I31+I14)</f>
        <v>8477347213</v>
      </c>
      <c r="J44" s="588">
        <f t="shared" si="6"/>
        <v>7741665977</v>
      </c>
      <c r="K44" s="588">
        <f t="shared" si="6"/>
        <v>7574860886</v>
      </c>
      <c r="L44" s="588">
        <f t="shared" si="6"/>
        <v>11667088072</v>
      </c>
      <c r="M44" s="588">
        <f t="shared" si="6"/>
        <v>9495534390</v>
      </c>
      <c r="N44" s="588">
        <f t="shared" si="6"/>
        <v>7967329948.1999998</v>
      </c>
      <c r="O44" s="588">
        <f t="shared" si="6"/>
        <v>10121872233</v>
      </c>
      <c r="P44" s="588">
        <f t="shared" si="6"/>
        <v>9400701213</v>
      </c>
      <c r="Q44" s="588">
        <f t="shared" si="6"/>
        <v>4436517330</v>
      </c>
      <c r="R44" s="588">
        <f t="shared" si="6"/>
        <v>2383329163</v>
      </c>
      <c r="S44" s="588">
        <f t="shared" si="6"/>
        <v>1734047979</v>
      </c>
      <c r="T44" s="588">
        <f t="shared" si="6"/>
        <v>1485468500</v>
      </c>
      <c r="U44" s="588">
        <f t="shared" si="6"/>
        <v>1489448260</v>
      </c>
      <c r="V44" s="588">
        <f t="shared" si="6"/>
        <v>737884410.26999998</v>
      </c>
      <c r="W44" s="588">
        <f t="shared" si="6"/>
        <v>452443259</v>
      </c>
      <c r="X44" s="588">
        <f t="shared" si="6"/>
        <v>1178709847</v>
      </c>
      <c r="Y44" s="588">
        <f t="shared" si="6"/>
        <v>1399505050</v>
      </c>
      <c r="Z44" s="588">
        <f t="shared" si="6"/>
        <v>2216714961</v>
      </c>
      <c r="AA44" s="515">
        <f>SUM(AA17:AA37)</f>
        <v>100000000</v>
      </c>
      <c r="AB44" s="516"/>
    </row>
    <row r="45" spans="1:28" ht="18" thickBot="1" x14ac:dyDescent="0.5">
      <c r="A45" s="589"/>
      <c r="B45" s="590"/>
      <c r="C45" s="590"/>
      <c r="D45" s="590"/>
      <c r="E45" s="590"/>
      <c r="F45" s="590"/>
      <c r="G45" s="590"/>
      <c r="H45" s="590"/>
      <c r="I45" s="590"/>
      <c r="J45" s="590"/>
      <c r="K45" s="590"/>
      <c r="L45" s="590"/>
      <c r="M45" s="590"/>
      <c r="N45" s="590"/>
      <c r="O45" s="590"/>
      <c r="P45" s="590"/>
      <c r="Q45" s="590"/>
      <c r="R45" s="590"/>
      <c r="S45" s="591"/>
      <c r="T45" s="590"/>
      <c r="U45" s="590"/>
      <c r="V45" s="590"/>
      <c r="W45" s="590"/>
      <c r="X45" s="590"/>
      <c r="Y45" s="590"/>
      <c r="Z45" s="590"/>
      <c r="AA45" s="458"/>
      <c r="AB45" s="592"/>
    </row>
    <row r="48" spans="1:28" x14ac:dyDescent="0.4">
      <c r="C48" s="593" t="s">
        <v>382</v>
      </c>
    </row>
  </sheetData>
  <mergeCells count="6">
    <mergeCell ref="B8:AB8"/>
    <mergeCell ref="B10:AA10"/>
    <mergeCell ref="B3:AB3"/>
    <mergeCell ref="B4:AB4"/>
    <mergeCell ref="B6:AB6"/>
    <mergeCell ref="B7:AB7"/>
  </mergeCells>
  <phoneticPr fontId="0" type="noConversion"/>
  <printOptions horizontalCentered="1"/>
  <pageMargins left="0.78740157480314965" right="0.78740157480314965" top="0.98425196850393704" bottom="0.59055118110236227" header="0.59055118110236227" footer="0.59055118110236227"/>
  <pageSetup scale="75" firstPageNumber="4" orientation="landscape" useFirstPageNumber="1" r:id="rId1"/>
  <headerFooter alignWithMargins="0">
    <oddFooter>&amp;C&amp;"Tw Cen MT,Normal"&amp;P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2:I32"/>
  <sheetViews>
    <sheetView showGridLines="0" zoomScale="75" workbookViewId="0">
      <selection activeCell="E62" sqref="E62"/>
    </sheetView>
  </sheetViews>
  <sheetFormatPr baseColWidth="10" defaultColWidth="11.44140625" defaultRowHeight="15" outlineLevelRow="1" x14ac:dyDescent="0.4"/>
  <cols>
    <col min="1" max="1" width="27.88671875" style="595" customWidth="1"/>
    <col min="2" max="2" width="20.44140625" style="593" bestFit="1" customWidth="1"/>
    <col min="3" max="3" width="11.33203125" style="596" customWidth="1"/>
    <col min="4" max="4" width="25.5546875" style="593" customWidth="1"/>
    <col min="5" max="5" width="11.6640625" style="434" bestFit="1" customWidth="1"/>
    <col min="6" max="6" width="12.5546875" style="434" customWidth="1"/>
    <col min="7" max="7" width="20.44140625" style="593" bestFit="1" customWidth="1"/>
    <col min="8" max="8" width="9.5546875" style="434" customWidth="1"/>
    <col min="9" max="9" width="11.109375" style="593" customWidth="1"/>
    <col min="10" max="16384" width="11.44140625" style="434"/>
  </cols>
  <sheetData>
    <row r="2" spans="1:9" ht="15.75" customHeight="1" x14ac:dyDescent="0.45">
      <c r="A2" s="1489" t="s">
        <v>0</v>
      </c>
      <c r="B2" s="1489"/>
      <c r="C2" s="1489"/>
      <c r="D2" s="1489"/>
      <c r="E2" s="1489"/>
      <c r="F2" s="1489"/>
      <c r="G2" s="1489"/>
      <c r="H2" s="1489"/>
      <c r="I2" s="1489"/>
    </row>
    <row r="3" spans="1:9" ht="8.4" customHeight="1" thickBot="1" x14ac:dyDescent="0.5">
      <c r="A3" s="1494"/>
      <c r="B3" s="1494"/>
      <c r="C3" s="1494"/>
      <c r="D3" s="1494"/>
      <c r="E3" s="1494"/>
      <c r="F3" s="1494"/>
      <c r="G3" s="1494"/>
      <c r="H3" s="1494"/>
      <c r="I3" s="1494"/>
    </row>
    <row r="4" spans="1:9" ht="18" thickTop="1" x14ac:dyDescent="0.45">
      <c r="A4" s="1489" t="s">
        <v>13</v>
      </c>
      <c r="B4" s="1489"/>
      <c r="C4" s="1489"/>
      <c r="D4" s="1489"/>
      <c r="E4" s="1489"/>
      <c r="F4" s="1489"/>
      <c r="G4" s="1489"/>
      <c r="H4" s="1489"/>
      <c r="I4" s="1489"/>
    </row>
    <row r="5" spans="1:9" ht="20.25" customHeight="1" x14ac:dyDescent="0.45">
      <c r="A5" s="1490" t="s">
        <v>40</v>
      </c>
      <c r="B5" s="1490"/>
      <c r="C5" s="1490"/>
      <c r="D5" s="1490"/>
      <c r="E5" s="1490"/>
      <c r="F5" s="1490"/>
      <c r="G5" s="1490"/>
      <c r="H5" s="1490"/>
      <c r="I5" s="1490"/>
    </row>
    <row r="6" spans="1:9" ht="6.9" customHeight="1" thickBot="1" x14ac:dyDescent="0.5">
      <c r="A6" s="511"/>
      <c r="B6" s="500"/>
      <c r="C6" s="598"/>
      <c r="D6" s="500"/>
      <c r="E6" s="365"/>
      <c r="F6" s="365"/>
      <c r="G6" s="500"/>
      <c r="H6" s="365"/>
      <c r="I6" s="500"/>
    </row>
    <row r="7" spans="1:9" ht="17.399999999999999" x14ac:dyDescent="0.45">
      <c r="A7" s="599"/>
      <c r="B7" s="600" t="s">
        <v>6</v>
      </c>
      <c r="C7" s="601"/>
      <c r="D7" s="600" t="s">
        <v>1283</v>
      </c>
      <c r="E7" s="602"/>
      <c r="F7" s="602" t="s">
        <v>5</v>
      </c>
      <c r="G7" s="600" t="s">
        <v>25</v>
      </c>
      <c r="H7" s="602"/>
      <c r="I7" s="600" t="s">
        <v>10</v>
      </c>
    </row>
    <row r="8" spans="1:9" ht="17.399999999999999" x14ac:dyDescent="0.45">
      <c r="A8" s="603"/>
      <c r="B8" s="604" t="s">
        <v>1277</v>
      </c>
      <c r="C8" s="605" t="s">
        <v>5</v>
      </c>
      <c r="D8" s="604" t="s">
        <v>1284</v>
      </c>
      <c r="E8" s="605" t="s">
        <v>5</v>
      </c>
      <c r="F8" s="606" t="s">
        <v>11</v>
      </c>
      <c r="G8" s="604" t="s">
        <v>1285</v>
      </c>
      <c r="H8" s="605" t="s">
        <v>5</v>
      </c>
      <c r="I8" s="604" t="s">
        <v>11</v>
      </c>
    </row>
    <row r="9" spans="1:9" ht="14.25" customHeight="1" thickBot="1" x14ac:dyDescent="0.5">
      <c r="A9" s="607"/>
      <c r="B9" s="608" t="s">
        <v>7</v>
      </c>
      <c r="C9" s="609"/>
      <c r="D9" s="608" t="s">
        <v>9</v>
      </c>
      <c r="E9" s="607"/>
      <c r="F9" s="610" t="s">
        <v>8</v>
      </c>
      <c r="G9" s="610" t="s">
        <v>26</v>
      </c>
      <c r="H9" s="611"/>
      <c r="I9" s="608" t="s">
        <v>12</v>
      </c>
    </row>
    <row r="10" spans="1:9" ht="8.4" customHeight="1" x14ac:dyDescent="0.45">
      <c r="A10" s="1491"/>
      <c r="B10" s="1492"/>
      <c r="C10" s="1492"/>
      <c r="D10" s="1492"/>
      <c r="E10" s="1492"/>
      <c r="F10" s="1492"/>
      <c r="G10" s="1492"/>
      <c r="H10" s="1492"/>
      <c r="I10" s="1493"/>
    </row>
    <row r="11" spans="1:9" ht="18" customHeight="1" x14ac:dyDescent="0.4">
      <c r="A11" s="1487" t="s">
        <v>1</v>
      </c>
      <c r="B11" s="1488"/>
      <c r="C11" s="612"/>
      <c r="D11" s="612"/>
      <c r="E11" s="612"/>
      <c r="F11" s="612"/>
      <c r="G11" s="612"/>
      <c r="H11" s="612"/>
      <c r="I11" s="613"/>
    </row>
    <row r="12" spans="1:9" ht="8.1" customHeight="1" thickBot="1" x14ac:dyDescent="0.5">
      <c r="A12" s="614"/>
      <c r="B12" s="512"/>
      <c r="C12" s="597"/>
      <c r="D12" s="512"/>
      <c r="E12" s="512"/>
      <c r="F12" s="512"/>
      <c r="G12" s="543"/>
      <c r="H12" s="511"/>
      <c r="I12" s="615"/>
    </row>
    <row r="13" spans="1:9" s="621" customFormat="1" ht="18" customHeight="1" thickBot="1" x14ac:dyDescent="0.45">
      <c r="A13" s="616" t="s">
        <v>2</v>
      </c>
      <c r="B13" s="617">
        <f>SUM(B15:B20)</f>
        <v>13386793930.49</v>
      </c>
      <c r="C13" s="618">
        <f>B13/B27</f>
        <v>0.89233163397406845</v>
      </c>
      <c r="D13" s="617">
        <f>SUM(D15:D20)</f>
        <v>13998763394.700001</v>
      </c>
      <c r="E13" s="618">
        <f>D13/D27</f>
        <v>0.89242427130151847</v>
      </c>
      <c r="F13" s="619">
        <f>+C13-E13</f>
        <v>-9.263732745001807E-5</v>
      </c>
      <c r="G13" s="617">
        <f>SUM(G15:G20)</f>
        <v>12927645570.360001</v>
      </c>
      <c r="H13" s="619">
        <f>G13/G27</f>
        <v>0.56334972322058818</v>
      </c>
      <c r="I13" s="620">
        <f>E13-H13</f>
        <v>0.32907454808093028</v>
      </c>
    </row>
    <row r="14" spans="1:9" ht="6.75" customHeight="1" x14ac:dyDescent="0.45">
      <c r="A14" s="614"/>
      <c r="B14" s="543"/>
      <c r="C14" s="622"/>
      <c r="D14" s="543"/>
      <c r="E14" s="623"/>
      <c r="F14" s="623"/>
      <c r="G14" s="543"/>
      <c r="H14" s="623"/>
      <c r="I14" s="624"/>
    </row>
    <row r="15" spans="1:9" ht="87" x14ac:dyDescent="0.4">
      <c r="A15" s="625" t="s">
        <v>386</v>
      </c>
      <c r="B15" s="626">
        <v>0</v>
      </c>
      <c r="C15" s="627">
        <f t="shared" ref="C15:C20" si="0">+B15/$B$27</f>
        <v>0</v>
      </c>
      <c r="D15" s="626">
        <v>798500000</v>
      </c>
      <c r="E15" s="627">
        <f t="shared" ref="E15:E20" si="1">+D15/$D$27</f>
        <v>5.0904552105227853E-2</v>
      </c>
      <c r="F15" s="627">
        <f>+C15-E15</f>
        <v>-5.0904552105227853E-2</v>
      </c>
      <c r="G15" s="626">
        <v>36702490.359999999</v>
      </c>
      <c r="H15" s="628">
        <f>+G15/G27</f>
        <v>1.5993892834761964E-3</v>
      </c>
      <c r="I15" s="629">
        <f t="shared" ref="I15:I20" si="2">+E15-H15</f>
        <v>4.9305162821751659E-2</v>
      </c>
    </row>
    <row r="16" spans="1:9" ht="52.2" x14ac:dyDescent="0.4">
      <c r="A16" s="625" t="s">
        <v>1110</v>
      </c>
      <c r="B16" s="626">
        <v>7445000000</v>
      </c>
      <c r="C16" s="627">
        <f t="shared" si="0"/>
        <v>0.49626587586485466</v>
      </c>
      <c r="D16" s="626">
        <v>7487000000</v>
      </c>
      <c r="E16" s="627">
        <f t="shared" si="1"/>
        <v>0.47729791059717086</v>
      </c>
      <c r="F16" s="627">
        <f>+C16-E16</f>
        <v>1.8967965267683795E-2</v>
      </c>
      <c r="G16" s="626">
        <v>7595000000</v>
      </c>
      <c r="H16" s="628">
        <f>+G16/G27</f>
        <v>0.33096832091918332</v>
      </c>
      <c r="I16" s="629">
        <f t="shared" si="2"/>
        <v>0.14632958967798754</v>
      </c>
    </row>
    <row r="17" spans="1:9" ht="107.25" hidden="1" customHeight="1" x14ac:dyDescent="0.4">
      <c r="A17" s="625" t="s">
        <v>1116</v>
      </c>
      <c r="B17" s="626">
        <v>0</v>
      </c>
      <c r="C17" s="627">
        <f t="shared" si="0"/>
        <v>0</v>
      </c>
      <c r="D17" s="626">
        <v>0</v>
      </c>
      <c r="E17" s="627">
        <f t="shared" si="1"/>
        <v>0</v>
      </c>
      <c r="F17" s="627">
        <f>+C17-E17</f>
        <v>0</v>
      </c>
      <c r="G17" s="626">
        <v>0</v>
      </c>
      <c r="H17" s="628"/>
      <c r="I17" s="629">
        <f t="shared" si="2"/>
        <v>0</v>
      </c>
    </row>
    <row r="18" spans="1:9" ht="51" customHeight="1" x14ac:dyDescent="0.4">
      <c r="A18" s="625" t="s">
        <v>346</v>
      </c>
      <c r="B18" s="626">
        <v>5941793930.4899998</v>
      </c>
      <c r="C18" s="627">
        <f t="shared" si="0"/>
        <v>0.39606575810921385</v>
      </c>
      <c r="D18" s="630">
        <v>5713263394.6999998</v>
      </c>
      <c r="E18" s="627">
        <f t="shared" si="1"/>
        <v>0.36422180859911973</v>
      </c>
      <c r="F18" s="627">
        <f>+C18-E18</f>
        <v>3.1843949510094116E-2</v>
      </c>
      <c r="G18" s="626">
        <v>5295943080</v>
      </c>
      <c r="H18" s="628">
        <f>+G18/G27</f>
        <v>0.23078201301792867</v>
      </c>
      <c r="I18" s="629">
        <f t="shared" si="2"/>
        <v>0.13343979558119107</v>
      </c>
    </row>
    <row r="19" spans="1:9" ht="52.2" hidden="1" outlineLevel="1" x14ac:dyDescent="0.4">
      <c r="A19" s="625" t="str">
        <f>+'[1]INGRESOS 2020'!B19</f>
        <v>Transferencias Ctes de Instituciones  Descentralizadas No Empresariales</v>
      </c>
      <c r="B19" s="631">
        <v>0</v>
      </c>
      <c r="C19" s="628">
        <f t="shared" si="0"/>
        <v>0</v>
      </c>
      <c r="D19" s="632">
        <v>0</v>
      </c>
      <c r="E19" s="628">
        <f t="shared" si="1"/>
        <v>0</v>
      </c>
      <c r="F19" s="628">
        <f>+E19-C19</f>
        <v>0</v>
      </c>
      <c r="G19" s="631">
        <v>0</v>
      </c>
      <c r="H19" s="628">
        <f>+G19/G27</f>
        <v>0</v>
      </c>
      <c r="I19" s="629">
        <f t="shared" si="2"/>
        <v>0</v>
      </c>
    </row>
    <row r="20" spans="1:9" ht="45" hidden="1" customHeight="1" collapsed="1" x14ac:dyDescent="0.4">
      <c r="A20" s="625" t="s">
        <v>387</v>
      </c>
      <c r="B20" s="631">
        <v>0</v>
      </c>
      <c r="C20" s="628">
        <f t="shared" si="0"/>
        <v>0</v>
      </c>
      <c r="D20" s="632">
        <v>0</v>
      </c>
      <c r="E20" s="628">
        <f t="shared" si="1"/>
        <v>0</v>
      </c>
      <c r="F20" s="628">
        <f>+C20-E20</f>
        <v>0</v>
      </c>
      <c r="G20" s="631">
        <v>0</v>
      </c>
      <c r="H20" s="628">
        <f>+G20/G27</f>
        <v>0</v>
      </c>
      <c r="I20" s="629">
        <f t="shared" si="2"/>
        <v>0</v>
      </c>
    </row>
    <row r="21" spans="1:9" ht="8.4" customHeight="1" x14ac:dyDescent="0.45">
      <c r="A21" s="633"/>
      <c r="B21" s="634"/>
      <c r="C21" s="635"/>
      <c r="D21" s="636"/>
      <c r="E21" s="637"/>
      <c r="F21" s="637"/>
      <c r="G21" s="634"/>
      <c r="H21" s="635"/>
      <c r="I21" s="638"/>
    </row>
    <row r="22" spans="1:9" s="621" customFormat="1" ht="18" customHeight="1" x14ac:dyDescent="0.4">
      <c r="A22" s="639" t="s">
        <v>322</v>
      </c>
      <c r="B22" s="640">
        <f>SUM(B24:B25)</f>
        <v>1615245020.96</v>
      </c>
      <c r="C22" s="641">
        <f>B22/B27</f>
        <v>0.10766836602593148</v>
      </c>
      <c r="D22" s="642">
        <f>SUM(D24:D25)</f>
        <v>1687456540</v>
      </c>
      <c r="E22" s="641">
        <f>D22/D27</f>
        <v>0.10757572869848153</v>
      </c>
      <c r="F22" s="641">
        <f>C22-E22</f>
        <v>9.2637327449948681E-5</v>
      </c>
      <c r="G22" s="642">
        <f>SUM(G24:G25)</f>
        <v>10020170036</v>
      </c>
      <c r="H22" s="641">
        <f>+G22/G27</f>
        <v>0.43665027677941182</v>
      </c>
      <c r="I22" s="643">
        <f>E22-H22</f>
        <v>-0.32907454808093028</v>
      </c>
    </row>
    <row r="23" spans="1:9" ht="8.1" customHeight="1" x14ac:dyDescent="0.45">
      <c r="A23" s="614"/>
      <c r="B23" s="543"/>
      <c r="C23" s="622"/>
      <c r="D23" s="644"/>
      <c r="E23" s="623"/>
      <c r="F23" s="623"/>
      <c r="G23" s="543"/>
      <c r="H23" s="623"/>
      <c r="I23" s="624"/>
    </row>
    <row r="24" spans="1:9" ht="17.399999999999999" hidden="1" x14ac:dyDescent="0.45">
      <c r="A24" s="614" t="s">
        <v>62</v>
      </c>
      <c r="B24" s="543">
        <v>0</v>
      </c>
      <c r="C24" s="628">
        <f>+B24/B27</f>
        <v>0</v>
      </c>
      <c r="D24" s="644">
        <v>0</v>
      </c>
      <c r="E24" s="628">
        <f>+D24/D27</f>
        <v>0</v>
      </c>
      <c r="F24" s="628">
        <f>+E24-C24</f>
        <v>0</v>
      </c>
      <c r="G24" s="543">
        <v>0</v>
      </c>
      <c r="H24" s="623">
        <f>+G24/G27</f>
        <v>0</v>
      </c>
      <c r="I24" s="629">
        <f>+E24-H24</f>
        <v>0</v>
      </c>
    </row>
    <row r="25" spans="1:9" ht="17.399999999999999" outlineLevel="1" x14ac:dyDescent="0.45">
      <c r="A25" s="614" t="s">
        <v>63</v>
      </c>
      <c r="B25" s="645">
        <f>+JUSTIFICACION!B33</f>
        <v>1615245020.96</v>
      </c>
      <c r="C25" s="627">
        <f>+B25/B27</f>
        <v>0.10766836602593148</v>
      </c>
      <c r="D25" s="645">
        <v>1687456540</v>
      </c>
      <c r="E25" s="627">
        <f>+D25/D27</f>
        <v>0.10757572869848153</v>
      </c>
      <c r="F25" s="627">
        <f>+E25-C25</f>
        <v>-9.2637327449948681E-5</v>
      </c>
      <c r="G25" s="645">
        <v>10020170036</v>
      </c>
      <c r="H25" s="628">
        <f>+G25/G27</f>
        <v>0.43665027677941182</v>
      </c>
      <c r="I25" s="629">
        <f>+E25-H25</f>
        <v>-0.32907454808093028</v>
      </c>
    </row>
    <row r="26" spans="1:9" ht="8.1" customHeight="1" x14ac:dyDescent="0.4">
      <c r="A26" s="625"/>
      <c r="B26" s="631"/>
      <c r="C26" s="628"/>
      <c r="D26" s="631"/>
      <c r="E26" s="628"/>
      <c r="F26" s="628"/>
      <c r="G26" s="631"/>
      <c r="H26" s="628"/>
      <c r="I26" s="629"/>
    </row>
    <row r="27" spans="1:9" ht="21" customHeight="1" x14ac:dyDescent="0.4">
      <c r="A27" s="646" t="s">
        <v>3</v>
      </c>
      <c r="B27" s="647">
        <f>+B13+B22</f>
        <v>15002038951.450001</v>
      </c>
      <c r="C27" s="648">
        <f t="shared" ref="C27:H27" si="3">+C22+C13</f>
        <v>0.99999999999999989</v>
      </c>
      <c r="D27" s="647">
        <f>+D22+D13</f>
        <v>15686219934.700001</v>
      </c>
      <c r="E27" s="648">
        <f t="shared" si="3"/>
        <v>1</v>
      </c>
      <c r="F27" s="648">
        <f>+C27-E27</f>
        <v>0</v>
      </c>
      <c r="G27" s="647">
        <f t="shared" si="3"/>
        <v>22947815606.360001</v>
      </c>
      <c r="H27" s="648">
        <f t="shared" si="3"/>
        <v>1</v>
      </c>
      <c r="I27" s="649">
        <f>+E27-H27</f>
        <v>0</v>
      </c>
    </row>
    <row r="28" spans="1:9" ht="6.75" customHeight="1" thickBot="1" x14ac:dyDescent="0.5">
      <c r="A28" s="457"/>
      <c r="B28" s="650"/>
      <c r="C28" s="651"/>
      <c r="D28" s="650"/>
      <c r="E28" s="590"/>
      <c r="F28" s="652"/>
      <c r="G28" s="650"/>
      <c r="H28" s="590"/>
      <c r="I28" s="653"/>
    </row>
    <row r="29" spans="1:9" ht="17.399999999999999" x14ac:dyDescent="0.45">
      <c r="A29" s="511"/>
      <c r="B29" s="500"/>
      <c r="C29" s="598"/>
      <c r="D29" s="500"/>
      <c r="E29" s="365"/>
      <c r="F29" s="365"/>
      <c r="G29" s="500"/>
      <c r="H29" s="365"/>
      <c r="I29" s="500"/>
    </row>
    <row r="30" spans="1:9" ht="17.399999999999999" x14ac:dyDescent="0.45">
      <c r="A30" s="511"/>
      <c r="B30" s="500"/>
      <c r="C30" s="598"/>
      <c r="D30" s="500"/>
      <c r="E30" s="365"/>
      <c r="F30" s="365"/>
      <c r="G30" s="500"/>
      <c r="H30" s="365"/>
      <c r="I30" s="500"/>
    </row>
    <row r="31" spans="1:9" ht="17.399999999999999" x14ac:dyDescent="0.45">
      <c r="A31" s="511"/>
      <c r="B31" s="500"/>
      <c r="C31" s="598"/>
      <c r="D31" s="500"/>
      <c r="E31" s="365"/>
      <c r="F31" s="365"/>
      <c r="G31" s="500"/>
      <c r="H31" s="365"/>
      <c r="I31" s="500"/>
    </row>
    <row r="32" spans="1:9" ht="17.399999999999999" x14ac:dyDescent="0.45">
      <c r="A32" s="511"/>
      <c r="B32" s="500"/>
      <c r="C32" s="598"/>
      <c r="D32" s="500"/>
      <c r="E32" s="365"/>
      <c r="F32" s="365"/>
      <c r="G32" s="500"/>
      <c r="H32" s="365"/>
      <c r="I32" s="500"/>
    </row>
  </sheetData>
  <mergeCells count="6">
    <mergeCell ref="A11:B11"/>
    <mergeCell ref="A2:I2"/>
    <mergeCell ref="A4:I4"/>
    <mergeCell ref="A5:I5"/>
    <mergeCell ref="A10:I10"/>
    <mergeCell ref="A3:I3"/>
  </mergeCells>
  <phoneticPr fontId="0" type="noConversion"/>
  <printOptions horizontalCentered="1"/>
  <pageMargins left="0.43307086614173229" right="0.43307086614173229" top="0.59055118110236227" bottom="0.59055118110236227" header="0.39370078740157483" footer="0.59055118110236227"/>
  <pageSetup scale="85" firstPageNumber="5" orientation="landscape" useFirstPageNumber="1" r:id="rId1"/>
  <headerFooter alignWithMargins="0">
    <oddFooter>&amp;C&amp;"Tw Cen MT,Normal"&amp;P</oddFooter>
  </headerFooter>
  <ignoredErrors>
    <ignoredError sqref="C14:I14 C19:I19 C17 H17:I17 C13:D13 G13:I13 C16 C15 E15:F15 E16:F16 C18 E18:F18 H15:I15 H16:I16 H18:I18 C21:I21 C20 H20:I20 C26:I26 C24:F24 H24:I24 C25 H25:I25 E25:F25 E20:F20 E17 C23:I23 C22:H22 C27:E27 G27:H27 E13" 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2:K218"/>
  <sheetViews>
    <sheetView showGridLines="0" topLeftCell="A133" zoomScale="80" zoomScaleNormal="80" workbookViewId="0">
      <selection activeCell="E62" sqref="E62"/>
    </sheetView>
  </sheetViews>
  <sheetFormatPr baseColWidth="10" defaultColWidth="11.44140625" defaultRowHeight="15" outlineLevelRow="2" x14ac:dyDescent="0.4"/>
  <cols>
    <col min="1" max="1" width="65.5546875" style="434" customWidth="1"/>
    <col min="2" max="2" width="18.5546875" style="1234" bestFit="1" customWidth="1"/>
    <col min="3" max="3" width="8.88671875" style="596" bestFit="1" customWidth="1"/>
    <col min="4" max="4" width="18.5546875" style="1234" bestFit="1" customWidth="1"/>
    <col min="5" max="5" width="9.109375" style="1155" bestFit="1" customWidth="1"/>
    <col min="6" max="6" width="20.33203125" style="1234" customWidth="1"/>
    <col min="7" max="7" width="8.6640625" style="1155" bestFit="1" customWidth="1"/>
    <col min="8" max="8" width="18.6640625" style="1234" customWidth="1"/>
    <col min="9" max="9" width="9.109375" style="1155" bestFit="1" customWidth="1"/>
    <col min="10" max="10" width="16.6640625" style="1246" customWidth="1"/>
    <col min="11" max="11" width="8.88671875" style="1155" customWidth="1"/>
    <col min="12" max="16384" width="11.44140625" style="434"/>
  </cols>
  <sheetData>
    <row r="2" spans="1:11" x14ac:dyDescent="0.4">
      <c r="A2" s="654"/>
      <c r="E2" s="1209"/>
    </row>
    <row r="3" spans="1:11" ht="18.600000000000001" x14ac:dyDescent="0.45">
      <c r="A3" s="1497" t="s">
        <v>0</v>
      </c>
      <c r="B3" s="1497"/>
      <c r="C3" s="1497"/>
      <c r="D3" s="1497"/>
      <c r="E3" s="1497"/>
      <c r="F3" s="1497"/>
      <c r="G3" s="1497"/>
      <c r="H3" s="1497"/>
      <c r="I3" s="1497"/>
      <c r="J3" s="1497"/>
      <c r="K3" s="1497"/>
    </row>
    <row r="4" spans="1:11" ht="18" thickBot="1" x14ac:dyDescent="0.5">
      <c r="A4" s="1498"/>
      <c r="B4" s="1498"/>
      <c r="C4" s="1498"/>
      <c r="D4" s="1498"/>
      <c r="E4" s="1498"/>
      <c r="F4" s="1498"/>
      <c r="G4" s="1498"/>
      <c r="H4" s="1498"/>
      <c r="I4" s="1498"/>
      <c r="J4" s="1247"/>
      <c r="K4" s="942"/>
    </row>
    <row r="5" spans="1:11" ht="9" customHeight="1" thickTop="1" x14ac:dyDescent="0.45">
      <c r="A5" s="367"/>
      <c r="B5" s="1235"/>
      <c r="C5" s="598"/>
      <c r="D5" s="1235"/>
      <c r="E5" s="1210"/>
      <c r="F5" s="1235"/>
      <c r="G5" s="1124"/>
      <c r="H5" s="1235"/>
      <c r="I5" s="1124"/>
    </row>
    <row r="6" spans="1:11" ht="18.600000000000001" x14ac:dyDescent="0.45">
      <c r="A6" s="1497" t="s">
        <v>32</v>
      </c>
      <c r="B6" s="1497"/>
      <c r="C6" s="1497"/>
      <c r="D6" s="1497"/>
      <c r="E6" s="1497"/>
      <c r="F6" s="1497"/>
      <c r="G6" s="1497"/>
      <c r="H6" s="1497"/>
      <c r="I6" s="1497"/>
      <c r="J6" s="1497"/>
      <c r="K6" s="1497"/>
    </row>
    <row r="7" spans="1:11" ht="18.600000000000001" x14ac:dyDescent="0.45">
      <c r="A7" s="1497" t="s">
        <v>16</v>
      </c>
      <c r="B7" s="1497"/>
      <c r="C7" s="1497"/>
      <c r="D7" s="1497"/>
      <c r="E7" s="1497"/>
      <c r="F7" s="1497"/>
      <c r="G7" s="1497"/>
      <c r="H7" s="1497"/>
      <c r="I7" s="1497"/>
      <c r="J7" s="1497"/>
      <c r="K7" s="1497"/>
    </row>
    <row r="8" spans="1:11" ht="18.600000000000001" x14ac:dyDescent="0.45">
      <c r="A8" s="1497" t="s">
        <v>40</v>
      </c>
      <c r="B8" s="1497"/>
      <c r="C8" s="1497"/>
      <c r="D8" s="1497"/>
      <c r="E8" s="1497"/>
      <c r="F8" s="1497"/>
      <c r="G8" s="1497"/>
      <c r="H8" s="1497"/>
      <c r="I8" s="1497"/>
      <c r="J8" s="1497"/>
      <c r="K8" s="1497"/>
    </row>
    <row r="9" spans="1:11" ht="6" customHeight="1" thickBot="1" x14ac:dyDescent="0.5">
      <c r="A9" s="365"/>
      <c r="B9" s="1235"/>
      <c r="C9" s="598"/>
      <c r="D9" s="1235"/>
      <c r="E9" s="1124"/>
      <c r="F9" s="1235"/>
      <c r="G9" s="1124"/>
      <c r="H9" s="1235"/>
      <c r="I9" s="1124"/>
    </row>
    <row r="10" spans="1:11" ht="14.1" customHeight="1" x14ac:dyDescent="0.4">
      <c r="A10" s="655"/>
      <c r="B10" s="1495" t="s">
        <v>1286</v>
      </c>
      <c r="C10" s="1196"/>
      <c r="D10" s="656" t="s">
        <v>33</v>
      </c>
      <c r="E10" s="657"/>
      <c r="F10" s="656" t="s">
        <v>28</v>
      </c>
      <c r="G10" s="657"/>
      <c r="H10" s="656" t="s">
        <v>29</v>
      </c>
      <c r="I10" s="657"/>
      <c r="J10" s="656" t="str">
        <f>+[1]EGRESOS!J10</f>
        <v>Programa 04</v>
      </c>
      <c r="K10" s="658"/>
    </row>
    <row r="11" spans="1:11" ht="67.5" customHeight="1" thickBot="1" x14ac:dyDescent="0.45">
      <c r="A11" s="659" t="s">
        <v>34</v>
      </c>
      <c r="B11" s="1496"/>
      <c r="C11" s="660" t="s">
        <v>5</v>
      </c>
      <c r="D11" s="1126" t="s">
        <v>513</v>
      </c>
      <c r="E11" s="661" t="s">
        <v>5</v>
      </c>
      <c r="F11" s="1126" t="str">
        <f>+[1]EGRESOS!F11</f>
        <v>Rectoría Técnica de las Estadísticas Nacionales</v>
      </c>
      <c r="G11" s="661" t="s">
        <v>5</v>
      </c>
      <c r="H11" s="1126" t="s">
        <v>520</v>
      </c>
      <c r="I11" s="661" t="s">
        <v>5</v>
      </c>
      <c r="J11" s="1126" t="str">
        <f>+[1]EGRESOS!J11</f>
        <v>Difusión y Promoción de la Producción  Estadística</v>
      </c>
      <c r="K11" s="662" t="s">
        <v>5</v>
      </c>
    </row>
    <row r="12" spans="1:11" ht="9.9" customHeight="1" x14ac:dyDescent="0.45">
      <c r="A12" s="663"/>
      <c r="B12" s="1236"/>
      <c r="C12" s="1197"/>
      <c r="D12" s="1236"/>
      <c r="E12" s="1197"/>
      <c r="F12" s="1236"/>
      <c r="G12" s="1197"/>
      <c r="H12" s="1236"/>
      <c r="I12" s="1197"/>
      <c r="J12" s="1248"/>
      <c r="K12" s="1221"/>
    </row>
    <row r="13" spans="1:11" ht="15.9" customHeight="1" x14ac:dyDescent="0.4">
      <c r="A13" s="664" t="s">
        <v>53</v>
      </c>
      <c r="B13" s="680">
        <f>+B14+B23+B25+B34+B24</f>
        <v>8328012780</v>
      </c>
      <c r="C13" s="1198">
        <f>E13+G13+I13+K13</f>
        <v>1</v>
      </c>
      <c r="D13" s="680">
        <f>+D14+D23+D25+D34+D24</f>
        <v>2272238780</v>
      </c>
      <c r="E13" s="742">
        <f>+D13/B13</f>
        <v>0.27284285459513907</v>
      </c>
      <c r="F13" s="680">
        <f>+F14+F23+F25+F34+F24</f>
        <v>472770000</v>
      </c>
      <c r="G13" s="742">
        <f>F13/B13</f>
        <v>5.6768644872324511E-2</v>
      </c>
      <c r="H13" s="680">
        <f>+H14+H23+H25+H34+H24</f>
        <v>5194428000</v>
      </c>
      <c r="I13" s="742">
        <f>H13/B13</f>
        <v>0.62372959038614728</v>
      </c>
      <c r="J13" s="680">
        <f>+J14+J23+J25+J34+J24</f>
        <v>388576000</v>
      </c>
      <c r="K13" s="743">
        <f>+J13/B13</f>
        <v>4.6658910146389086E-2</v>
      </c>
    </row>
    <row r="14" spans="1:11" ht="15.9" hidden="1" customHeight="1" outlineLevel="1" x14ac:dyDescent="0.45">
      <c r="A14" s="665" t="s">
        <v>23</v>
      </c>
      <c r="B14" s="1237">
        <f>SUM(B16:B22)</f>
        <v>4931041280</v>
      </c>
      <c r="C14" s="1199">
        <f>E14+G14+I14</f>
        <v>0.95956310469175388</v>
      </c>
      <c r="D14" s="1237">
        <f>SUM(D16:D22)</f>
        <v>1202930780</v>
      </c>
      <c r="E14" s="1211">
        <f>+D14/B14</f>
        <v>0.24395066106605379</v>
      </c>
      <c r="F14" s="1237">
        <f>SUM(F16:F22)</f>
        <v>252334000</v>
      </c>
      <c r="G14" s="1215">
        <f>+F14/B14</f>
        <v>5.11725588312252E-2</v>
      </c>
      <c r="H14" s="1237">
        <f>SUM(H16:H22)</f>
        <v>3276380500</v>
      </c>
      <c r="I14" s="1217">
        <f>H14/B14</f>
        <v>0.66443988479447491</v>
      </c>
      <c r="J14" s="1237">
        <f>SUM(J16:J22)</f>
        <v>199396000</v>
      </c>
      <c r="K14" s="1222">
        <f>+J14/B14</f>
        <v>4.043689530824613E-2</v>
      </c>
    </row>
    <row r="15" spans="1:11" ht="9.9" customHeight="1" collapsed="1" x14ac:dyDescent="0.45">
      <c r="A15" s="666"/>
      <c r="B15" s="1238"/>
      <c r="C15" s="1125"/>
      <c r="D15" s="1238"/>
      <c r="E15" s="1212"/>
      <c r="F15" s="1238"/>
      <c r="G15" s="1212"/>
      <c r="H15" s="1238"/>
      <c r="I15" s="1218"/>
      <c r="J15" s="1238"/>
      <c r="K15" s="1223"/>
    </row>
    <row r="16" spans="1:11" ht="15.9" customHeight="1" x14ac:dyDescent="0.45">
      <c r="A16" s="452" t="s">
        <v>1186</v>
      </c>
      <c r="B16" s="673">
        <f>SUM(D16+F16+H16+J16)</f>
        <v>3267571000</v>
      </c>
      <c r="C16" s="622">
        <f>SUM(E16+G16+I16+K16)</f>
        <v>1</v>
      </c>
      <c r="D16" s="673">
        <f>SUMIF('PRESUPUESTO 2024'!$B:$B,A16,'PRESUPUESTO 2024'!$R:$R)</f>
        <v>1055719500</v>
      </c>
      <c r="E16" s="622">
        <f>+D16/B16</f>
        <v>0.32308999559611712</v>
      </c>
      <c r="F16" s="673">
        <f>SUMIF('PRESUPUESTO 2024'!$B:$B,A16,'PRESUPUESTO 2024'!T:T)</f>
        <v>222821000</v>
      </c>
      <c r="G16" s="622">
        <f>F16/B16</f>
        <v>6.8191632255274637E-2</v>
      </c>
      <c r="H16" s="673">
        <f>SUMIF('PRESUPUESTO 2024'!$B:$B,A16,'PRESUPUESTO 2024'!$AV:$AV)</f>
        <v>1814225000</v>
      </c>
      <c r="I16" s="622">
        <f>H16/B16</f>
        <v>0.55522129434983969</v>
      </c>
      <c r="J16" s="673">
        <f>SUMIF('PRESUPUESTO 2024'!$B:$B,A16,'PRESUPUESTO 2024'!$BD:$BD)</f>
        <v>174805500</v>
      </c>
      <c r="K16" s="1178">
        <f>+J16/B16</f>
        <v>5.3497077798768562E-2</v>
      </c>
    </row>
    <row r="17" spans="1:11" ht="15.9" customHeight="1" x14ac:dyDescent="0.45">
      <c r="A17" s="452" t="s">
        <v>442</v>
      </c>
      <c r="B17" s="673">
        <f t="shared" ref="B17:C34" si="0">SUM(D17+F17+H17+J17)</f>
        <v>1023149000</v>
      </c>
      <c r="C17" s="622">
        <f t="shared" si="0"/>
        <v>1</v>
      </c>
      <c r="D17" s="673">
        <f>SUMIF('PRESUPUESTO 2024'!$B:$B,A17,'PRESUPUESTO 2024'!$R:$R)</f>
        <v>0</v>
      </c>
      <c r="E17" s="622">
        <f t="shared" ref="E17:E34" si="1">+D17/B17</f>
        <v>0</v>
      </c>
      <c r="F17" s="673">
        <f>SUMIF('PRESUPUESTO 2024'!$B:$B,A17,'PRESUPUESTO 2024'!T:T)</f>
        <v>3400500</v>
      </c>
      <c r="G17" s="622">
        <f t="shared" ref="G17:G34" si="2">F17/B17</f>
        <v>3.323562843730483E-3</v>
      </c>
      <c r="H17" s="673">
        <f>SUMIF('PRESUPUESTO 2024'!$B:$B,A17,'PRESUPUESTO 2024'!$AV:$AV)</f>
        <v>1018754500</v>
      </c>
      <c r="I17" s="622">
        <f t="shared" ref="I17:I34" si="3">H17/B17</f>
        <v>0.99570492665291177</v>
      </c>
      <c r="J17" s="673">
        <f>SUMIF('PRESUPUESTO 2024'!$B:$B,A17,'PRESUPUESTO 2024'!$BD:$BD)</f>
        <v>994000</v>
      </c>
      <c r="K17" s="1178">
        <f t="shared" ref="K17:K34" si="4">+J17/B17</f>
        <v>9.7151050335777091E-4</v>
      </c>
    </row>
    <row r="18" spans="1:11" ht="15.9" customHeight="1" x14ac:dyDescent="0.45">
      <c r="A18" s="452" t="s">
        <v>374</v>
      </c>
      <c r="B18" s="673">
        <f t="shared" si="0"/>
        <v>5000000</v>
      </c>
      <c r="C18" s="622">
        <f t="shared" si="0"/>
        <v>1</v>
      </c>
      <c r="D18" s="673">
        <f>SUMIF('PRESUPUESTO 2024'!$B:$B,A18,'PRESUPUESTO 2024'!$R:$R)</f>
        <v>5000000</v>
      </c>
      <c r="E18" s="622">
        <f t="shared" si="1"/>
        <v>1</v>
      </c>
      <c r="F18" s="673">
        <f>SUMIF('PRESUPUESTO 2024'!$B:$B,A18,'PRESUPUESTO 2024'!T:T)</f>
        <v>0</v>
      </c>
      <c r="G18" s="622">
        <f t="shared" si="2"/>
        <v>0</v>
      </c>
      <c r="H18" s="673">
        <f>SUMIF('PRESUPUESTO 2024'!$B:$B,A18,'PRESUPUESTO 2024'!$AV:$AV)</f>
        <v>0</v>
      </c>
      <c r="I18" s="622">
        <f t="shared" si="3"/>
        <v>0</v>
      </c>
      <c r="J18" s="673">
        <f>SUMIF('PRESUPUESTO 2024'!$B:$B,A18,'PRESUPUESTO 2024'!$BD:$BD)</f>
        <v>0</v>
      </c>
      <c r="K18" s="1178">
        <f t="shared" si="4"/>
        <v>0</v>
      </c>
    </row>
    <row r="19" spans="1:11" ht="15.9" customHeight="1" x14ac:dyDescent="0.45">
      <c r="A19" s="452" t="s">
        <v>17</v>
      </c>
      <c r="B19" s="673">
        <f t="shared" si="0"/>
        <v>13685280</v>
      </c>
      <c r="C19" s="622">
        <f t="shared" si="0"/>
        <v>1</v>
      </c>
      <c r="D19" s="673">
        <f>SUMIF('PRESUPUESTO 2024'!$B:$B,A19,'PRESUPUESTO 2024'!$R:$R)</f>
        <v>13685280</v>
      </c>
      <c r="E19" s="622">
        <f t="shared" si="1"/>
        <v>1</v>
      </c>
      <c r="F19" s="673">
        <f>SUMIF('PRESUPUESTO 2024'!$B:$B,A19,'PRESUPUESTO 2024'!T:T)</f>
        <v>0</v>
      </c>
      <c r="G19" s="622">
        <f t="shared" si="2"/>
        <v>0</v>
      </c>
      <c r="H19" s="673">
        <f>SUMIF('PRESUPUESTO 2024'!$B:$B,A19,'PRESUPUESTO 2024'!$AV:$AV)</f>
        <v>0</v>
      </c>
      <c r="I19" s="622">
        <f t="shared" si="3"/>
        <v>0</v>
      </c>
      <c r="J19" s="673">
        <f>SUMIF('PRESUPUESTO 2024'!$B:$B,A19,'PRESUPUESTO 2024'!$BD:$BD)</f>
        <v>0</v>
      </c>
      <c r="K19" s="1178">
        <f t="shared" si="4"/>
        <v>0</v>
      </c>
    </row>
    <row r="20" spans="1:11" ht="15.9" customHeight="1" x14ac:dyDescent="0.45">
      <c r="A20" s="452" t="s">
        <v>18</v>
      </c>
      <c r="B20" s="673">
        <f t="shared" si="0"/>
        <v>450204500</v>
      </c>
      <c r="C20" s="622">
        <f t="shared" si="0"/>
        <v>1</v>
      </c>
      <c r="D20" s="673">
        <f>SUMIF('PRESUPUESTO 2024'!$B:$B,A20,'PRESUPUESTO 2024'!$R:$R)</f>
        <v>121774500</v>
      </c>
      <c r="E20" s="622">
        <f t="shared" si="1"/>
        <v>0.27048707864981358</v>
      </c>
      <c r="F20" s="673">
        <f>SUMIF('PRESUPUESTO 2024'!$B:$B,A20,'PRESUPUESTO 2024'!T:T)</f>
        <v>26112500</v>
      </c>
      <c r="G20" s="622">
        <f t="shared" si="2"/>
        <v>5.8001419354982015E-2</v>
      </c>
      <c r="H20" s="673">
        <f>SUMIF('PRESUPUESTO 2024'!$B:$B,A20,'PRESUPUESTO 2024'!$AV:$AV)</f>
        <v>280721000</v>
      </c>
      <c r="I20" s="622">
        <f t="shared" si="3"/>
        <v>0.62354107966490779</v>
      </c>
      <c r="J20" s="673">
        <f>SUMIF('PRESUPUESTO 2024'!$B:$B,A20,'PRESUPUESTO 2024'!$BD:$BD)</f>
        <v>21596500</v>
      </c>
      <c r="K20" s="1178">
        <f t="shared" si="4"/>
        <v>4.7970422330296567E-2</v>
      </c>
    </row>
    <row r="21" spans="1:11" ht="15.9" customHeight="1" x14ac:dyDescent="0.45">
      <c r="A21" s="667" t="s">
        <v>568</v>
      </c>
      <c r="B21" s="673">
        <f t="shared" si="0"/>
        <v>1000000</v>
      </c>
      <c r="C21" s="622">
        <f t="shared" si="0"/>
        <v>1</v>
      </c>
      <c r="D21" s="673">
        <f>SUMIF('PRESUPUESTO 2024'!$B:$B,A21,'PRESUPUESTO 2024'!$R:$R)</f>
        <v>1000000</v>
      </c>
      <c r="E21" s="622">
        <f t="shared" si="1"/>
        <v>1</v>
      </c>
      <c r="F21" s="673">
        <f>SUMIF('PRESUPUESTO 2024'!$B:$B,A21,'PRESUPUESTO 2024'!T:T)</f>
        <v>0</v>
      </c>
      <c r="G21" s="622">
        <f t="shared" si="2"/>
        <v>0</v>
      </c>
      <c r="H21" s="673">
        <f>SUMIF('PRESUPUESTO 2024'!$B:$B,A21,'PRESUPUESTO 2024'!$AV:$AV)</f>
        <v>0</v>
      </c>
      <c r="I21" s="622">
        <f t="shared" si="3"/>
        <v>0</v>
      </c>
      <c r="J21" s="673">
        <f>SUMIF('PRESUPUESTO 2024'!$B:$B,A21,'PRESUPUESTO 2024'!$BD:$BD)</f>
        <v>0</v>
      </c>
      <c r="K21" s="1178">
        <f t="shared" si="4"/>
        <v>0</v>
      </c>
    </row>
    <row r="22" spans="1:11" ht="15.9" customHeight="1" x14ac:dyDescent="0.45">
      <c r="A22" s="452" t="s">
        <v>35</v>
      </c>
      <c r="B22" s="673">
        <f t="shared" si="0"/>
        <v>170431500</v>
      </c>
      <c r="C22" s="622">
        <f t="shared" si="0"/>
        <v>0.99999999999999989</v>
      </c>
      <c r="D22" s="673">
        <f>SUMIF('PRESUPUESTO 2024'!$B:$B,A22,'PRESUPUESTO 2024'!$R:$R)</f>
        <v>5751500</v>
      </c>
      <c r="E22" s="622">
        <f t="shared" si="1"/>
        <v>3.3746695886617203E-2</v>
      </c>
      <c r="F22" s="673">
        <f>SUMIF('PRESUPUESTO 2024'!$B:$B,A22,'PRESUPUESTO 2024'!T:T)</f>
        <v>0</v>
      </c>
      <c r="G22" s="622">
        <f t="shared" si="2"/>
        <v>0</v>
      </c>
      <c r="H22" s="673">
        <f>SUMIF('PRESUPUESTO 2024'!$B:$B,A22,'PRESUPUESTO 2024'!$AV:$AV)</f>
        <v>162680000</v>
      </c>
      <c r="I22" s="622">
        <f t="shared" si="3"/>
        <v>0.95451838421887969</v>
      </c>
      <c r="J22" s="673">
        <f>SUMIF('PRESUPUESTO 2024'!$B:$B,A22,'PRESUPUESTO 2024'!$BD:$BD)</f>
        <v>2000000</v>
      </c>
      <c r="K22" s="1178">
        <f t="shared" si="4"/>
        <v>1.173491989450307E-2</v>
      </c>
    </row>
    <row r="23" spans="1:11" ht="15.9" customHeight="1" x14ac:dyDescent="0.45">
      <c r="A23" s="1130" t="s">
        <v>465</v>
      </c>
      <c r="B23" s="1239">
        <f t="shared" si="0"/>
        <v>1242809000</v>
      </c>
      <c r="C23" s="1200">
        <f t="shared" si="0"/>
        <v>1</v>
      </c>
      <c r="D23" s="1239">
        <f>SUMIF('PRESUPUESTO 2024'!$B:$B,A23,'PRESUPUESTO 2024'!$R:$R)</f>
        <v>485269500</v>
      </c>
      <c r="E23" s="1200">
        <f t="shared" si="1"/>
        <v>0.39046184892449282</v>
      </c>
      <c r="F23" s="1239">
        <f>SUMIF('PRESUPUESTO 2024'!$B:$B,A23,'PRESUPUESTO 2024'!T:T)</f>
        <v>97857000</v>
      </c>
      <c r="G23" s="1200">
        <f t="shared" si="2"/>
        <v>7.8738567229558201E-2</v>
      </c>
      <c r="H23" s="1239">
        <f>SUMIF('PRESUPUESTO 2024'!$B:$B,A23,'PRESUPUESTO 2024'!$AV:$AV)</f>
        <v>571250500</v>
      </c>
      <c r="I23" s="1200">
        <f t="shared" si="3"/>
        <v>0.45964464370631369</v>
      </c>
      <c r="J23" s="673">
        <f>SUMIF('PRESUPUESTO 2024'!$B:$B,A23,'PRESUPUESTO 2024'!$BD:$BD)</f>
        <v>88432000</v>
      </c>
      <c r="K23" s="1224">
        <f t="shared" si="4"/>
        <v>7.1154940139635289E-2</v>
      </c>
    </row>
    <row r="24" spans="1:11" ht="15.9" customHeight="1" outlineLevel="1" x14ac:dyDescent="0.45">
      <c r="A24" s="1130" t="s">
        <v>14</v>
      </c>
      <c r="B24" s="1239">
        <f t="shared" si="0"/>
        <v>512840500</v>
      </c>
      <c r="C24" s="1200">
        <f t="shared" si="0"/>
        <v>0.99999999999999989</v>
      </c>
      <c r="D24" s="1239">
        <f>SUMIF('PRESUPUESTO 2024'!$B:$B,A24,'PRESUPUESTO 2024'!$R:$R)</f>
        <v>139042500</v>
      </c>
      <c r="E24" s="1200">
        <f t="shared" si="1"/>
        <v>0.27112230800804538</v>
      </c>
      <c r="F24" s="1239">
        <f>SUMIF('PRESUPUESTO 2024'!$B:$B,A24,'PRESUPUESTO 2024'!T:T)</f>
        <v>29182500</v>
      </c>
      <c r="G24" s="1200">
        <f t="shared" si="2"/>
        <v>5.690365717996141E-2</v>
      </c>
      <c r="H24" s="1239">
        <f>SUMIF('PRESUPUESTO 2024'!$B:$B,A24,'PRESUPUESTO 2024'!$AV:$AV)</f>
        <v>320630500</v>
      </c>
      <c r="I24" s="1200">
        <f t="shared" si="3"/>
        <v>0.62520510763093007</v>
      </c>
      <c r="J24" s="673">
        <f>SUMIF('PRESUPUESTO 2024'!$B:$B,A24,'PRESUPUESTO 2024'!$BD:$BD)</f>
        <v>23985000</v>
      </c>
      <c r="K24" s="1224">
        <f t="shared" si="4"/>
        <v>4.6768927181063118E-2</v>
      </c>
    </row>
    <row r="25" spans="1:11" ht="15.9" hidden="1" customHeight="1" x14ac:dyDescent="0.45">
      <c r="A25" s="1131" t="s">
        <v>56</v>
      </c>
      <c r="B25" s="1240">
        <f t="shared" si="0"/>
        <v>1641322000</v>
      </c>
      <c r="C25" s="1201">
        <f t="shared" si="0"/>
        <v>1</v>
      </c>
      <c r="D25" s="1240">
        <f>SUM(D26:D33)</f>
        <v>444996000</v>
      </c>
      <c r="E25" s="1201">
        <f t="shared" si="1"/>
        <v>0.27112047483674745</v>
      </c>
      <c r="F25" s="1240">
        <f>SUM(F26:F33)</f>
        <v>93396500</v>
      </c>
      <c r="G25" s="1201">
        <f t="shared" si="2"/>
        <v>5.6903215822367577E-2</v>
      </c>
      <c r="H25" s="1240">
        <f>SUM(H26:H33)</f>
        <v>1026166500</v>
      </c>
      <c r="I25" s="1201">
        <f t="shared" si="3"/>
        <v>0.62520730240623112</v>
      </c>
      <c r="J25" s="1240">
        <f>SUM(J26:J33)</f>
        <v>76763000</v>
      </c>
      <c r="K25" s="1225">
        <f t="shared" si="4"/>
        <v>4.6769006934653898E-2</v>
      </c>
    </row>
    <row r="26" spans="1:11" ht="15.9" customHeight="1" x14ac:dyDescent="0.45">
      <c r="A26" s="452" t="s">
        <v>1191</v>
      </c>
      <c r="B26" s="673">
        <f t="shared" si="0"/>
        <v>569261500</v>
      </c>
      <c r="C26" s="622">
        <f t="shared" si="0"/>
        <v>1</v>
      </c>
      <c r="D26" s="673">
        <f>SUMIF('PRESUPUESTO 2024'!$B:$B,A26,'PRESUPUESTO 2024'!$R:$R)</f>
        <v>154338500</v>
      </c>
      <c r="E26" s="622">
        <f t="shared" si="1"/>
        <v>0.27112056585593791</v>
      </c>
      <c r="F26" s="673">
        <f>SUMIF('PRESUPUESTO 2024'!$B:$B,A26,'PRESUPUESTO 2024'!T:T)</f>
        <v>32392500</v>
      </c>
      <c r="G26" s="622">
        <f t="shared" si="2"/>
        <v>5.6902671267949789E-2</v>
      </c>
      <c r="H26" s="673">
        <f>SUMIF('PRESUPUESTO 2024'!$B:$B,A26,'PRESUPUESTO 2024'!$AV:$AV)</f>
        <v>355907000</v>
      </c>
      <c r="I26" s="622">
        <f t="shared" si="3"/>
        <v>0.62520827422897918</v>
      </c>
      <c r="J26" s="673">
        <f>SUMIF('PRESUPUESTO 2024'!$B:$B,A26,'PRESUPUESTO 2024'!$BD:$BD)</f>
        <v>26623500</v>
      </c>
      <c r="K26" s="1178">
        <f t="shared" si="4"/>
        <v>4.676848864713317E-2</v>
      </c>
    </row>
    <row r="27" spans="1:11" ht="15.9" customHeight="1" x14ac:dyDescent="0.45">
      <c r="A27" s="452" t="s">
        <v>447</v>
      </c>
      <c r="B27" s="673">
        <f t="shared" si="0"/>
        <v>30771500</v>
      </c>
      <c r="C27" s="622">
        <f t="shared" si="0"/>
        <v>1</v>
      </c>
      <c r="D27" s="673">
        <f>SUMIF('PRESUPUESTO 2024'!$B:$B,A27,'PRESUPUESTO 2024'!$R:$R)</f>
        <v>8343000</v>
      </c>
      <c r="E27" s="622">
        <f t="shared" si="1"/>
        <v>0.27112750434655442</v>
      </c>
      <c r="F27" s="673">
        <f>SUMIF('PRESUPUESTO 2024'!$B:$B,A27,'PRESUPUESTO 2024'!T:T)</f>
        <v>1751000</v>
      </c>
      <c r="G27" s="622">
        <f t="shared" si="2"/>
        <v>5.6903303381375621E-2</v>
      </c>
      <c r="H27" s="673">
        <f>SUMIF('PRESUPUESTO 2024'!$B:$B,A27,'PRESUPUESTO 2024'!$AV:$AV)</f>
        <v>19238500</v>
      </c>
      <c r="I27" s="622">
        <f t="shared" si="3"/>
        <v>0.62520514112084236</v>
      </c>
      <c r="J27" s="673">
        <f>SUMIF('PRESUPUESTO 2024'!$B:$B,A27,'PRESUPUESTO 2024'!$BD:$BD)</f>
        <v>1439000</v>
      </c>
      <c r="K27" s="1178">
        <f t="shared" si="4"/>
        <v>4.6764051151227594E-2</v>
      </c>
    </row>
    <row r="28" spans="1:11" ht="15.9" customHeight="1" x14ac:dyDescent="0.45">
      <c r="A28" s="452" t="s">
        <v>448</v>
      </c>
      <c r="B28" s="673">
        <f t="shared" si="0"/>
        <v>92313000</v>
      </c>
      <c r="C28" s="622">
        <f t="shared" si="0"/>
        <v>1</v>
      </c>
      <c r="D28" s="673">
        <f>SUMIF('PRESUPUESTO 2024'!$B:$B,A28,'PRESUPUESTO 2024'!$R:$R)</f>
        <v>25028000</v>
      </c>
      <c r="E28" s="622">
        <f t="shared" si="1"/>
        <v>0.27112107720472739</v>
      </c>
      <c r="F28" s="673">
        <f>SUMIF('PRESUPUESTO 2024'!$B:$B,A28,'PRESUPUESTO 2024'!T:T)</f>
        <v>5253000</v>
      </c>
      <c r="G28" s="622">
        <f t="shared" si="2"/>
        <v>5.6904228006889601E-2</v>
      </c>
      <c r="H28" s="673">
        <f>SUMIF('PRESUPUESTO 2024'!$B:$B,A28,'PRESUPUESTO 2024'!$AV:$AV)</f>
        <v>57714500</v>
      </c>
      <c r="I28" s="622">
        <f t="shared" si="3"/>
        <v>0.62520446740979063</v>
      </c>
      <c r="J28" s="673">
        <f>SUMIF('PRESUPUESTO 2024'!$B:$B,A28,'PRESUPUESTO 2024'!$BD:$BD)</f>
        <v>4317500</v>
      </c>
      <c r="K28" s="1178">
        <f t="shared" si="4"/>
        <v>4.6770227378592398E-2</v>
      </c>
    </row>
    <row r="29" spans="1:11" ht="15.9" customHeight="1" x14ac:dyDescent="0.45">
      <c r="A29" s="452" t="s">
        <v>609</v>
      </c>
      <c r="B29" s="673">
        <f t="shared" si="0"/>
        <v>307708500</v>
      </c>
      <c r="C29" s="622">
        <f t="shared" si="0"/>
        <v>0.99999999999999989</v>
      </c>
      <c r="D29" s="673">
        <f>SUMIF('PRESUPUESTO 2024'!$B:$B,A29,'PRESUPUESTO 2024'!$R:$R)</f>
        <v>83425500</v>
      </c>
      <c r="E29" s="622">
        <f t="shared" si="1"/>
        <v>0.27111860738328647</v>
      </c>
      <c r="F29" s="673">
        <f>SUMIF('PRESUPUESTO 2024'!$B:$B,A29,'PRESUPUESTO 2024'!T:T)</f>
        <v>17509500</v>
      </c>
      <c r="G29" s="622">
        <f t="shared" si="2"/>
        <v>5.690288048591443E-2</v>
      </c>
      <c r="H29" s="673">
        <f>SUMIF('PRESUPUESTO 2024'!$B:$B,A29,'PRESUPUESTO 2024'!$AV:$AV)</f>
        <v>192382500</v>
      </c>
      <c r="I29" s="622">
        <f t="shared" si="3"/>
        <v>0.62521022331199816</v>
      </c>
      <c r="J29" s="673">
        <f>SUMIF('PRESUPUESTO 2024'!$B:$B,A29,'PRESUPUESTO 2024'!$BD:$BD)</f>
        <v>14391000</v>
      </c>
      <c r="K29" s="1178">
        <f t="shared" si="4"/>
        <v>4.6768288818800907E-2</v>
      </c>
    </row>
    <row r="30" spans="1:11" ht="15.9" customHeight="1" x14ac:dyDescent="0.45">
      <c r="A30" s="452" t="s">
        <v>1192</v>
      </c>
      <c r="B30" s="673">
        <f t="shared" si="0"/>
        <v>30771500</v>
      </c>
      <c r="C30" s="622">
        <f t="shared" si="0"/>
        <v>1</v>
      </c>
      <c r="D30" s="673">
        <f>SUMIF('PRESUPUESTO 2024'!$B:$B,A30,'PRESUPUESTO 2024'!$R:$R)</f>
        <v>8343000</v>
      </c>
      <c r="E30" s="622">
        <f t="shared" si="1"/>
        <v>0.27112750434655442</v>
      </c>
      <c r="F30" s="673">
        <f>SUMIF('PRESUPUESTO 2024'!$B:$B,A30,'PRESUPUESTO 2024'!T:T)</f>
        <v>1751000</v>
      </c>
      <c r="G30" s="622">
        <f t="shared" si="2"/>
        <v>5.6903303381375621E-2</v>
      </c>
      <c r="H30" s="673">
        <f>SUMIF('PRESUPUESTO 2024'!$B:$B,A30,'PRESUPUESTO 2024'!$AV:$AV)</f>
        <v>19238500</v>
      </c>
      <c r="I30" s="622">
        <f t="shared" si="3"/>
        <v>0.62520514112084236</v>
      </c>
      <c r="J30" s="673">
        <f>SUMIF('PRESUPUESTO 2024'!$B:$B,A30,'PRESUPUESTO 2024'!$BD:$BD)</f>
        <v>1439000</v>
      </c>
      <c r="K30" s="1178">
        <f t="shared" si="4"/>
        <v>4.6764051151227594E-2</v>
      </c>
    </row>
    <row r="31" spans="1:11" ht="15.9" customHeight="1" x14ac:dyDescent="0.45">
      <c r="A31" s="452" t="s">
        <v>1194</v>
      </c>
      <c r="B31" s="673">
        <f t="shared" si="0"/>
        <v>333557000</v>
      </c>
      <c r="C31" s="622">
        <f t="shared" si="0"/>
        <v>1</v>
      </c>
      <c r="D31" s="673">
        <f>SUMIF('PRESUPUESTO 2024'!$B:$B,A31,'PRESUPUESTO 2024'!$R:$R)</f>
        <v>90434500</v>
      </c>
      <c r="E31" s="622">
        <f t="shared" si="1"/>
        <v>0.27112157742155013</v>
      </c>
      <c r="F31" s="673">
        <f>SUMIF('PRESUPUESTO 2024'!$B:$B,A31,'PRESUPUESTO 2024'!T:T)</f>
        <v>18980500</v>
      </c>
      <c r="G31" s="622">
        <f t="shared" si="2"/>
        <v>5.6903317873706741E-2</v>
      </c>
      <c r="H31" s="673">
        <f>SUMIF('PRESUPUESTO 2024'!$B:$B,A31,'PRESUPUESTO 2024'!$AV:$AV)</f>
        <v>208541500</v>
      </c>
      <c r="I31" s="622">
        <f t="shared" si="3"/>
        <v>0.62520498745341879</v>
      </c>
      <c r="J31" s="673">
        <f>SUMIF('PRESUPUESTO 2024'!$B:$B,A31,'PRESUPUESTO 2024'!$BD:$BD)</f>
        <v>15600500</v>
      </c>
      <c r="K31" s="1178">
        <f t="shared" si="4"/>
        <v>4.6770117251324364E-2</v>
      </c>
    </row>
    <row r="32" spans="1:11" ht="15.9" customHeight="1" x14ac:dyDescent="0.45">
      <c r="A32" s="452" t="s">
        <v>1195</v>
      </c>
      <c r="B32" s="673">
        <f t="shared" si="0"/>
        <v>184626000</v>
      </c>
      <c r="C32" s="622">
        <f t="shared" si="0"/>
        <v>1</v>
      </c>
      <c r="D32" s="673">
        <f>SUMIF('PRESUPUESTO 2024'!$B:$B,A32,'PRESUPUESTO 2024'!$R:$R)</f>
        <v>50055500</v>
      </c>
      <c r="E32" s="622">
        <f t="shared" si="1"/>
        <v>0.27111836902711428</v>
      </c>
      <c r="F32" s="673">
        <f>SUMIF('PRESUPUESTO 2024'!$B:$B,A32,'PRESUPUESTO 2024'!T:T)</f>
        <v>10506000</v>
      </c>
      <c r="G32" s="622">
        <f t="shared" si="2"/>
        <v>5.6904228006889601E-2</v>
      </c>
      <c r="H32" s="673">
        <f>SUMIF('PRESUPUESTO 2024'!$B:$B,A32,'PRESUPUESTO 2024'!$AV:$AV)</f>
        <v>115429500</v>
      </c>
      <c r="I32" s="622">
        <f t="shared" si="3"/>
        <v>0.62520717558740369</v>
      </c>
      <c r="J32" s="673">
        <f>SUMIF('PRESUPUESTO 2024'!$B:$B,A32,'PRESUPUESTO 2024'!$BD:$BD)</f>
        <v>8635000</v>
      </c>
      <c r="K32" s="1178">
        <f t="shared" si="4"/>
        <v>4.6770227378592398E-2</v>
      </c>
    </row>
    <row r="33" spans="1:11" ht="15.9" customHeight="1" x14ac:dyDescent="0.45">
      <c r="A33" s="452" t="s">
        <v>543</v>
      </c>
      <c r="B33" s="673">
        <f t="shared" si="0"/>
        <v>92313000</v>
      </c>
      <c r="C33" s="622">
        <f t="shared" si="0"/>
        <v>1</v>
      </c>
      <c r="D33" s="673">
        <f>SUMIF('PRESUPUESTO 2024'!$B:$B,A33,'PRESUPUESTO 2024'!$R:$R)</f>
        <v>25028000</v>
      </c>
      <c r="E33" s="622">
        <f t="shared" si="1"/>
        <v>0.27112107720472739</v>
      </c>
      <c r="F33" s="673">
        <f>SUMIF('PRESUPUESTO 2024'!$B:$B,A33,'PRESUPUESTO 2024'!T:T)</f>
        <v>5253000</v>
      </c>
      <c r="G33" s="622">
        <f t="shared" si="2"/>
        <v>5.6904228006889601E-2</v>
      </c>
      <c r="H33" s="673">
        <f>SUMIF('PRESUPUESTO 2024'!$B:$B,A33,'PRESUPUESTO 2024'!$AV:$AV)</f>
        <v>57714500</v>
      </c>
      <c r="I33" s="622">
        <f t="shared" si="3"/>
        <v>0.62520446740979063</v>
      </c>
      <c r="J33" s="673">
        <f>SUMIF('PRESUPUESTO 2024'!$B:$B,A33,'PRESUPUESTO 2024'!$BD:$BD)</f>
        <v>4317500</v>
      </c>
      <c r="K33" s="1178">
        <f t="shared" si="4"/>
        <v>4.6770227378592398E-2</v>
      </c>
    </row>
    <row r="34" spans="1:11" ht="15.9" hidden="1" customHeight="1" x14ac:dyDescent="0.45">
      <c r="A34" s="452" t="s">
        <v>375</v>
      </c>
      <c r="B34" s="673">
        <f t="shared" si="0"/>
        <v>0</v>
      </c>
      <c r="C34" s="622" t="e">
        <f t="shared" si="0"/>
        <v>#DIV/0!</v>
      </c>
      <c r="D34" s="673">
        <v>0</v>
      </c>
      <c r="E34" s="622" t="e">
        <f t="shared" si="1"/>
        <v>#DIV/0!</v>
      </c>
      <c r="F34" s="673">
        <v>0</v>
      </c>
      <c r="G34" s="622" t="e">
        <f t="shared" si="2"/>
        <v>#DIV/0!</v>
      </c>
      <c r="H34" s="673">
        <v>0</v>
      </c>
      <c r="I34" s="622" t="e">
        <f t="shared" si="3"/>
        <v>#DIV/0!</v>
      </c>
      <c r="J34" s="673">
        <v>0</v>
      </c>
      <c r="K34" s="1178" t="e">
        <f t="shared" si="4"/>
        <v>#DIV/0!</v>
      </c>
    </row>
    <row r="35" spans="1:11" ht="9.9" customHeight="1" x14ac:dyDescent="0.45">
      <c r="A35" s="614"/>
      <c r="B35" s="673"/>
      <c r="C35" s="1202"/>
      <c r="D35" s="673"/>
      <c r="E35" s="622"/>
      <c r="F35" s="673"/>
      <c r="G35" s="748"/>
      <c r="H35" s="673"/>
      <c r="I35" s="622"/>
      <c r="J35" s="673"/>
      <c r="K35" s="1178"/>
    </row>
    <row r="36" spans="1:11" ht="15.9" customHeight="1" x14ac:dyDescent="0.4">
      <c r="A36" s="664" t="s">
        <v>54</v>
      </c>
      <c r="B36" s="680">
        <f>+B38+B45+B53+B62+B74+B81+B85+B91+B106+B102</f>
        <v>2754673408</v>
      </c>
      <c r="C36" s="742">
        <f>E36+G36+I36+K36</f>
        <v>1</v>
      </c>
      <c r="D36" s="680">
        <f>+D38+D45+D53+D62+D74+D81+D85+D91+D106+D102</f>
        <v>803003908</v>
      </c>
      <c r="E36" s="742">
        <f>+D36/B36</f>
        <v>0.29150602959608635</v>
      </c>
      <c r="F36" s="680">
        <f>+F38+F45+F53+F62+F74+F81+F85+F91+F106+F102</f>
        <v>79249300</v>
      </c>
      <c r="G36" s="742">
        <f>F36/B36</f>
        <v>2.8769036565223196E-2</v>
      </c>
      <c r="H36" s="680">
        <f>+H38+H45+H53+H62+H74+H81+H85+H91+H106+H102</f>
        <v>1701036600</v>
      </c>
      <c r="I36" s="742">
        <f>H36/B36</f>
        <v>0.61750935521427885</v>
      </c>
      <c r="J36" s="680">
        <f>+J38+J45+J53+J62+J74+J81+J85+J91+J106+J102</f>
        <v>171383600</v>
      </c>
      <c r="K36" s="743">
        <f>+J36/B36</f>
        <v>6.2215578624411655E-2</v>
      </c>
    </row>
    <row r="37" spans="1:11" ht="9.9" customHeight="1" x14ac:dyDescent="0.45">
      <c r="A37" s="666"/>
      <c r="B37" s="1238"/>
      <c r="C37" s="622"/>
      <c r="D37" s="1238"/>
      <c r="E37" s="748"/>
      <c r="F37" s="1238"/>
      <c r="G37" s="622"/>
      <c r="H37" s="1238"/>
      <c r="I37" s="622"/>
      <c r="J37" s="1238"/>
      <c r="K37" s="1178"/>
    </row>
    <row r="38" spans="1:11" ht="15.9" customHeight="1" x14ac:dyDescent="0.45">
      <c r="A38" s="668" t="s">
        <v>105</v>
      </c>
      <c r="B38" s="669">
        <f>SUM(B40:B43)</f>
        <v>451464500</v>
      </c>
      <c r="C38" s="744">
        <f t="shared" ref="C38:C45" si="5">SUM(E38+G38+I38)</f>
        <v>0.92164035045944914</v>
      </c>
      <c r="D38" s="669">
        <f>SUM(D40:D43)</f>
        <v>70277100</v>
      </c>
      <c r="E38" s="744">
        <f>+D38/B38</f>
        <v>0.15566473111396356</v>
      </c>
      <c r="F38" s="669">
        <f>SUM(F40:F43)</f>
        <v>7465900</v>
      </c>
      <c r="G38" s="744">
        <f>F38/B38</f>
        <v>1.6537069913581243E-2</v>
      </c>
      <c r="H38" s="669">
        <f>SUM(H40:H43)</f>
        <v>338344900</v>
      </c>
      <c r="I38" s="744">
        <f>H38/B38</f>
        <v>0.74943854943190436</v>
      </c>
      <c r="J38" s="669">
        <f>SUM(J40:J43)</f>
        <v>35376600</v>
      </c>
      <c r="K38" s="745">
        <f>+J38/B38</f>
        <v>7.8359649540550802E-2</v>
      </c>
    </row>
    <row r="39" spans="1:11" ht="9.9" customHeight="1" x14ac:dyDescent="0.45">
      <c r="A39" s="625"/>
      <c r="B39" s="631"/>
      <c r="C39" s="622"/>
      <c r="D39" s="631"/>
      <c r="E39" s="622"/>
      <c r="F39" s="631"/>
      <c r="G39" s="622"/>
      <c r="H39" s="631"/>
      <c r="I39" s="622"/>
      <c r="J39" s="631"/>
      <c r="K39" s="1178"/>
    </row>
    <row r="40" spans="1:11" ht="15.9" customHeight="1" collapsed="1" x14ac:dyDescent="0.45">
      <c r="A40" s="670" t="s">
        <v>621</v>
      </c>
      <c r="B40" s="673">
        <f>SUM(D40+F40+H40+J40)</f>
        <v>237584500</v>
      </c>
      <c r="C40" s="622">
        <f>SUM(E40+G40+I40+K40)</f>
        <v>1</v>
      </c>
      <c r="D40" s="673">
        <f>SUMIF('PRESUPUESTO 2024'!$B:$B,A40,'PRESUPUESTO 2024'!$R:$R)</f>
        <v>70277100</v>
      </c>
      <c r="E40" s="622">
        <f>+D40/B40</f>
        <v>0.29579833701272601</v>
      </c>
      <c r="F40" s="673">
        <f>SUMIF('PRESUPUESTO 2024'!$B:$B,A40,'PRESUPUESTO 2024'!T:T)</f>
        <v>7465900</v>
      </c>
      <c r="G40" s="622">
        <f>F40/B40</f>
        <v>3.1424188025734004E-2</v>
      </c>
      <c r="H40" s="673">
        <f>SUMIF('PRESUPUESTO 2024'!$B:$B,A40,'PRESUPUESTO 2024'!$AV:$AV)</f>
        <v>124464900</v>
      </c>
      <c r="I40" s="622">
        <f>H40/B40</f>
        <v>0.52387634715227638</v>
      </c>
      <c r="J40" s="673">
        <f>SUMIF('PRESUPUESTO 2024'!$B:$B,A40,'PRESUPUESTO 2024'!$BD:$BD)</f>
        <v>35376600</v>
      </c>
      <c r="K40" s="1178">
        <f>+J40/B40</f>
        <v>0.14890112780926365</v>
      </c>
    </row>
    <row r="41" spans="1:11" ht="15.9" customHeight="1" x14ac:dyDescent="0.45">
      <c r="A41" s="670" t="s">
        <v>109</v>
      </c>
      <c r="B41" s="673">
        <f>SUM(D41+F41+H41+J41)</f>
        <v>213880000</v>
      </c>
      <c r="C41" s="622">
        <f t="shared" si="5"/>
        <v>1</v>
      </c>
      <c r="D41" s="673">
        <f>SUMIF('PRESUPUESTO 2024'!$B:$B,A41,'PRESUPUESTO 2024'!$R:$R)</f>
        <v>0</v>
      </c>
      <c r="E41" s="622">
        <f>+D41/B41</f>
        <v>0</v>
      </c>
      <c r="F41" s="673">
        <f>SUMIF('PRESUPUESTO 2024'!$B:$B,A41,'PRESUPUESTO 2024'!T:T)</f>
        <v>0</v>
      </c>
      <c r="G41" s="622">
        <f>F41/B41</f>
        <v>0</v>
      </c>
      <c r="H41" s="673">
        <f>SUMIF('PRESUPUESTO 2024'!$B:$B,A41,'PRESUPUESTO 2024'!$AV:$AV)</f>
        <v>213880000</v>
      </c>
      <c r="I41" s="622">
        <f>H41/B41</f>
        <v>1</v>
      </c>
      <c r="J41" s="673">
        <f>SUMIF('PRESUPUESTO 2024'!$B:$B,A41,'PRESUPUESTO 2024'!$BD:$BD)</f>
        <v>0</v>
      </c>
      <c r="K41" s="1178">
        <f>+J41/B41</f>
        <v>0</v>
      </c>
    </row>
    <row r="42" spans="1:11" ht="15.9" hidden="1" customHeight="1" outlineLevel="2" x14ac:dyDescent="0.45">
      <c r="A42" s="670" t="s">
        <v>111</v>
      </c>
      <c r="B42" s="673">
        <f>SUM(D42+F42+H42+J42)</f>
        <v>0</v>
      </c>
      <c r="C42" s="622" t="e">
        <f t="shared" si="5"/>
        <v>#DIV/0!</v>
      </c>
      <c r="D42" s="673">
        <v>0</v>
      </c>
      <c r="E42" s="622" t="e">
        <f>+D42/B42</f>
        <v>#DIV/0!</v>
      </c>
      <c r="F42" s="673">
        <v>0</v>
      </c>
      <c r="G42" s="622" t="e">
        <f>F42/B42</f>
        <v>#DIV/0!</v>
      </c>
      <c r="H42" s="673">
        <v>0</v>
      </c>
      <c r="I42" s="622" t="e">
        <f>H42/B42</f>
        <v>#DIV/0!</v>
      </c>
      <c r="J42" s="673">
        <v>0</v>
      </c>
      <c r="K42" s="1178" t="e">
        <f>+J42/B42</f>
        <v>#DIV/0!</v>
      </c>
    </row>
    <row r="43" spans="1:11" ht="15.9" hidden="1" customHeight="1" outlineLevel="2" x14ac:dyDescent="0.45">
      <c r="A43" s="670" t="s">
        <v>113</v>
      </c>
      <c r="B43" s="673">
        <f>SUM(D43+F43+H43+J43)</f>
        <v>0</v>
      </c>
      <c r="C43" s="622" t="e">
        <f t="shared" si="5"/>
        <v>#DIV/0!</v>
      </c>
      <c r="D43" s="673">
        <v>0</v>
      </c>
      <c r="E43" s="622" t="e">
        <f>+D43/B43</f>
        <v>#DIV/0!</v>
      </c>
      <c r="F43" s="673">
        <v>0</v>
      </c>
      <c r="G43" s="622" t="e">
        <f>F43/B43</f>
        <v>#DIV/0!</v>
      </c>
      <c r="H43" s="673">
        <v>0</v>
      </c>
      <c r="I43" s="622" t="e">
        <f>H43/B43</f>
        <v>#DIV/0!</v>
      </c>
      <c r="J43" s="673">
        <v>0</v>
      </c>
      <c r="K43" s="1178" t="e">
        <f>+J43/B43</f>
        <v>#DIV/0!</v>
      </c>
    </row>
    <row r="44" spans="1:11" ht="9.9" customHeight="1" collapsed="1" x14ac:dyDescent="0.45">
      <c r="A44" s="671"/>
      <c r="B44" s="672"/>
      <c r="C44" s="622"/>
      <c r="D44" s="631"/>
      <c r="E44" s="622"/>
      <c r="F44" s="631"/>
      <c r="G44" s="622"/>
      <c r="H44" s="631"/>
      <c r="I44" s="622"/>
      <c r="J44" s="631"/>
      <c r="K44" s="1178"/>
    </row>
    <row r="45" spans="1:11" ht="15.9" customHeight="1" x14ac:dyDescent="0.45">
      <c r="A45" s="668" t="s">
        <v>115</v>
      </c>
      <c r="B45" s="669">
        <f>SUM(B47:B51)</f>
        <v>132078800</v>
      </c>
      <c r="C45" s="744">
        <f t="shared" si="5"/>
        <v>0.9341173602425219</v>
      </c>
      <c r="D45" s="669">
        <f>SUM(D47:D51)</f>
        <v>49575700</v>
      </c>
      <c r="E45" s="744">
        <f>+D45/B45</f>
        <v>0.37534941262337335</v>
      </c>
      <c r="F45" s="669">
        <f>SUM(F47:F51)</f>
        <v>1836600</v>
      </c>
      <c r="G45" s="744">
        <f>+F45/B45</f>
        <v>1.3905335299836159E-2</v>
      </c>
      <c r="H45" s="669">
        <f>SUM(H47:H51)</f>
        <v>71964800</v>
      </c>
      <c r="I45" s="1219">
        <f>+H45/B45</f>
        <v>0.54486261231931243</v>
      </c>
      <c r="J45" s="669">
        <f>SUM(J47:J51)</f>
        <v>8701700</v>
      </c>
      <c r="K45" s="745">
        <f>+J45/B45</f>
        <v>6.5882639757478115E-2</v>
      </c>
    </row>
    <row r="46" spans="1:11" ht="9.9" customHeight="1" x14ac:dyDescent="0.45">
      <c r="A46" s="670"/>
      <c r="B46" s="631"/>
      <c r="C46" s="622"/>
      <c r="D46" s="631"/>
      <c r="E46" s="622"/>
      <c r="F46" s="631"/>
      <c r="G46" s="622"/>
      <c r="H46" s="631"/>
      <c r="I46" s="622"/>
      <c r="J46" s="631"/>
      <c r="K46" s="1178"/>
    </row>
    <row r="47" spans="1:11" ht="15.9" customHeight="1" collapsed="1" x14ac:dyDescent="0.45">
      <c r="A47" s="670" t="s">
        <v>117</v>
      </c>
      <c r="B47" s="673">
        <f t="shared" ref="B47:C51" si="6">SUM(D47+F47+H47+J47)</f>
        <v>9631900</v>
      </c>
      <c r="C47" s="622">
        <f t="shared" si="6"/>
        <v>1</v>
      </c>
      <c r="D47" s="673">
        <f>SUMIF('PRESUPUESTO 2024'!$B:$B,A47,'PRESUPUESTO 2024'!$R:$R)</f>
        <v>2849100</v>
      </c>
      <c r="E47" s="622">
        <f>+D47/B47</f>
        <v>0.29579833677675227</v>
      </c>
      <c r="F47" s="673">
        <f>SUMIF('PRESUPUESTO 2024'!$B:$B,A47,'PRESUPUESTO 2024'!T:T)</f>
        <v>302700</v>
      </c>
      <c r="G47" s="622">
        <f>F47/B47</f>
        <v>3.1426821291749292E-2</v>
      </c>
      <c r="H47" s="673">
        <f>SUMIF('PRESUPUESTO 2024'!$B:$B,A47,'PRESUPUESTO 2024'!$AV:$AV)</f>
        <v>5045900</v>
      </c>
      <c r="I47" s="622">
        <f>H47/B47</f>
        <v>0.52387379437078874</v>
      </c>
      <c r="J47" s="673">
        <f>SUMIF('PRESUPUESTO 2024'!$B:$B,A47,'PRESUPUESTO 2024'!$BD:$BD)</f>
        <v>1434200</v>
      </c>
      <c r="K47" s="1178">
        <f>+J47/B47</f>
        <v>0.14890104756070974</v>
      </c>
    </row>
    <row r="48" spans="1:11" ht="15.9" customHeight="1" x14ac:dyDescent="0.45">
      <c r="A48" s="625" t="s">
        <v>119</v>
      </c>
      <c r="B48" s="673">
        <f t="shared" si="6"/>
        <v>35374320</v>
      </c>
      <c r="C48" s="622">
        <f t="shared" si="6"/>
        <v>1</v>
      </c>
      <c r="D48" s="673">
        <f>SUMIF('PRESUPUESTO 2024'!$B:$B,A48,'PRESUPUESTO 2024'!$R:$R)</f>
        <v>11384820</v>
      </c>
      <c r="E48" s="622">
        <f>+D48/B48</f>
        <v>0.32183855406973194</v>
      </c>
      <c r="F48" s="673">
        <f>SUMIF('PRESUPUESTO 2024'!$B:$B,A48,'PRESUPUESTO 2024'!T:T)</f>
        <v>1070600</v>
      </c>
      <c r="G48" s="622">
        <f>F48/B48</f>
        <v>3.0264892724439649E-2</v>
      </c>
      <c r="H48" s="673">
        <f>SUMIF('PRESUPUESTO 2024'!$B:$B,A48,'PRESUPUESTO 2024'!$AV:$AV)</f>
        <v>17846500</v>
      </c>
      <c r="I48" s="622">
        <f>H48/B48</f>
        <v>0.50450439754036258</v>
      </c>
      <c r="J48" s="673">
        <f>SUMIF('PRESUPUESTO 2024'!$B:$B,A48,'PRESUPUESTO 2024'!$BD:$BD)</f>
        <v>5072400</v>
      </c>
      <c r="K48" s="1178">
        <f>+J48/B48</f>
        <v>0.14339215566546579</v>
      </c>
    </row>
    <row r="49" spans="1:11" ht="15.9" customHeight="1" x14ac:dyDescent="0.45">
      <c r="A49" s="670" t="s">
        <v>121</v>
      </c>
      <c r="B49" s="673">
        <f t="shared" si="6"/>
        <v>5000000</v>
      </c>
      <c r="C49" s="622">
        <f t="shared" si="6"/>
        <v>1</v>
      </c>
      <c r="D49" s="673">
        <f>SUMIF('PRESUPUESTO 2024'!$B:$B,A49,'PRESUPUESTO 2024'!$R:$R)</f>
        <v>5000000</v>
      </c>
      <c r="E49" s="622">
        <f>+D49/B49</f>
        <v>1</v>
      </c>
      <c r="F49" s="673">
        <f>SUMIF('PRESUPUESTO 2024'!$B:$B,A49,'PRESUPUESTO 2024'!T:T)</f>
        <v>0</v>
      </c>
      <c r="G49" s="622">
        <f>F49/B49</f>
        <v>0</v>
      </c>
      <c r="H49" s="673">
        <f>SUMIF('PRESUPUESTO 2024'!$B:$B,A49,'PRESUPUESTO 2024'!$AV:$AV)</f>
        <v>0</v>
      </c>
      <c r="I49" s="622">
        <f>H49/B49</f>
        <v>0</v>
      </c>
      <c r="J49" s="673">
        <f>SUMIF('PRESUPUESTO 2024'!$B:$B,A49,'PRESUPUESTO 2024'!$BD:$BD)</f>
        <v>0</v>
      </c>
      <c r="K49" s="1178">
        <f>+J49/B49</f>
        <v>0</v>
      </c>
    </row>
    <row r="50" spans="1:11" ht="15.9" customHeight="1" x14ac:dyDescent="0.45">
      <c r="A50" s="670" t="s">
        <v>1200</v>
      </c>
      <c r="B50" s="673">
        <f t="shared" si="6"/>
        <v>81291200</v>
      </c>
      <c r="C50" s="622">
        <f t="shared" si="6"/>
        <v>1</v>
      </c>
      <c r="D50" s="673">
        <f>SUMIF('PRESUPUESTO 2024'!$B:$B,A50,'PRESUPUESTO 2024'!$R:$R)</f>
        <v>29560400</v>
      </c>
      <c r="E50" s="622">
        <f>+D50/B50</f>
        <v>0.3636359163107446</v>
      </c>
      <c r="F50" s="673">
        <f>SUMIF('PRESUPUESTO 2024'!$B:$B,A50,'PRESUPUESTO 2024'!T:T)</f>
        <v>463300</v>
      </c>
      <c r="G50" s="622">
        <f>F50/B50</f>
        <v>5.6992638809612852E-3</v>
      </c>
      <c r="H50" s="673">
        <f>SUMIF('PRESUPUESTO 2024'!$B:$B,A50,'PRESUPUESTO 2024'!$AV:$AV)</f>
        <v>49072400</v>
      </c>
      <c r="I50" s="622">
        <f>H50/B50</f>
        <v>0.60366189698269923</v>
      </c>
      <c r="J50" s="673">
        <f>SUMIF('PRESUPUESTO 2024'!$B:$B,A50,'PRESUPUESTO 2024'!$BD:$BD)</f>
        <v>2195100</v>
      </c>
      <c r="K50" s="1178">
        <f>+J50/B50</f>
        <v>2.7002922825594897E-2</v>
      </c>
    </row>
    <row r="51" spans="1:11" ht="15.9" customHeight="1" outlineLevel="2" x14ac:dyDescent="0.45">
      <c r="A51" s="670" t="s">
        <v>124</v>
      </c>
      <c r="B51" s="673">
        <f t="shared" si="6"/>
        <v>781380</v>
      </c>
      <c r="C51" s="622">
        <f t="shared" si="6"/>
        <v>1</v>
      </c>
      <c r="D51" s="673">
        <f>SUMIF('PRESUPUESTO 2024'!$B:$B,A51,'PRESUPUESTO 2024'!$R:$R)</f>
        <v>781380</v>
      </c>
      <c r="E51" s="622">
        <f>+D51/B51</f>
        <v>1</v>
      </c>
      <c r="F51" s="673">
        <f>SUMIF('PRESUPUESTO 2024'!$B:$B,A51,'PRESUPUESTO 2024'!T:T)</f>
        <v>0</v>
      </c>
      <c r="G51" s="622">
        <f>F51/B51</f>
        <v>0</v>
      </c>
      <c r="H51" s="673">
        <f>SUMIF('PRESUPUESTO 2024'!$B:$B,A51,'PRESUPUESTO 2024'!$AV:$AV)</f>
        <v>0</v>
      </c>
      <c r="I51" s="622">
        <f>H51/B51</f>
        <v>0</v>
      </c>
      <c r="J51" s="673">
        <f>SUMIF('PRESUPUESTO 2024'!$B:$B,A51,'PRESUPUESTO 2024'!$BD:$BD)</f>
        <v>0</v>
      </c>
      <c r="K51" s="1178">
        <f>+J51/B51</f>
        <v>0</v>
      </c>
    </row>
    <row r="52" spans="1:11" ht="7.95" customHeight="1" x14ac:dyDescent="0.45">
      <c r="A52" s="671"/>
      <c r="B52" s="672"/>
      <c r="C52" s="635"/>
      <c r="D52" s="672"/>
      <c r="E52" s="635"/>
      <c r="F52" s="672"/>
      <c r="G52" s="635"/>
      <c r="H52" s="672"/>
      <c r="I52" s="635"/>
      <c r="J52" s="672"/>
      <c r="K52" s="1226"/>
    </row>
    <row r="53" spans="1:11" ht="15.9" customHeight="1" x14ac:dyDescent="0.45">
      <c r="A53" s="1107" t="s">
        <v>327</v>
      </c>
      <c r="B53" s="640">
        <f>SUM(B55:B60)</f>
        <v>196425908</v>
      </c>
      <c r="C53" s="1203">
        <f>SUM(E53+G53+I53)</f>
        <v>0.78286978314489963</v>
      </c>
      <c r="D53" s="640">
        <f>SUM(D55:D60)</f>
        <v>135140908</v>
      </c>
      <c r="E53" s="1203">
        <f>+D53/B53</f>
        <v>0.68799940586248942</v>
      </c>
      <c r="F53" s="640">
        <f>SUM(F55:F60)</f>
        <v>0</v>
      </c>
      <c r="G53" s="1203">
        <f>F53/B53</f>
        <v>0</v>
      </c>
      <c r="H53" s="640">
        <f>SUM(H55:H60)</f>
        <v>18635000</v>
      </c>
      <c r="I53" s="1203">
        <f>H53/B53</f>
        <v>9.4870377282410226E-2</v>
      </c>
      <c r="J53" s="640">
        <f>SUM(J55:J60)</f>
        <v>42650000</v>
      </c>
      <c r="K53" s="1227">
        <f>+J53/B53</f>
        <v>0.21713021685510039</v>
      </c>
    </row>
    <row r="54" spans="1:11" ht="9.9" customHeight="1" x14ac:dyDescent="0.45">
      <c r="A54" s="670"/>
      <c r="B54" s="631"/>
      <c r="C54" s="622"/>
      <c r="D54" s="631"/>
      <c r="E54" s="622"/>
      <c r="F54" s="631"/>
      <c r="G54" s="622"/>
      <c r="H54" s="631"/>
      <c r="I54" s="622"/>
      <c r="J54" s="631"/>
      <c r="K54" s="1178"/>
    </row>
    <row r="55" spans="1:11" ht="15.9" customHeight="1" collapsed="1" x14ac:dyDescent="0.45">
      <c r="A55" s="670" t="s">
        <v>436</v>
      </c>
      <c r="B55" s="673">
        <f t="shared" ref="B55:C60" si="7">SUM(D55+F55+H55+J55)</f>
        <v>2400000</v>
      </c>
      <c r="C55" s="622">
        <f t="shared" si="7"/>
        <v>1</v>
      </c>
      <c r="D55" s="673">
        <f>SUMIF('PRESUPUESTO 2024'!$B:$B,A55,'PRESUPUESTO 2024'!$R:$R)</f>
        <v>2400000</v>
      </c>
      <c r="E55" s="622">
        <f t="shared" ref="E55:E60" si="8">+D55/B55</f>
        <v>1</v>
      </c>
      <c r="F55" s="673">
        <f>SUMIF('PRESUPUESTO 2024'!$B:$B,A55,'PRESUPUESTO 2024'!T:T)</f>
        <v>0</v>
      </c>
      <c r="G55" s="622">
        <f t="shared" ref="G55:G60" si="9">F55/B55</f>
        <v>0</v>
      </c>
      <c r="H55" s="673">
        <f>SUMIF('PRESUPUESTO 2024'!$B:$B,A55,'PRESUPUESTO 2024'!$AV:$AV)</f>
        <v>0</v>
      </c>
      <c r="I55" s="622">
        <f t="shared" ref="I55:I60" si="10">H55/B55</f>
        <v>0</v>
      </c>
      <c r="J55" s="673">
        <f>SUMIF('PRESUPUESTO 2024'!$B:$B,A55,'PRESUPUESTO 2024'!$BD:$BD)</f>
        <v>0</v>
      </c>
      <c r="K55" s="1178">
        <f t="shared" ref="K55:K60" si="11">+J55/B55</f>
        <v>0</v>
      </c>
    </row>
    <row r="56" spans="1:11" ht="15.9" customHeight="1" x14ac:dyDescent="0.45">
      <c r="A56" s="670" t="s">
        <v>437</v>
      </c>
      <c r="B56" s="673">
        <f t="shared" si="7"/>
        <v>42350000</v>
      </c>
      <c r="C56" s="622">
        <f t="shared" si="7"/>
        <v>1</v>
      </c>
      <c r="D56" s="673">
        <f>SUMIF('PRESUPUESTO 2024'!$B:$B,A56,'PRESUPUESTO 2024'!$R:$R)</f>
        <v>0</v>
      </c>
      <c r="E56" s="622">
        <f t="shared" si="8"/>
        <v>0</v>
      </c>
      <c r="F56" s="673">
        <f>SUMIF('PRESUPUESTO 2024'!$B:$B,A56,'PRESUPUESTO 2024'!T:T)</f>
        <v>0</v>
      </c>
      <c r="G56" s="622">
        <f t="shared" si="9"/>
        <v>0</v>
      </c>
      <c r="H56" s="673">
        <f>SUMIF('PRESUPUESTO 2024'!$B:$B,A56,'PRESUPUESTO 2024'!$AV:$AV)</f>
        <v>0</v>
      </c>
      <c r="I56" s="622">
        <f t="shared" si="10"/>
        <v>0</v>
      </c>
      <c r="J56" s="673">
        <f>SUMIF('PRESUPUESTO 2024'!$B:$B,A56,'PRESUPUESTO 2024'!$BD:$BD)</f>
        <v>42350000</v>
      </c>
      <c r="K56" s="1178">
        <f t="shared" si="11"/>
        <v>1</v>
      </c>
    </row>
    <row r="57" spans="1:11" ht="15.9" customHeight="1" x14ac:dyDescent="0.45">
      <c r="A57" s="670" t="s">
        <v>438</v>
      </c>
      <c r="B57" s="673">
        <f t="shared" si="7"/>
        <v>10635000</v>
      </c>
      <c r="C57" s="622">
        <f t="shared" si="7"/>
        <v>1</v>
      </c>
      <c r="D57" s="673">
        <f>SUMIF('PRESUPUESTO 2024'!$B:$B,A57,'PRESUPUESTO 2024'!$R:$R)</f>
        <v>810000</v>
      </c>
      <c r="E57" s="622">
        <f t="shared" si="8"/>
        <v>7.6163610719322997E-2</v>
      </c>
      <c r="F57" s="673">
        <f>SUMIF('PRESUPUESTO 2024'!$B:$B,A57,'PRESUPUESTO 2024'!T:T)</f>
        <v>0</v>
      </c>
      <c r="G57" s="622">
        <f t="shared" si="9"/>
        <v>0</v>
      </c>
      <c r="H57" s="673">
        <f>SUMIF('PRESUPUESTO 2024'!$B:$B,A57,'PRESUPUESTO 2024'!$AV:$AV)</f>
        <v>9825000</v>
      </c>
      <c r="I57" s="622">
        <f t="shared" si="10"/>
        <v>0.92383638928067702</v>
      </c>
      <c r="J57" s="673">
        <f>SUMIF('PRESUPUESTO 2024'!$B:$B,A57,'PRESUPUESTO 2024'!$BD:$BD)</f>
        <v>0</v>
      </c>
      <c r="K57" s="1178">
        <f t="shared" si="11"/>
        <v>0</v>
      </c>
    </row>
    <row r="58" spans="1:11" ht="15.9" customHeight="1" x14ac:dyDescent="0.45">
      <c r="A58" s="670" t="s">
        <v>439</v>
      </c>
      <c r="B58" s="673">
        <f t="shared" si="7"/>
        <v>9060000</v>
      </c>
      <c r="C58" s="622">
        <f t="shared" si="7"/>
        <v>1</v>
      </c>
      <c r="D58" s="673">
        <f>SUMIF('PRESUPUESTO 2024'!$B:$B,A58,'PRESUPUESTO 2024'!$R:$R)</f>
        <v>250000</v>
      </c>
      <c r="E58" s="622">
        <f t="shared" si="8"/>
        <v>2.759381898454746E-2</v>
      </c>
      <c r="F58" s="673">
        <f>SUMIF('PRESUPUESTO 2024'!$B:$B,A58,'PRESUPUESTO 2024'!T:T)</f>
        <v>0</v>
      </c>
      <c r="G58" s="622">
        <f t="shared" si="9"/>
        <v>0</v>
      </c>
      <c r="H58" s="673">
        <f>SUMIF('PRESUPUESTO 2024'!$B:$B,A58,'PRESUPUESTO 2024'!$AV:$AV)</f>
        <v>8810000</v>
      </c>
      <c r="I58" s="622">
        <f t="shared" si="10"/>
        <v>0.97240618101545251</v>
      </c>
      <c r="J58" s="673">
        <f>SUMIF('PRESUPUESTO 2024'!$B:$B,A58,'PRESUPUESTO 2024'!$BD:$BD)</f>
        <v>0</v>
      </c>
      <c r="K58" s="1178">
        <f t="shared" si="11"/>
        <v>0</v>
      </c>
    </row>
    <row r="59" spans="1:11" ht="15.9" customHeight="1" x14ac:dyDescent="0.45">
      <c r="A59" s="670" t="s">
        <v>452</v>
      </c>
      <c r="B59" s="673">
        <f t="shared" si="7"/>
        <v>36000000</v>
      </c>
      <c r="C59" s="622">
        <f t="shared" si="7"/>
        <v>1</v>
      </c>
      <c r="D59" s="673">
        <f>SUMIF('PRESUPUESTO 2024'!$B:$B,A59,'PRESUPUESTO 2024'!$R:$R)</f>
        <v>36000000</v>
      </c>
      <c r="E59" s="622">
        <f t="shared" si="8"/>
        <v>1</v>
      </c>
      <c r="F59" s="673">
        <f>SUMIF('PRESUPUESTO 2024'!$B:$B,A59,'PRESUPUESTO 2024'!T:T)</f>
        <v>0</v>
      </c>
      <c r="G59" s="622">
        <f t="shared" si="9"/>
        <v>0</v>
      </c>
      <c r="H59" s="673">
        <f>SUMIF('PRESUPUESTO 2024'!$B:$B,A59,'PRESUPUESTO 2024'!$AV:$AV)</f>
        <v>0</v>
      </c>
      <c r="I59" s="622">
        <f t="shared" si="10"/>
        <v>0</v>
      </c>
      <c r="J59" s="673">
        <f>SUMIF('PRESUPUESTO 2024'!$B:$B,A59,'PRESUPUESTO 2024'!$BD:$BD)</f>
        <v>0</v>
      </c>
      <c r="K59" s="1178">
        <f t="shared" si="11"/>
        <v>0</v>
      </c>
    </row>
    <row r="60" spans="1:11" ht="15.9" customHeight="1" x14ac:dyDescent="0.45">
      <c r="A60" s="670" t="s">
        <v>544</v>
      </c>
      <c r="B60" s="673">
        <f t="shared" si="7"/>
        <v>95980908</v>
      </c>
      <c r="C60" s="622">
        <f t="shared" si="7"/>
        <v>1</v>
      </c>
      <c r="D60" s="673">
        <f>SUMIF('PRESUPUESTO 2024'!$B:$B,A60,'PRESUPUESTO 2024'!$R:$R)</f>
        <v>95680908</v>
      </c>
      <c r="E60" s="622">
        <f t="shared" si="8"/>
        <v>0.99687437839200266</v>
      </c>
      <c r="F60" s="673">
        <f>SUMIF('PRESUPUESTO 2024'!$B:$B,A60,'PRESUPUESTO 2024'!T:T)</f>
        <v>0</v>
      </c>
      <c r="G60" s="622">
        <f t="shared" si="9"/>
        <v>0</v>
      </c>
      <c r="H60" s="673">
        <f>SUMIF('PRESUPUESTO 2024'!$B:$B,A60,'PRESUPUESTO 2024'!$AV:$AV)</f>
        <v>0</v>
      </c>
      <c r="I60" s="622">
        <f t="shared" si="10"/>
        <v>0</v>
      </c>
      <c r="J60" s="673">
        <f>SUMIF('PRESUPUESTO 2024'!$B:$B,A60,'PRESUPUESTO 2024'!$BD:$BD)</f>
        <v>300000</v>
      </c>
      <c r="K60" s="1178">
        <f t="shared" si="11"/>
        <v>3.1256216079972904E-3</v>
      </c>
    </row>
    <row r="61" spans="1:11" ht="9.9" customHeight="1" x14ac:dyDescent="0.45">
      <c r="A61" s="670"/>
      <c r="B61" s="631"/>
      <c r="C61" s="622"/>
      <c r="D61" s="631"/>
      <c r="E61" s="622"/>
      <c r="F61" s="631"/>
      <c r="G61" s="622"/>
      <c r="H61" s="631"/>
      <c r="I61" s="622"/>
      <c r="J61" s="631"/>
      <c r="K61" s="1178"/>
    </row>
    <row r="62" spans="1:11" ht="15.9" customHeight="1" x14ac:dyDescent="0.45">
      <c r="A62" s="668" t="s">
        <v>140</v>
      </c>
      <c r="B62" s="669">
        <f>SUM(B65:B72)</f>
        <v>829519000</v>
      </c>
      <c r="C62" s="744">
        <f>SUM(E62+G62+I62)</f>
        <v>0.90053597325679102</v>
      </c>
      <c r="D62" s="669">
        <f>SUM(D65:D72)</f>
        <v>321774700</v>
      </c>
      <c r="E62" s="744">
        <f>+D62/B62</f>
        <v>0.38790515949604532</v>
      </c>
      <c r="F62" s="669">
        <f>SUM(F65:F72)</f>
        <v>62996400</v>
      </c>
      <c r="G62" s="744">
        <f>F62/B62</f>
        <v>7.5943287616076299E-2</v>
      </c>
      <c r="H62" s="669">
        <f>SUM(H65:H72)</f>
        <v>362240600</v>
      </c>
      <c r="I62" s="744">
        <f>H62/B62</f>
        <v>0.43668752614466938</v>
      </c>
      <c r="J62" s="669">
        <f>SUM(J65:J72)</f>
        <v>82507300</v>
      </c>
      <c r="K62" s="745">
        <f>+J62/B62</f>
        <v>9.9464026743209019E-2</v>
      </c>
    </row>
    <row r="63" spans="1:11" ht="9.9" customHeight="1" x14ac:dyDescent="0.45">
      <c r="A63" s="670"/>
      <c r="B63" s="631"/>
      <c r="C63" s="622"/>
      <c r="D63" s="673"/>
      <c r="E63" s="622"/>
      <c r="F63" s="673"/>
      <c r="G63" s="622"/>
      <c r="H63" s="673"/>
      <c r="I63" s="622"/>
      <c r="J63" s="673"/>
      <c r="K63" s="1178"/>
    </row>
    <row r="64" spans="1:11" ht="15.9" hidden="1" customHeight="1" x14ac:dyDescent="0.45">
      <c r="A64" s="670"/>
      <c r="B64" s="631"/>
      <c r="C64" s="622"/>
      <c r="D64" s="673"/>
      <c r="E64" s="622"/>
      <c r="F64" s="673"/>
      <c r="G64" s="622"/>
      <c r="H64" s="673"/>
      <c r="I64" s="622"/>
      <c r="J64" s="673"/>
      <c r="K64" s="1178"/>
    </row>
    <row r="65" spans="1:11" ht="15.9" customHeight="1" x14ac:dyDescent="0.45">
      <c r="A65" s="674" t="s">
        <v>641</v>
      </c>
      <c r="B65" s="673">
        <f>SUM(D65+F65+H65+J65)</f>
        <v>100000</v>
      </c>
      <c r="C65" s="622">
        <f>SUM(E65+G65+I65+K65)</f>
        <v>1</v>
      </c>
      <c r="D65" s="673">
        <f>SUMIF('PRESUPUESTO 2024'!$B:$B,A65,'PRESUPUESTO 2024'!$R:$R)</f>
        <v>0</v>
      </c>
      <c r="E65" s="622">
        <f>+D65/B65</f>
        <v>0</v>
      </c>
      <c r="F65" s="673">
        <f>SUMIF('PRESUPUESTO 2024'!$B:$B,A65,'PRESUPUESTO 2024'!T:T)</f>
        <v>0</v>
      </c>
      <c r="G65" s="622">
        <f>F65/B65</f>
        <v>0</v>
      </c>
      <c r="H65" s="673">
        <f>SUMIF('PRESUPUESTO 2024'!$B:$B,A65,'PRESUPUESTO 2024'!$AV:$AV)</f>
        <v>100000</v>
      </c>
      <c r="I65" s="622">
        <f>H65/B65</f>
        <v>1</v>
      </c>
      <c r="J65" s="673">
        <f>SUMIF('PRESUPUESTO 2024'!$B:$B,A65,'PRESUPUESTO 2024'!$BD:$BD)</f>
        <v>0</v>
      </c>
      <c r="K65" s="1178">
        <f>+J65/B65</f>
        <v>0</v>
      </c>
    </row>
    <row r="66" spans="1:11" ht="15.9" customHeight="1" x14ac:dyDescent="0.45">
      <c r="A66" s="675" t="s">
        <v>400</v>
      </c>
      <c r="B66" s="673">
        <f t="shared" ref="B66:C72" si="12">SUM(D66+F66+H66+J66)</f>
        <v>12500000</v>
      </c>
      <c r="C66" s="622">
        <f t="shared" si="12"/>
        <v>1</v>
      </c>
      <c r="D66" s="673">
        <f>SUMIF('PRESUPUESTO 2024'!$B:$B,A66,'PRESUPUESTO 2024'!$R:$R)</f>
        <v>12500000</v>
      </c>
      <c r="E66" s="622">
        <f t="shared" ref="E66:E72" si="13">+D66/B66</f>
        <v>1</v>
      </c>
      <c r="F66" s="673">
        <f>SUMIF('PRESUPUESTO 2024'!$B:$B,A66,'PRESUPUESTO 2024'!T:T)</f>
        <v>0</v>
      </c>
      <c r="G66" s="622">
        <f t="shared" ref="G66:G72" si="14">F66/B66</f>
        <v>0</v>
      </c>
      <c r="H66" s="673">
        <f>SUMIF('PRESUPUESTO 2024'!$B:$B,A66,'PRESUPUESTO 2024'!$AV:$AV)</f>
        <v>0</v>
      </c>
      <c r="I66" s="622">
        <f t="shared" ref="I66:I72" si="15">H66/B66</f>
        <v>0</v>
      </c>
      <c r="J66" s="673">
        <f>SUMIF('PRESUPUESTO 2024'!$B:$B,A66,'PRESUPUESTO 2024'!$BD:$BD)</f>
        <v>0</v>
      </c>
      <c r="K66" s="1178">
        <f t="shared" ref="K66:K71" si="16">+J66/B66</f>
        <v>0</v>
      </c>
    </row>
    <row r="67" spans="1:11" ht="15.9" hidden="1" customHeight="1" collapsed="1" x14ac:dyDescent="0.45">
      <c r="A67" s="675"/>
      <c r="B67" s="673">
        <f t="shared" si="12"/>
        <v>0</v>
      </c>
      <c r="C67" s="622" t="e">
        <f t="shared" si="12"/>
        <v>#DIV/0!</v>
      </c>
      <c r="D67" s="673">
        <f>SUMIF('PRESUPUESTO 2024'!$B:$B,A67,'PRESUPUESTO 2024'!$R:$R)</f>
        <v>0</v>
      </c>
      <c r="E67" s="622" t="e">
        <f t="shared" si="13"/>
        <v>#DIV/0!</v>
      </c>
      <c r="F67" s="673">
        <f>SUMIF('PRESUPUESTO 2024'!$B:$B,A67,'PRESUPUESTO 2024'!T:T)</f>
        <v>0</v>
      </c>
      <c r="G67" s="622" t="e">
        <f t="shared" si="14"/>
        <v>#DIV/0!</v>
      </c>
      <c r="H67" s="673">
        <f>SUMIF('PRESUPUESTO 2024'!$B:$B,A67,'PRESUPUESTO 2024'!$AV:$AV)</f>
        <v>0</v>
      </c>
      <c r="I67" s="622" t="e">
        <f t="shared" si="15"/>
        <v>#DIV/0!</v>
      </c>
      <c r="J67" s="673">
        <f>SUMIF('PRESUPUESTO 2024'!$B:$B,A67,'PRESUPUESTO 2024'!$BD:$BD)</f>
        <v>0</v>
      </c>
      <c r="K67" s="1178" t="e">
        <f t="shared" si="16"/>
        <v>#DIV/0!</v>
      </c>
    </row>
    <row r="68" spans="1:11" ht="15.9" hidden="1" customHeight="1" x14ac:dyDescent="0.45">
      <c r="A68" s="675" t="s">
        <v>344</v>
      </c>
      <c r="B68" s="673">
        <f t="shared" si="12"/>
        <v>0</v>
      </c>
      <c r="C68" s="622" t="e">
        <f t="shared" si="12"/>
        <v>#DIV/0!</v>
      </c>
      <c r="D68" s="673">
        <f>SUMIF('PRESUPUESTO 2024'!$B:$B,A68,'PRESUPUESTO 2024'!$R:$R)</f>
        <v>0</v>
      </c>
      <c r="E68" s="622" t="e">
        <f t="shared" si="13"/>
        <v>#DIV/0!</v>
      </c>
      <c r="F68" s="673">
        <f>SUMIF('PRESUPUESTO 2024'!$B:$B,A68,'PRESUPUESTO 2024'!T:T)</f>
        <v>0</v>
      </c>
      <c r="G68" s="622" t="e">
        <f t="shared" si="14"/>
        <v>#DIV/0!</v>
      </c>
      <c r="H68" s="673">
        <f>SUMIF('PRESUPUESTO 2024'!$B:$B,A68,'PRESUPUESTO 2024'!$AV:$AV)</f>
        <v>0</v>
      </c>
      <c r="I68" s="622" t="e">
        <f t="shared" si="15"/>
        <v>#DIV/0!</v>
      </c>
      <c r="J68" s="673">
        <f>SUMIF('PRESUPUESTO 2024'!$B:$B,A68,'PRESUPUESTO 2024'!$BD:$BD)</f>
        <v>0</v>
      </c>
      <c r="K68" s="1178" t="e">
        <f t="shared" si="16"/>
        <v>#DIV/0!</v>
      </c>
    </row>
    <row r="69" spans="1:11" ht="15.9" customHeight="1" x14ac:dyDescent="0.45">
      <c r="A69" s="674" t="s">
        <v>142</v>
      </c>
      <c r="B69" s="673">
        <f t="shared" si="12"/>
        <v>104000000</v>
      </c>
      <c r="C69" s="622">
        <f t="shared" si="12"/>
        <v>1</v>
      </c>
      <c r="D69" s="673">
        <f>SUMIF('PRESUPUESTO 2024'!$B:$B,A69,'PRESUPUESTO 2024'!$R:$R)</f>
        <v>43000000</v>
      </c>
      <c r="E69" s="622">
        <f t="shared" si="13"/>
        <v>0.41346153846153844</v>
      </c>
      <c r="F69" s="673">
        <f>SUMIF('PRESUPUESTO 2024'!$B:$B,A69,'PRESUPUESTO 2024'!T:T)</f>
        <v>0</v>
      </c>
      <c r="G69" s="622">
        <f t="shared" si="14"/>
        <v>0</v>
      </c>
      <c r="H69" s="673">
        <f>SUMIF('PRESUPUESTO 2024'!$B:$B,A69,'PRESUPUESTO 2024'!$AV:$AV)</f>
        <v>61000000</v>
      </c>
      <c r="I69" s="622">
        <f t="shared" si="15"/>
        <v>0.58653846153846156</v>
      </c>
      <c r="J69" s="673">
        <f>SUMIF('PRESUPUESTO 2024'!$B:$B,A69,'PRESUPUESTO 2024'!$BD:$BD)</f>
        <v>0</v>
      </c>
      <c r="K69" s="1178">
        <f t="shared" si="16"/>
        <v>0</v>
      </c>
    </row>
    <row r="70" spans="1:11" ht="15.9" hidden="1" customHeight="1" x14ac:dyDescent="0.45">
      <c r="A70" s="674" t="s">
        <v>332</v>
      </c>
      <c r="B70" s="673">
        <f t="shared" si="12"/>
        <v>0</v>
      </c>
      <c r="C70" s="622" t="e">
        <f t="shared" si="12"/>
        <v>#DIV/0!</v>
      </c>
      <c r="D70" s="673">
        <f>SUMIF('PRESUPUESTO 2024'!$B:$B,A70,'PRESUPUESTO 2024'!$R:$R)</f>
        <v>0</v>
      </c>
      <c r="E70" s="622" t="e">
        <f t="shared" si="13"/>
        <v>#DIV/0!</v>
      </c>
      <c r="F70" s="673">
        <f>SUMIF('PRESUPUESTO 2024'!$B:$B,A70,'PRESUPUESTO 2024'!T:T)</f>
        <v>0</v>
      </c>
      <c r="G70" s="622" t="e">
        <f t="shared" si="14"/>
        <v>#DIV/0!</v>
      </c>
      <c r="H70" s="673">
        <f>SUMIF('PRESUPUESTO 2024'!$B:$B,A70,'PRESUPUESTO 2024'!$AV:$AV)</f>
        <v>0</v>
      </c>
      <c r="I70" s="622" t="e">
        <f t="shared" si="15"/>
        <v>#DIV/0!</v>
      </c>
      <c r="J70" s="673">
        <f>SUMIF('PRESUPUESTO 2024'!$B:$B,A70,'PRESUPUESTO 2024'!$BD:$BD)</f>
        <v>0</v>
      </c>
      <c r="K70" s="1178" t="e">
        <f t="shared" si="16"/>
        <v>#DIV/0!</v>
      </c>
    </row>
    <row r="71" spans="1:11" ht="15.9" customHeight="1" outlineLevel="2" x14ac:dyDescent="0.45">
      <c r="A71" s="674" t="s">
        <v>146</v>
      </c>
      <c r="B71" s="673">
        <f t="shared" si="12"/>
        <v>87819000</v>
      </c>
      <c r="C71" s="622">
        <f t="shared" si="12"/>
        <v>1</v>
      </c>
      <c r="D71" s="673">
        <f>SUMIF('PRESUPUESTO 2024'!$B:$B,A71,'PRESUPUESTO 2024'!$R:$R)</f>
        <v>34074700</v>
      </c>
      <c r="E71" s="622">
        <f t="shared" si="13"/>
        <v>0.38801056718933258</v>
      </c>
      <c r="F71" s="673">
        <f>SUMIF('PRESUPUESTO 2024'!$B:$B,A71,'PRESUPUESTO 2024'!T:T)</f>
        <v>2196400</v>
      </c>
      <c r="G71" s="622">
        <f t="shared" si="14"/>
        <v>2.5010533028160194E-2</v>
      </c>
      <c r="H71" s="673">
        <f>SUMIF('PRESUPUESTO 2024'!$B:$B,A71,'PRESUPUESTO 2024'!$AV:$AV)</f>
        <v>41140600</v>
      </c>
      <c r="I71" s="622">
        <f t="shared" si="15"/>
        <v>0.46847037656999058</v>
      </c>
      <c r="J71" s="673">
        <f>SUMIF('PRESUPUESTO 2024'!$B:$B,A71,'PRESUPUESTO 2024'!$BD:$BD)</f>
        <v>10407300</v>
      </c>
      <c r="K71" s="1178">
        <f t="shared" si="16"/>
        <v>0.11850852321251665</v>
      </c>
    </row>
    <row r="72" spans="1:11" ht="15.9" customHeight="1" outlineLevel="2" x14ac:dyDescent="0.45">
      <c r="A72" s="674" t="s">
        <v>148</v>
      </c>
      <c r="B72" s="673">
        <f t="shared" si="12"/>
        <v>625100000</v>
      </c>
      <c r="C72" s="622">
        <f t="shared" si="12"/>
        <v>1</v>
      </c>
      <c r="D72" s="673">
        <f>SUMIF('PRESUPUESTO 2024'!$B:$B,A72,'PRESUPUESTO 2024'!$R:$R)</f>
        <v>232200000</v>
      </c>
      <c r="E72" s="622">
        <f t="shared" si="13"/>
        <v>0.37146056630939051</v>
      </c>
      <c r="F72" s="673">
        <f>SUMIF('PRESUPUESTO 2024'!$B:$B,A72,'PRESUPUESTO 2024'!T:T)</f>
        <v>60800000</v>
      </c>
      <c r="G72" s="622">
        <f t="shared" si="14"/>
        <v>9.7264437689969604E-2</v>
      </c>
      <c r="H72" s="673">
        <f>SUMIF('PRESUPUESTO 2024'!$B:$B,A72,'PRESUPUESTO 2024'!$AV:$AV)</f>
        <v>260000000</v>
      </c>
      <c r="I72" s="622">
        <f t="shared" si="15"/>
        <v>0.41593345064789633</v>
      </c>
      <c r="J72" s="673">
        <f>SUMIF('PRESUPUESTO 2024'!$B:$B,A72,'PRESUPUESTO 2024'!$BD:$BD)</f>
        <v>72100000</v>
      </c>
      <c r="K72" s="1178">
        <f>+J72/B72</f>
        <v>0.11534154535274356</v>
      </c>
    </row>
    <row r="73" spans="1:11" ht="9.9" customHeight="1" x14ac:dyDescent="0.45">
      <c r="A73" s="671"/>
      <c r="B73" s="672"/>
      <c r="C73" s="635"/>
      <c r="D73" s="672"/>
      <c r="E73" s="635"/>
      <c r="F73" s="672"/>
      <c r="G73" s="635"/>
      <c r="H73" s="672"/>
      <c r="I73" s="635"/>
      <c r="J73" s="672"/>
      <c r="K73" s="1226"/>
    </row>
    <row r="74" spans="1:11" ht="15.9" customHeight="1" x14ac:dyDescent="0.45">
      <c r="A74" s="668" t="s">
        <v>150</v>
      </c>
      <c r="B74" s="669">
        <f>SUM(B76:B79)</f>
        <v>764648300</v>
      </c>
      <c r="C74" s="744">
        <f>SUM(E74+G74+I74)</f>
        <v>0.99980383138234918</v>
      </c>
      <c r="D74" s="669">
        <f>SUM(D76:D79)</f>
        <v>25883600</v>
      </c>
      <c r="E74" s="744">
        <f>+D74/B74</f>
        <v>3.3850333545500592E-2</v>
      </c>
      <c r="F74" s="669">
        <f>SUM(F76:F79)</f>
        <v>3450000</v>
      </c>
      <c r="G74" s="744">
        <f>F74/B74</f>
        <v>4.5118782059673712E-3</v>
      </c>
      <c r="H74" s="669">
        <f>SUM(H76:H79)</f>
        <v>735164700</v>
      </c>
      <c r="I74" s="744">
        <f>H74/B74</f>
        <v>0.96144161963088126</v>
      </c>
      <c r="J74" s="669">
        <f>SUM(J76:J79)</f>
        <v>150000</v>
      </c>
      <c r="K74" s="745">
        <f>+J74/B74</f>
        <v>1.9616861765075526E-4</v>
      </c>
    </row>
    <row r="75" spans="1:11" ht="9.9" customHeight="1" x14ac:dyDescent="0.45">
      <c r="A75" s="670"/>
      <c r="B75" s="631"/>
      <c r="C75" s="622"/>
      <c r="D75" s="631"/>
      <c r="E75" s="622"/>
      <c r="F75" s="631"/>
      <c r="G75" s="622"/>
      <c r="H75" s="631"/>
      <c r="I75" s="622"/>
      <c r="J75" s="631"/>
      <c r="K75" s="1178"/>
    </row>
    <row r="76" spans="1:11" ht="15.9" customHeight="1" collapsed="1" x14ac:dyDescent="0.45">
      <c r="A76" s="670" t="s">
        <v>545</v>
      </c>
      <c r="B76" s="673">
        <f t="shared" ref="B76:C79" si="17">SUM(D76+F76+H76+J76)</f>
        <v>14377500</v>
      </c>
      <c r="C76" s="622">
        <f t="shared" si="17"/>
        <v>1</v>
      </c>
      <c r="D76" s="673">
        <f>SUMIF('PRESUPUESTO 2024'!$B:$B,A76,'PRESUPUESTO 2024'!$R:$R)</f>
        <v>830000</v>
      </c>
      <c r="E76" s="622">
        <f>+D76/B76</f>
        <v>5.772909059294036E-2</v>
      </c>
      <c r="F76" s="673">
        <f>SUMIF('PRESUPUESTO 2024'!$B:$B,A76,'PRESUPUESTO 2024'!T:T)</f>
        <v>0</v>
      </c>
      <c r="G76" s="622">
        <f>F76/B76</f>
        <v>0</v>
      </c>
      <c r="H76" s="673">
        <f>SUMIF('PRESUPUESTO 2024'!$B:$B,A76,'PRESUPUESTO 2024'!$AV:$AV)</f>
        <v>13547500</v>
      </c>
      <c r="I76" s="622">
        <f>H76/B76</f>
        <v>0.9422709094070596</v>
      </c>
      <c r="J76" s="673">
        <f>SUMIF('PRESUPUESTO 2024'!$B:$B,A76,'PRESUPUESTO 2024'!$BD:$BD)</f>
        <v>0</v>
      </c>
      <c r="K76" s="1178">
        <f>+J76/B76</f>
        <v>0</v>
      </c>
    </row>
    <row r="77" spans="1:11" ht="15.9" customHeight="1" x14ac:dyDescent="0.45">
      <c r="A77" s="670" t="s">
        <v>542</v>
      </c>
      <c r="B77" s="673">
        <f t="shared" si="17"/>
        <v>707940800</v>
      </c>
      <c r="C77" s="622">
        <f t="shared" si="17"/>
        <v>1</v>
      </c>
      <c r="D77" s="673">
        <f>SUMIF('PRESUPUESTO 2024'!$B:$B,A77,'PRESUPUESTO 2024'!$R:$R)</f>
        <v>3353600</v>
      </c>
      <c r="E77" s="622">
        <f>+D77/B77</f>
        <v>4.7371192619495867E-3</v>
      </c>
      <c r="F77" s="673">
        <f>SUMIF('PRESUPUESTO 2024'!$B:$B,A77,'PRESUPUESTO 2024'!T:T)</f>
        <v>0</v>
      </c>
      <c r="G77" s="622">
        <f>F77/B77</f>
        <v>0</v>
      </c>
      <c r="H77" s="673">
        <f>SUMIF('PRESUPUESTO 2024'!$B:$B,A77,'PRESUPUESTO 2024'!$AV:$AV)</f>
        <v>704437200</v>
      </c>
      <c r="I77" s="622">
        <f>H77/B77</f>
        <v>0.99505099861457347</v>
      </c>
      <c r="J77" s="673">
        <f>SUMIF('PRESUPUESTO 2024'!$B:$B,A77,'PRESUPUESTO 2024'!$BD:$BD)</f>
        <v>150000</v>
      </c>
      <c r="K77" s="1178">
        <f>+J77/B77</f>
        <v>2.1188212347699129E-4</v>
      </c>
    </row>
    <row r="78" spans="1:11" ht="17.399999999999999" x14ac:dyDescent="0.45">
      <c r="A78" s="670" t="s">
        <v>156</v>
      </c>
      <c r="B78" s="673">
        <f t="shared" si="17"/>
        <v>16750000</v>
      </c>
      <c r="C78" s="622">
        <f t="shared" si="17"/>
        <v>1</v>
      </c>
      <c r="D78" s="673">
        <f>SUMIF('PRESUPUESTO 2024'!$B:$B,A78,'PRESUPUESTO 2024'!$R:$R)</f>
        <v>10200000</v>
      </c>
      <c r="E78" s="622">
        <f>+D78/B78</f>
        <v>0.60895522388059697</v>
      </c>
      <c r="F78" s="673">
        <f>SUMIF('PRESUPUESTO 2024'!$B:$B,A78,'PRESUPUESTO 2024'!T:T)</f>
        <v>1750000</v>
      </c>
      <c r="G78" s="622">
        <f>F78/B78</f>
        <v>0.1044776119402985</v>
      </c>
      <c r="H78" s="673">
        <f>SUMIF('PRESUPUESTO 2024'!$B:$B,A78,'PRESUPUESTO 2024'!$AV:$AV)</f>
        <v>4800000</v>
      </c>
      <c r="I78" s="622">
        <f>H78/B78</f>
        <v>0.28656716417910449</v>
      </c>
      <c r="J78" s="673">
        <f>SUMIF('PRESUPUESTO 2024'!$B:$B,A78,'PRESUPUESTO 2024'!$BD:$BD)</f>
        <v>0</v>
      </c>
      <c r="K78" s="1178">
        <f>+J78/B78</f>
        <v>0</v>
      </c>
    </row>
    <row r="79" spans="1:11" ht="17.399999999999999" x14ac:dyDescent="0.45">
      <c r="A79" s="670" t="s">
        <v>440</v>
      </c>
      <c r="B79" s="673">
        <f t="shared" si="17"/>
        <v>25580000</v>
      </c>
      <c r="C79" s="622">
        <f t="shared" si="17"/>
        <v>1</v>
      </c>
      <c r="D79" s="673">
        <f>SUMIF('PRESUPUESTO 2024'!$B:$B,A79,'PRESUPUESTO 2024'!$R:$R)</f>
        <v>11500000</v>
      </c>
      <c r="E79" s="622">
        <f>+D79/B79</f>
        <v>0.44956997654417513</v>
      </c>
      <c r="F79" s="673">
        <f>SUMIF('PRESUPUESTO 2024'!$B:$B,A79,'PRESUPUESTO 2024'!T:T)</f>
        <v>1700000</v>
      </c>
      <c r="G79" s="622">
        <f>F79/B79</f>
        <v>6.6458170445660672E-2</v>
      </c>
      <c r="H79" s="673">
        <f>SUMIF('PRESUPUESTO 2024'!$B:$B,A79,'PRESUPUESTO 2024'!$AV:$AV)</f>
        <v>12380000</v>
      </c>
      <c r="I79" s="622">
        <f>H79/B79</f>
        <v>0.48397185301016421</v>
      </c>
      <c r="J79" s="673">
        <f>SUMIF('PRESUPUESTO 2024'!$B:$B,A79,'PRESUPUESTO 2024'!$BD:$BD)</f>
        <v>0</v>
      </c>
      <c r="K79" s="1178">
        <f>+J79/B79</f>
        <v>0</v>
      </c>
    </row>
    <row r="80" spans="1:11" ht="9.9" customHeight="1" x14ac:dyDescent="0.45">
      <c r="A80" s="670"/>
      <c r="B80" s="631"/>
      <c r="C80" s="622"/>
      <c r="D80" s="631"/>
      <c r="E80" s="622"/>
      <c r="F80" s="631"/>
      <c r="G80" s="622"/>
      <c r="H80" s="673"/>
      <c r="I80" s="622"/>
      <c r="J80" s="631"/>
      <c r="K80" s="1178"/>
    </row>
    <row r="81" spans="1:11" ht="15.9" customHeight="1" x14ac:dyDescent="0.45">
      <c r="A81" s="668" t="s">
        <v>328</v>
      </c>
      <c r="B81" s="669">
        <f>SUM(B83)</f>
        <v>104106900</v>
      </c>
      <c r="C81" s="744">
        <f>SUM(E81+G81+I81)</f>
        <v>0.9808081885062373</v>
      </c>
      <c r="D81" s="669">
        <f>SUM(D83)</f>
        <v>20951900</v>
      </c>
      <c r="E81" s="744">
        <f>+D81/B81</f>
        <v>0.20125371132941236</v>
      </c>
      <c r="F81" s="669">
        <f>SUM(F83)</f>
        <v>2500400</v>
      </c>
      <c r="G81" s="744">
        <f>F81/B81</f>
        <v>2.4017620349851932E-2</v>
      </c>
      <c r="H81" s="669">
        <f>SUM(H83)</f>
        <v>78656600</v>
      </c>
      <c r="I81" s="744">
        <f>H81/B81</f>
        <v>0.75553685682697302</v>
      </c>
      <c r="J81" s="669">
        <f>SUM(J83)</f>
        <v>1998000</v>
      </c>
      <c r="K81" s="745">
        <f>+J81/B81</f>
        <v>1.9191811493762662E-2</v>
      </c>
    </row>
    <row r="82" spans="1:11" ht="9.9" customHeight="1" x14ac:dyDescent="0.45">
      <c r="A82" s="670"/>
      <c r="B82" s="631"/>
      <c r="C82" s="622"/>
      <c r="D82" s="631"/>
      <c r="E82" s="622"/>
      <c r="F82" s="631"/>
      <c r="G82" s="622"/>
      <c r="H82" s="631"/>
      <c r="I82" s="622"/>
      <c r="J82" s="631"/>
      <c r="K82" s="1178"/>
    </row>
    <row r="83" spans="1:11" ht="15.9" customHeight="1" x14ac:dyDescent="0.45">
      <c r="A83" s="670" t="s">
        <v>1207</v>
      </c>
      <c r="B83" s="673">
        <f>SUM(D83+F83+H83+J83)</f>
        <v>104106900</v>
      </c>
      <c r="C83" s="622">
        <f>SUM(E83+G83+I83+K83)</f>
        <v>1</v>
      </c>
      <c r="D83" s="673">
        <f>SUMIF('PRESUPUESTO 2024'!$B:$B,A83,'PRESUPUESTO 2024'!$R:$R)</f>
        <v>20951900</v>
      </c>
      <c r="E83" s="622">
        <f>+D83/B83</f>
        <v>0.20125371132941236</v>
      </c>
      <c r="F83" s="673">
        <f>SUMIF('PRESUPUESTO 2024'!$B:$B,A83,'PRESUPUESTO 2024'!T:T)</f>
        <v>2500400</v>
      </c>
      <c r="G83" s="622">
        <f>F83/B83</f>
        <v>2.4017620349851932E-2</v>
      </c>
      <c r="H83" s="673">
        <f>SUMIF('PRESUPUESTO 2024'!$B:$B,A83,'PRESUPUESTO 2024'!$AV:$AV)</f>
        <v>78656600</v>
      </c>
      <c r="I83" s="622">
        <f>H83/B83</f>
        <v>0.75553685682697302</v>
      </c>
      <c r="J83" s="673">
        <f>SUMIF('PRESUPUESTO 2024'!$B:$B,A83,'PRESUPUESTO 2024'!$BD:$BD)</f>
        <v>1998000</v>
      </c>
      <c r="K83" s="1178">
        <f>+J83/B83</f>
        <v>1.9191811493762662E-2</v>
      </c>
    </row>
    <row r="84" spans="1:11" ht="9.9" customHeight="1" x14ac:dyDescent="0.45">
      <c r="A84" s="670"/>
      <c r="B84" s="631"/>
      <c r="C84" s="622"/>
      <c r="D84" s="631"/>
      <c r="E84" s="622"/>
      <c r="F84" s="631"/>
      <c r="G84" s="622"/>
      <c r="H84" s="631"/>
      <c r="I84" s="622"/>
      <c r="J84" s="631"/>
      <c r="K84" s="1178"/>
    </row>
    <row r="85" spans="1:11" ht="15.9" customHeight="1" x14ac:dyDescent="0.45">
      <c r="A85" s="668" t="s">
        <v>163</v>
      </c>
      <c r="B85" s="669">
        <f>SUM(B87:B89)</f>
        <v>106120000</v>
      </c>
      <c r="C85" s="744">
        <f>SUM(E85+G85+I85)</f>
        <v>1</v>
      </c>
      <c r="D85" s="669">
        <f>SUM(D87:D89)</f>
        <v>81950000</v>
      </c>
      <c r="E85" s="744">
        <f>+D85/B85</f>
        <v>0.77223897474557102</v>
      </c>
      <c r="F85" s="669">
        <f>SUM(F87:F89)</f>
        <v>1000000</v>
      </c>
      <c r="G85" s="744">
        <f>F85/B85</f>
        <v>9.4232943837165468E-3</v>
      </c>
      <c r="H85" s="669">
        <f>SUM(H87:H89)</f>
        <v>23170000</v>
      </c>
      <c r="I85" s="744">
        <f>H85/B85</f>
        <v>0.2183377308707124</v>
      </c>
      <c r="J85" s="669">
        <f>SUM(J87:J89)</f>
        <v>0</v>
      </c>
      <c r="K85" s="745">
        <f>+J85/B85</f>
        <v>0</v>
      </c>
    </row>
    <row r="86" spans="1:11" ht="9.9" customHeight="1" x14ac:dyDescent="0.45">
      <c r="A86" s="670"/>
      <c r="B86" s="631"/>
      <c r="C86" s="622"/>
      <c r="D86" s="631"/>
      <c r="E86" s="622"/>
      <c r="F86" s="631"/>
      <c r="G86" s="622"/>
      <c r="H86" s="631"/>
      <c r="I86" s="622"/>
      <c r="J86" s="631"/>
      <c r="K86" s="1178"/>
    </row>
    <row r="87" spans="1:11" ht="15.9" customHeight="1" collapsed="1" x14ac:dyDescent="0.45">
      <c r="A87" s="670" t="s">
        <v>165</v>
      </c>
      <c r="B87" s="673">
        <f t="shared" ref="B87:C89" si="18">SUM(D87+F87+H87+J87)</f>
        <v>105970000</v>
      </c>
      <c r="C87" s="622">
        <f t="shared" si="18"/>
        <v>1</v>
      </c>
      <c r="D87" s="673">
        <f>SUMIF('PRESUPUESTO 2024'!$B:$B,A87,'PRESUPUESTO 2024'!$R:$R)</f>
        <v>81800000</v>
      </c>
      <c r="E87" s="622">
        <f>+D87/B87</f>
        <v>0.7719165801641974</v>
      </c>
      <c r="F87" s="673">
        <f>SUMIF('PRESUPUESTO 2024'!$B:$B,A87,'PRESUPUESTO 2024'!T:T)</f>
        <v>1000000</v>
      </c>
      <c r="G87" s="622">
        <f>F87/B87</f>
        <v>9.4366330093422664E-3</v>
      </c>
      <c r="H87" s="673">
        <f>SUMIF('PRESUPUESTO 2024'!$B:$B,A87,'PRESUPUESTO 2024'!$AV:$AV)</f>
        <v>23170000</v>
      </c>
      <c r="I87" s="622">
        <f>H87/B87</f>
        <v>0.21864678682646033</v>
      </c>
      <c r="J87" s="673">
        <f>SUMIF('PRESUPUESTO 2024'!$B:$B,A87,'PRESUPUESTO 2024'!$BD:$BD)</f>
        <v>0</v>
      </c>
      <c r="K87" s="1178">
        <f>+J87/B87</f>
        <v>0</v>
      </c>
    </row>
    <row r="88" spans="1:11" ht="15.9" hidden="1" customHeight="1" x14ac:dyDescent="0.45">
      <c r="A88" s="671" t="s">
        <v>167</v>
      </c>
      <c r="B88" s="1241">
        <f t="shared" si="18"/>
        <v>0</v>
      </c>
      <c r="C88" s="635" t="e">
        <f t="shared" si="18"/>
        <v>#DIV/0!</v>
      </c>
      <c r="D88" s="673">
        <f>SUMIF('PRESUPUESTO 2024'!$B:$B,A88,'PRESUPUESTO 2024'!$R:$R)</f>
        <v>0</v>
      </c>
      <c r="E88" s="635" t="e">
        <f>+D88/B88</f>
        <v>#DIV/0!</v>
      </c>
      <c r="F88" s="673">
        <f>SUMIF('PRESUPUESTO 2024'!$B:$B,A88,'PRESUPUESTO 2024'!T:T)</f>
        <v>0</v>
      </c>
      <c r="G88" s="635" t="e">
        <f>F88/B88</f>
        <v>#DIV/0!</v>
      </c>
      <c r="H88" s="673">
        <f>SUMIF('PRESUPUESTO 2024'!$B:$B,A88,'PRESUPUESTO 2024'!$AV:$AV)</f>
        <v>0</v>
      </c>
      <c r="I88" s="635" t="e">
        <f>H88/B88</f>
        <v>#DIV/0!</v>
      </c>
      <c r="J88" s="673">
        <f>SUMIF('PRESUPUESTO 2024'!$B:$B,A88,'PRESUPUESTO 2024'!$BD:$BD)</f>
        <v>0</v>
      </c>
      <c r="K88" s="1226" t="e">
        <f>+J88/B88</f>
        <v>#DIV/0!</v>
      </c>
    </row>
    <row r="89" spans="1:11" ht="15.9" customHeight="1" outlineLevel="1" x14ac:dyDescent="0.45">
      <c r="A89" s="670" t="s">
        <v>169</v>
      </c>
      <c r="B89" s="673">
        <f t="shared" si="18"/>
        <v>150000</v>
      </c>
      <c r="C89" s="622">
        <f t="shared" si="18"/>
        <v>1</v>
      </c>
      <c r="D89" s="673">
        <f>SUMIF('PRESUPUESTO 2024'!$B:$B,A89,'PRESUPUESTO 2024'!$R:$R)</f>
        <v>150000</v>
      </c>
      <c r="E89" s="622">
        <f>+D89/B89</f>
        <v>1</v>
      </c>
      <c r="F89" s="673">
        <f>SUMIF('PRESUPUESTO 2024'!$B:$B,A89,'PRESUPUESTO 2024'!T:T)</f>
        <v>0</v>
      </c>
      <c r="G89" s="622">
        <f>F89/B89</f>
        <v>0</v>
      </c>
      <c r="H89" s="673">
        <f>SUMIF('PRESUPUESTO 2024'!$B:$B,A89,'PRESUPUESTO 2024'!$AV:$AV)</f>
        <v>0</v>
      </c>
      <c r="I89" s="622">
        <f>H89/B89</f>
        <v>0</v>
      </c>
      <c r="J89" s="673">
        <f>SUMIF('PRESUPUESTO 2024'!$B:$B,A89,'PRESUPUESTO 2024'!$BD:$BD)</f>
        <v>0</v>
      </c>
      <c r="K89" s="1178">
        <f>+J89/B89</f>
        <v>0</v>
      </c>
    </row>
    <row r="90" spans="1:11" ht="9.9" customHeight="1" x14ac:dyDescent="0.45">
      <c r="A90" s="671"/>
      <c r="B90" s="672"/>
      <c r="C90" s="635"/>
      <c r="D90" s="672"/>
      <c r="E90" s="635"/>
      <c r="F90" s="672"/>
      <c r="G90" s="635"/>
      <c r="H90" s="672"/>
      <c r="I90" s="635"/>
      <c r="J90" s="672"/>
      <c r="K90" s="1226"/>
    </row>
    <row r="91" spans="1:11" ht="15.9" customHeight="1" x14ac:dyDescent="0.45">
      <c r="A91" s="668" t="s">
        <v>171</v>
      </c>
      <c r="B91" s="669">
        <f>SUM(B93:B100)</f>
        <v>163900000</v>
      </c>
      <c r="C91" s="744">
        <f>SUM(E91+G91+I91)</f>
        <v>1</v>
      </c>
      <c r="D91" s="669">
        <f>SUM(D93:D100)</f>
        <v>91040000</v>
      </c>
      <c r="E91" s="744">
        <f>+D91/B91</f>
        <v>0.55546064673581452</v>
      </c>
      <c r="F91" s="669">
        <f>SUM(F93:F100)</f>
        <v>0</v>
      </c>
      <c r="G91" s="744">
        <f>F91/B91</f>
        <v>0</v>
      </c>
      <c r="H91" s="669">
        <f>SUM(H93:H100)</f>
        <v>72860000</v>
      </c>
      <c r="I91" s="744">
        <f>H91/B91</f>
        <v>0.44453935326418548</v>
      </c>
      <c r="J91" s="669">
        <f>SUM(J93:J100)</f>
        <v>0</v>
      </c>
      <c r="K91" s="745">
        <f>+J91/B91</f>
        <v>0</v>
      </c>
    </row>
    <row r="92" spans="1:11" ht="9.9" customHeight="1" x14ac:dyDescent="0.45">
      <c r="A92" s="670"/>
      <c r="B92" s="631"/>
      <c r="C92" s="622"/>
      <c r="D92" s="631"/>
      <c r="E92" s="622"/>
      <c r="F92" s="631"/>
      <c r="G92" s="622"/>
      <c r="H92" s="631"/>
      <c r="I92" s="622"/>
      <c r="J92" s="631"/>
      <c r="K92" s="1178"/>
    </row>
    <row r="93" spans="1:11" ht="15.9" customHeight="1" collapsed="1" x14ac:dyDescent="0.45">
      <c r="A93" s="670" t="s">
        <v>661</v>
      </c>
      <c r="B93" s="673">
        <f>SUM(D93+F93+H93+J93)</f>
        <v>500000</v>
      </c>
      <c r="C93" s="622">
        <f t="shared" ref="C93:C100" si="19">SUM(E93+G93+I93+K93)</f>
        <v>1</v>
      </c>
      <c r="D93" s="673">
        <f>SUMIF('PRESUPUESTO 2024'!$B:$B,A93,'PRESUPUESTO 2024'!$R:$R)</f>
        <v>500000</v>
      </c>
      <c r="E93" s="622">
        <f t="shared" ref="E93:E100" si="20">+D93/B93</f>
        <v>1</v>
      </c>
      <c r="F93" s="673">
        <f>SUMIF('PRESUPUESTO 2024'!$B:$B,A93,'PRESUPUESTO 2024'!T:T)</f>
        <v>0</v>
      </c>
      <c r="G93" s="622">
        <f t="shared" ref="G93:G100" si="21">F93/B93</f>
        <v>0</v>
      </c>
      <c r="H93" s="673">
        <f>SUMIF('PRESUPUESTO 2024'!$B:$B,A93,'PRESUPUESTO 2024'!$AV:$AV)</f>
        <v>0</v>
      </c>
      <c r="I93" s="622">
        <f t="shared" ref="I93:I100" si="22">H93/B93</f>
        <v>0</v>
      </c>
      <c r="J93" s="673">
        <f>SUMIF('PRESUPUESTO 2024'!$B:$B,A93,'PRESUPUESTO 2024'!$BD:$BD)</f>
        <v>0</v>
      </c>
      <c r="K93" s="1178">
        <f t="shared" ref="K93:K100" si="23">+J93/B93</f>
        <v>0</v>
      </c>
    </row>
    <row r="94" spans="1:11" ht="15.9" hidden="1" customHeight="1" x14ac:dyDescent="0.45">
      <c r="A94" s="670" t="s">
        <v>175</v>
      </c>
      <c r="B94" s="673">
        <f t="shared" ref="B94:B100" si="24">SUM(D94+F94+H94+J94)</f>
        <v>0</v>
      </c>
      <c r="C94" s="622" t="e">
        <f t="shared" si="19"/>
        <v>#DIV/0!</v>
      </c>
      <c r="D94" s="673">
        <f>SUMIF('PRESUPUESTO 2024'!$B:$B,A94,'PRESUPUESTO 2024'!$R:$R)</f>
        <v>0</v>
      </c>
      <c r="E94" s="622" t="e">
        <f t="shared" si="20"/>
        <v>#DIV/0!</v>
      </c>
      <c r="F94" s="673">
        <f>SUMIF('PRESUPUESTO 2024'!$B:$B,A94,'PRESUPUESTO 2024'!T:T)</f>
        <v>0</v>
      </c>
      <c r="G94" s="622" t="e">
        <f t="shared" si="21"/>
        <v>#DIV/0!</v>
      </c>
      <c r="H94" s="673">
        <f>SUMIF('PRESUPUESTO 2024'!$B:$B,A94,'PRESUPUESTO 2024'!$AV:$AV)</f>
        <v>0</v>
      </c>
      <c r="I94" s="622" t="e">
        <f t="shared" si="22"/>
        <v>#DIV/0!</v>
      </c>
      <c r="J94" s="673">
        <f>SUMIF('PRESUPUESTO 2024'!$B:$B,A94,'PRESUPUESTO 2024'!$BD:$BD)</f>
        <v>0</v>
      </c>
      <c r="K94" s="1178" t="e">
        <f t="shared" si="23"/>
        <v>#DIV/0!</v>
      </c>
    </row>
    <row r="95" spans="1:11" ht="15.9" hidden="1" customHeight="1" x14ac:dyDescent="0.45">
      <c r="A95" s="670" t="s">
        <v>419</v>
      </c>
      <c r="B95" s="673">
        <f t="shared" si="24"/>
        <v>0</v>
      </c>
      <c r="C95" s="622" t="e">
        <f t="shared" si="19"/>
        <v>#DIV/0!</v>
      </c>
      <c r="D95" s="673">
        <f>SUMIF('PRESUPUESTO 2024'!$B:$B,A95,'PRESUPUESTO 2024'!$R:$R)</f>
        <v>0</v>
      </c>
      <c r="E95" s="622" t="e">
        <f t="shared" si="20"/>
        <v>#DIV/0!</v>
      </c>
      <c r="F95" s="673">
        <f>SUMIF('PRESUPUESTO 2024'!$B:$B,A95,'PRESUPUESTO 2024'!T:T)</f>
        <v>0</v>
      </c>
      <c r="G95" s="622" t="e">
        <f t="shared" si="21"/>
        <v>#DIV/0!</v>
      </c>
      <c r="H95" s="673">
        <f>SUMIF('PRESUPUESTO 2024'!$B:$B,A95,'PRESUPUESTO 2024'!$AV:$AV)</f>
        <v>0</v>
      </c>
      <c r="I95" s="622" t="e">
        <f t="shared" si="22"/>
        <v>#DIV/0!</v>
      </c>
      <c r="J95" s="673">
        <f>SUMIF('PRESUPUESTO 2024'!$B:$B,A95,'PRESUPUESTO 2024'!$BD:$BD)</f>
        <v>0</v>
      </c>
      <c r="K95" s="1178" t="e">
        <f t="shared" si="23"/>
        <v>#DIV/0!</v>
      </c>
    </row>
    <row r="96" spans="1:11" ht="15.9" customHeight="1" x14ac:dyDescent="0.45">
      <c r="A96" s="670" t="s">
        <v>1210</v>
      </c>
      <c r="B96" s="673">
        <f t="shared" si="24"/>
        <v>74200000</v>
      </c>
      <c r="C96" s="622">
        <f t="shared" si="19"/>
        <v>1</v>
      </c>
      <c r="D96" s="673">
        <f>SUMIF('PRESUPUESTO 2024'!$B:$B,A96,'PRESUPUESTO 2024'!$R:$R)</f>
        <v>1340000</v>
      </c>
      <c r="E96" s="622">
        <f t="shared" si="20"/>
        <v>1.8059299191374664E-2</v>
      </c>
      <c r="F96" s="673">
        <f>SUMIF('PRESUPUESTO 2024'!$B:$B,A96,'PRESUPUESTO 2024'!T:T)</f>
        <v>0</v>
      </c>
      <c r="G96" s="622">
        <f t="shared" si="21"/>
        <v>0</v>
      </c>
      <c r="H96" s="673">
        <f>SUMIF('PRESUPUESTO 2024'!$B:$B,A96,'PRESUPUESTO 2024'!$AV:$AV)</f>
        <v>72860000</v>
      </c>
      <c r="I96" s="622">
        <f t="shared" si="22"/>
        <v>0.98194070080862539</v>
      </c>
      <c r="J96" s="673">
        <f>SUMIF('PRESUPUESTO 2024'!$B:$B,A96,'PRESUPUESTO 2024'!$BD:$BD)</f>
        <v>0</v>
      </c>
      <c r="K96" s="1178">
        <f t="shared" si="23"/>
        <v>0</v>
      </c>
    </row>
    <row r="97" spans="1:11" ht="15.9" customHeight="1" outlineLevel="1" x14ac:dyDescent="0.45">
      <c r="A97" s="670" t="s">
        <v>1211</v>
      </c>
      <c r="B97" s="673">
        <f t="shared" si="24"/>
        <v>44100000</v>
      </c>
      <c r="C97" s="622">
        <f t="shared" si="19"/>
        <v>1</v>
      </c>
      <c r="D97" s="673">
        <f>SUMIF('PRESUPUESTO 2024'!$B:$B,A97,'PRESUPUESTO 2024'!$R:$R)</f>
        <v>44100000</v>
      </c>
      <c r="E97" s="622">
        <f t="shared" si="20"/>
        <v>1</v>
      </c>
      <c r="F97" s="673">
        <f>SUMIF('PRESUPUESTO 2024'!$B:$B,A97,'PRESUPUESTO 2024'!T:T)</f>
        <v>0</v>
      </c>
      <c r="G97" s="622">
        <f t="shared" si="21"/>
        <v>0</v>
      </c>
      <c r="H97" s="673">
        <f>SUMIF('PRESUPUESTO 2024'!$B:$B,A97,'PRESUPUESTO 2024'!$AV:$AV)</f>
        <v>0</v>
      </c>
      <c r="I97" s="622">
        <f t="shared" si="22"/>
        <v>0</v>
      </c>
      <c r="J97" s="673">
        <f>SUMIF('PRESUPUESTO 2024'!$B:$B,A97,'PRESUPUESTO 2024'!$BD:$BD)</f>
        <v>0</v>
      </c>
      <c r="K97" s="1178">
        <f t="shared" si="23"/>
        <v>0</v>
      </c>
    </row>
    <row r="98" spans="1:11" ht="15.9" customHeight="1" x14ac:dyDescent="0.45">
      <c r="A98" s="670" t="s">
        <v>1212</v>
      </c>
      <c r="B98" s="673">
        <f t="shared" si="24"/>
        <v>5800000</v>
      </c>
      <c r="C98" s="622">
        <f t="shared" si="19"/>
        <v>1</v>
      </c>
      <c r="D98" s="673">
        <f>SUMIF('PRESUPUESTO 2024'!$B:$B,A98,'PRESUPUESTO 2024'!$R:$R)</f>
        <v>5800000</v>
      </c>
      <c r="E98" s="622">
        <f t="shared" si="20"/>
        <v>1</v>
      </c>
      <c r="F98" s="673">
        <f>SUMIF('PRESUPUESTO 2024'!$B:$B,A98,'PRESUPUESTO 2024'!T:T)</f>
        <v>0</v>
      </c>
      <c r="G98" s="622">
        <f t="shared" si="21"/>
        <v>0</v>
      </c>
      <c r="H98" s="673">
        <f>SUMIF('PRESUPUESTO 2024'!$B:$B,A98,'PRESUPUESTO 2024'!$AV:$AV)</f>
        <v>0</v>
      </c>
      <c r="I98" s="622">
        <f t="shared" si="22"/>
        <v>0</v>
      </c>
      <c r="J98" s="673">
        <f>SUMIF('PRESUPUESTO 2024'!$B:$B,A98,'PRESUPUESTO 2024'!$BD:$BD)</f>
        <v>0</v>
      </c>
      <c r="K98" s="1178">
        <f t="shared" si="23"/>
        <v>0</v>
      </c>
    </row>
    <row r="99" spans="1:11" ht="15.9" customHeight="1" x14ac:dyDescent="0.45">
      <c r="A99" s="670" t="s">
        <v>1213</v>
      </c>
      <c r="B99" s="673">
        <f t="shared" si="24"/>
        <v>39000000</v>
      </c>
      <c r="C99" s="622">
        <f t="shared" si="19"/>
        <v>1</v>
      </c>
      <c r="D99" s="673">
        <f>SUMIF('PRESUPUESTO 2024'!$B:$B,A99,'PRESUPUESTO 2024'!$R:$R)</f>
        <v>39000000</v>
      </c>
      <c r="E99" s="622">
        <f t="shared" si="20"/>
        <v>1</v>
      </c>
      <c r="F99" s="673">
        <f>SUMIF('PRESUPUESTO 2024'!$B:$B,A99,'PRESUPUESTO 2024'!T:T)</f>
        <v>0</v>
      </c>
      <c r="G99" s="622">
        <f t="shared" si="21"/>
        <v>0</v>
      </c>
      <c r="H99" s="673">
        <f>SUMIF('PRESUPUESTO 2024'!$B:$B,A99,'PRESUPUESTO 2024'!$AV:$AV)</f>
        <v>0</v>
      </c>
      <c r="I99" s="622">
        <f t="shared" si="22"/>
        <v>0</v>
      </c>
      <c r="J99" s="673">
        <f>SUMIF('PRESUPUESTO 2024'!$B:$B,A99,'PRESUPUESTO 2024'!$BD:$BD)</f>
        <v>0</v>
      </c>
      <c r="K99" s="1178">
        <f t="shared" si="23"/>
        <v>0</v>
      </c>
    </row>
    <row r="100" spans="1:11" ht="15.9" customHeight="1" outlineLevel="1" x14ac:dyDescent="0.45">
      <c r="A100" s="670" t="s">
        <v>1267</v>
      </c>
      <c r="B100" s="673">
        <f t="shared" si="24"/>
        <v>300000</v>
      </c>
      <c r="C100" s="622">
        <f t="shared" si="19"/>
        <v>1</v>
      </c>
      <c r="D100" s="673">
        <f>SUMIF('PRESUPUESTO 2024'!$B:$B,A100,'PRESUPUESTO 2024'!$R:$R)</f>
        <v>300000</v>
      </c>
      <c r="E100" s="622">
        <f t="shared" si="20"/>
        <v>1</v>
      </c>
      <c r="F100" s="673">
        <f>SUMIF('PRESUPUESTO 2024'!$B:$B,A100,'PRESUPUESTO 2024'!T:T)</f>
        <v>0</v>
      </c>
      <c r="G100" s="622">
        <f t="shared" si="21"/>
        <v>0</v>
      </c>
      <c r="H100" s="673">
        <f>SUMIF('PRESUPUESTO 2024'!$B:$B,A100,'PRESUPUESTO 2024'!$AV:$AV)</f>
        <v>0</v>
      </c>
      <c r="I100" s="622">
        <f t="shared" si="22"/>
        <v>0</v>
      </c>
      <c r="J100" s="673">
        <f>SUMIF('PRESUPUESTO 2024'!$B:$B,A100,'PRESUPUESTO 2024'!$BD:$BD)</f>
        <v>0</v>
      </c>
      <c r="K100" s="1178">
        <f t="shared" si="23"/>
        <v>0</v>
      </c>
    </row>
    <row r="101" spans="1:11" ht="9.9" customHeight="1" outlineLevel="1" x14ac:dyDescent="0.45">
      <c r="A101" s="671"/>
      <c r="B101" s="1241"/>
      <c r="C101" s="635"/>
      <c r="D101" s="672"/>
      <c r="E101" s="635"/>
      <c r="F101" s="672"/>
      <c r="G101" s="635"/>
      <c r="H101" s="672"/>
      <c r="I101" s="635"/>
      <c r="J101" s="672"/>
      <c r="K101" s="1226"/>
    </row>
    <row r="102" spans="1:11" ht="15.9" customHeight="1" outlineLevel="1" x14ac:dyDescent="0.45">
      <c r="A102" s="676" t="s">
        <v>405</v>
      </c>
      <c r="B102" s="669">
        <f>SUM(B104)</f>
        <v>2160000</v>
      </c>
      <c r="C102" s="744">
        <f>SUM(E102+G102+I102)</f>
        <v>1</v>
      </c>
      <c r="D102" s="669">
        <f>SUM(D104)</f>
        <v>2160000</v>
      </c>
      <c r="E102" s="744">
        <f>+D102/B102</f>
        <v>1</v>
      </c>
      <c r="F102" s="669">
        <f>SUM(F104)</f>
        <v>0</v>
      </c>
      <c r="G102" s="744">
        <f>F102/B102</f>
        <v>0</v>
      </c>
      <c r="H102" s="669">
        <f>SUM(H104)</f>
        <v>0</v>
      </c>
      <c r="I102" s="744">
        <f>H102/B102</f>
        <v>0</v>
      </c>
      <c r="J102" s="669">
        <f>SUM(J104)</f>
        <v>0</v>
      </c>
      <c r="K102" s="745">
        <f>+J102/B102</f>
        <v>0</v>
      </c>
    </row>
    <row r="103" spans="1:11" ht="9.9" customHeight="1" outlineLevel="1" x14ac:dyDescent="0.45">
      <c r="A103" s="677"/>
      <c r="B103" s="673"/>
      <c r="C103" s="622"/>
      <c r="D103" s="631"/>
      <c r="E103" s="622"/>
      <c r="F103" s="631"/>
      <c r="G103" s="622"/>
      <c r="H103" s="631"/>
      <c r="I103" s="622"/>
      <c r="J103" s="631"/>
      <c r="K103" s="1178"/>
    </row>
    <row r="104" spans="1:11" ht="15.9" customHeight="1" outlineLevel="1" x14ac:dyDescent="0.45">
      <c r="A104" s="670" t="s">
        <v>407</v>
      </c>
      <c r="B104" s="673">
        <f>+D104+F104+H104+J104</f>
        <v>2160000</v>
      </c>
      <c r="C104" s="622">
        <f>SUM(E104+G104+I104)</f>
        <v>1</v>
      </c>
      <c r="D104" s="673">
        <f>SUMIF('PRESUPUESTO 2024'!$B:$B,A104,'PRESUPUESTO 2024'!$R:$R)</f>
        <v>2160000</v>
      </c>
      <c r="E104" s="622">
        <f>+D104/B104</f>
        <v>1</v>
      </c>
      <c r="F104" s="673">
        <f>SUMIF('PRESUPUESTO 2024'!$B:$B,A104,'PRESUPUESTO 2024'!T:T)</f>
        <v>0</v>
      </c>
      <c r="G104" s="622">
        <f>F104/B104</f>
        <v>0</v>
      </c>
      <c r="H104" s="673">
        <f>SUMIF('PRESUPUESTO 2024'!$B:$B,A104,'PRESUPUESTO 2024'!$AV:$AV)</f>
        <v>0</v>
      </c>
      <c r="I104" s="622">
        <f>H104/B104</f>
        <v>0</v>
      </c>
      <c r="J104" s="673">
        <f>SUMIF('PRESUPUESTO 2024'!$B:$B,A104,'PRESUPUESTO 2024'!$BD:$BD)</f>
        <v>0</v>
      </c>
      <c r="K104" s="1178">
        <f>+J104/B104</f>
        <v>0</v>
      </c>
    </row>
    <row r="105" spans="1:11" ht="9.9" customHeight="1" x14ac:dyDescent="0.45">
      <c r="A105" s="671"/>
      <c r="B105" s="672"/>
      <c r="C105" s="635"/>
      <c r="D105" s="672"/>
      <c r="E105" s="635"/>
      <c r="F105" s="672"/>
      <c r="G105" s="635"/>
      <c r="H105" s="672"/>
      <c r="I105" s="635"/>
      <c r="J105" s="672"/>
      <c r="K105" s="1226"/>
    </row>
    <row r="106" spans="1:11" ht="15.9" customHeight="1" x14ac:dyDescent="0.45">
      <c r="A106" s="668" t="s">
        <v>186</v>
      </c>
      <c r="B106" s="669">
        <f>SUM(B108:B110)</f>
        <v>4250000</v>
      </c>
      <c r="C106" s="744">
        <f>SUM(E106+G106+I106)</f>
        <v>1</v>
      </c>
      <c r="D106" s="669">
        <f>SUM(D108:D110)</f>
        <v>4250000</v>
      </c>
      <c r="E106" s="744">
        <f>+D106/B106</f>
        <v>1</v>
      </c>
      <c r="F106" s="669">
        <f>SUM(F108:F110)</f>
        <v>0</v>
      </c>
      <c r="G106" s="744">
        <f>F106/B106</f>
        <v>0</v>
      </c>
      <c r="H106" s="669">
        <f>SUM(H108:H110)</f>
        <v>0</v>
      </c>
      <c r="I106" s="744">
        <f>H106/B106</f>
        <v>0</v>
      </c>
      <c r="J106" s="669">
        <f>SUM(J108:J110)</f>
        <v>0</v>
      </c>
      <c r="K106" s="745">
        <f>+J106/B106</f>
        <v>0</v>
      </c>
    </row>
    <row r="107" spans="1:11" ht="9.9" customHeight="1" x14ac:dyDescent="0.45">
      <c r="A107" s="670"/>
      <c r="B107" s="631"/>
      <c r="C107" s="622"/>
      <c r="D107" s="631"/>
      <c r="E107" s="622"/>
      <c r="F107" s="631"/>
      <c r="G107" s="622"/>
      <c r="H107" s="631"/>
      <c r="I107" s="622"/>
      <c r="J107" s="631"/>
      <c r="K107" s="1178"/>
    </row>
    <row r="108" spans="1:11" ht="15.9" customHeight="1" x14ac:dyDescent="0.45">
      <c r="A108" s="670" t="s">
        <v>420</v>
      </c>
      <c r="B108" s="673">
        <f>SUM(D108+F108+H108+J108)</f>
        <v>500000</v>
      </c>
      <c r="C108" s="622">
        <f>SUM(E108+G108+I108)</f>
        <v>1</v>
      </c>
      <c r="D108" s="673">
        <f>SUMIF('PRESUPUESTO 2024'!$B:$B,A108,'PRESUPUESTO 2024'!$R:$R)</f>
        <v>500000</v>
      </c>
      <c r="E108" s="622">
        <f>+D108/B108</f>
        <v>1</v>
      </c>
      <c r="F108" s="673">
        <f>SUMIF('PRESUPUESTO 2024'!$B:$B,A108,'PRESUPUESTO 2024'!T:T)</f>
        <v>0</v>
      </c>
      <c r="G108" s="622">
        <f>F108/B108</f>
        <v>0</v>
      </c>
      <c r="H108" s="673">
        <f>SUMIF('PRESUPUESTO 2024'!$B:$B,A108,'PRESUPUESTO 2024'!$AV:$AV)</f>
        <v>0</v>
      </c>
      <c r="I108" s="622">
        <f>H108/B108</f>
        <v>0</v>
      </c>
      <c r="J108" s="673">
        <f>SUMIF('PRESUPUESTO 2024'!$B:$B,A108,'PRESUPUESTO 2024'!$BD:$BD)</f>
        <v>0</v>
      </c>
      <c r="K108" s="1178">
        <f>+J108/B108</f>
        <v>0</v>
      </c>
    </row>
    <row r="109" spans="1:11" ht="15.9" customHeight="1" collapsed="1" x14ac:dyDescent="0.45">
      <c r="A109" s="670" t="s">
        <v>188</v>
      </c>
      <c r="B109" s="673">
        <f>SUM(D109+F109+H109+J109)</f>
        <v>3600000</v>
      </c>
      <c r="C109" s="622">
        <f>SUM(E109+G109+I109)</f>
        <v>1</v>
      </c>
      <c r="D109" s="673">
        <f>SUMIF('PRESUPUESTO 2024'!$B:$B,A109,'PRESUPUESTO 2024'!$R:$R)</f>
        <v>3600000</v>
      </c>
      <c r="E109" s="622">
        <f>+D109/B109</f>
        <v>1</v>
      </c>
      <c r="F109" s="673">
        <f>SUMIF('PRESUPUESTO 2024'!$B:$B,A109,'PRESUPUESTO 2024'!T:T)</f>
        <v>0</v>
      </c>
      <c r="G109" s="622">
        <f>F109/B109</f>
        <v>0</v>
      </c>
      <c r="H109" s="673">
        <f>SUMIF('PRESUPUESTO 2024'!$B:$B,A109,'PRESUPUESTO 2024'!$AV:$AV)</f>
        <v>0</v>
      </c>
      <c r="I109" s="622">
        <f>H109/B109</f>
        <v>0</v>
      </c>
      <c r="J109" s="673">
        <f>SUMIF('PRESUPUESTO 2024'!$B:$B,A109,'PRESUPUESTO 2024'!$BD:$BD)</f>
        <v>0</v>
      </c>
      <c r="K109" s="1178">
        <f>+J109/B109</f>
        <v>0</v>
      </c>
    </row>
    <row r="110" spans="1:11" ht="15.9" customHeight="1" x14ac:dyDescent="0.45">
      <c r="A110" s="671" t="s">
        <v>190</v>
      </c>
      <c r="B110" s="1241">
        <f>SUM(D110+F110+H110+J110)</f>
        <v>150000</v>
      </c>
      <c r="C110" s="635">
        <f>SUM(E110+G110+I110)</f>
        <v>1</v>
      </c>
      <c r="D110" s="673">
        <f>SUMIF('PRESUPUESTO 2024'!$B:$B,A110,'PRESUPUESTO 2024'!$R:$R)</f>
        <v>150000</v>
      </c>
      <c r="E110" s="635">
        <f>+D110/B110</f>
        <v>1</v>
      </c>
      <c r="F110" s="673">
        <f>SUMIF('PRESUPUESTO 2024'!$B:$B,A110,'PRESUPUESTO 2024'!T:T)</f>
        <v>0</v>
      </c>
      <c r="G110" s="635">
        <f>F110/B110</f>
        <v>0</v>
      </c>
      <c r="H110" s="673">
        <f>SUMIF('PRESUPUESTO 2024'!$B:$B,A110,'PRESUPUESTO 2024'!$AV:$AV)</f>
        <v>0</v>
      </c>
      <c r="I110" s="635">
        <f>H110/B110</f>
        <v>0</v>
      </c>
      <c r="J110" s="673">
        <f>SUMIF('PRESUPUESTO 2024'!$B:$B,A110,'PRESUPUESTO 2024'!$BD:$BD)</f>
        <v>0</v>
      </c>
      <c r="K110" s="1226">
        <f>+J110/B110</f>
        <v>0</v>
      </c>
    </row>
    <row r="111" spans="1:11" ht="9.9" customHeight="1" x14ac:dyDescent="0.45">
      <c r="A111" s="1108"/>
      <c r="B111" s="1242"/>
      <c r="C111" s="1204"/>
      <c r="D111" s="520"/>
      <c r="E111" s="1204"/>
      <c r="F111" s="520"/>
      <c r="G111" s="1204"/>
      <c r="H111" s="520"/>
      <c r="I111" s="1204"/>
      <c r="J111" s="520"/>
      <c r="K111" s="1228"/>
    </row>
    <row r="112" spans="1:11" ht="15.9" customHeight="1" x14ac:dyDescent="0.4">
      <c r="A112" s="679" t="s">
        <v>22</v>
      </c>
      <c r="B112" s="680">
        <f>+B114+B125+B134+B121+B139</f>
        <v>190587961.80000001</v>
      </c>
      <c r="C112" s="742">
        <f>E112+G112+I112+K112</f>
        <v>1</v>
      </c>
      <c r="D112" s="680">
        <f>+D114+D125+D134+D121+D139</f>
        <v>29106731</v>
      </c>
      <c r="E112" s="742">
        <f>+D112/B112</f>
        <v>0.15272072131472891</v>
      </c>
      <c r="F112" s="680">
        <f>+F114+F125+F134+F121+F139</f>
        <v>0</v>
      </c>
      <c r="G112" s="742">
        <f>F112/B112</f>
        <v>0</v>
      </c>
      <c r="H112" s="680">
        <f>+H114+H125+H134+H121+H139</f>
        <v>161131230.80000001</v>
      </c>
      <c r="I112" s="742">
        <f>H112/B112</f>
        <v>0.84544285629691851</v>
      </c>
      <c r="J112" s="680">
        <f>+J114+J125+J134+J121+J139</f>
        <v>350000</v>
      </c>
      <c r="K112" s="743">
        <f>+J112/B112</f>
        <v>1.8364223883525468E-3</v>
      </c>
    </row>
    <row r="113" spans="1:11" ht="9.9" customHeight="1" x14ac:dyDescent="0.45">
      <c r="A113" s="670"/>
      <c r="B113" s="631"/>
      <c r="C113" s="622"/>
      <c r="D113" s="631"/>
      <c r="E113" s="622"/>
      <c r="F113" s="631"/>
      <c r="G113" s="622"/>
      <c r="H113" s="631"/>
      <c r="I113" s="622"/>
      <c r="J113" s="631"/>
      <c r="K113" s="1178"/>
    </row>
    <row r="114" spans="1:11" ht="15.9" customHeight="1" x14ac:dyDescent="0.45">
      <c r="A114" s="668" t="s">
        <v>192</v>
      </c>
      <c r="B114" s="669">
        <f>SUM(B116:B119)</f>
        <v>134673220.80000001</v>
      </c>
      <c r="C114" s="744">
        <f>SUM(E114+G114+I114)</f>
        <v>0.99999999999999989</v>
      </c>
      <c r="D114" s="669">
        <f>SUM(D116:D119)</f>
        <v>9880380</v>
      </c>
      <c r="E114" s="744">
        <f>+D114/B114</f>
        <v>7.3365587763532567E-2</v>
      </c>
      <c r="F114" s="669">
        <f>SUM(F116:F119)</f>
        <v>0</v>
      </c>
      <c r="G114" s="744">
        <f>F114/B114</f>
        <v>0</v>
      </c>
      <c r="H114" s="669">
        <f>SUM(H116:H119)</f>
        <v>124792840.8</v>
      </c>
      <c r="I114" s="744">
        <f>H114/B114</f>
        <v>0.92663441223646736</v>
      </c>
      <c r="J114" s="669">
        <f>SUM(J116:J119)</f>
        <v>0</v>
      </c>
      <c r="K114" s="745">
        <f>+J114/B114</f>
        <v>0</v>
      </c>
    </row>
    <row r="115" spans="1:11" ht="9.9" customHeight="1" x14ac:dyDescent="0.45">
      <c r="A115" s="670"/>
      <c r="B115" s="631"/>
      <c r="C115" s="622"/>
      <c r="D115" s="631"/>
      <c r="E115" s="622"/>
      <c r="F115" s="631"/>
      <c r="G115" s="622"/>
      <c r="H115" s="631"/>
      <c r="I115" s="622"/>
      <c r="J115" s="631"/>
      <c r="K115" s="1178"/>
    </row>
    <row r="116" spans="1:11" ht="15.9" customHeight="1" collapsed="1" x14ac:dyDescent="0.45">
      <c r="A116" s="670" t="s">
        <v>194</v>
      </c>
      <c r="B116" s="673">
        <f t="shared" ref="B116:C119" si="25">SUM(D116+F116+H116+J116)</f>
        <v>123500820.8</v>
      </c>
      <c r="C116" s="622">
        <f t="shared" si="25"/>
        <v>1</v>
      </c>
      <c r="D116" s="673">
        <f>SUMIF('PRESUPUESTO 2024'!$B:$B,A116,'PRESUPUESTO 2024'!$R:$R)</f>
        <v>3000480</v>
      </c>
      <c r="E116" s="622">
        <f>+D116/B116</f>
        <v>2.4295223145593865E-2</v>
      </c>
      <c r="F116" s="673">
        <f>SUMIF('PRESUPUESTO 2024'!$B:$B,A116,'PRESUPUESTO 2024'!T:T)</f>
        <v>0</v>
      </c>
      <c r="G116" s="622">
        <f>F116/B116</f>
        <v>0</v>
      </c>
      <c r="H116" s="673">
        <f>SUMIF('PRESUPUESTO 2024'!$B:$B,A116,'PRESUPUESTO 2024'!$AV:$AV)</f>
        <v>120500340.8</v>
      </c>
      <c r="I116" s="622">
        <f>H116/B116</f>
        <v>0.97570477685440615</v>
      </c>
      <c r="J116" s="673">
        <f>SUMIF('PRESUPUESTO 2024'!$B:$B,A116,'PRESUPUESTO 2024'!$BD:$BD)</f>
        <v>0</v>
      </c>
      <c r="K116" s="1178">
        <f>+J116/B116</f>
        <v>0</v>
      </c>
    </row>
    <row r="117" spans="1:11" ht="15.9" customHeight="1" x14ac:dyDescent="0.45">
      <c r="A117" s="670" t="s">
        <v>196</v>
      </c>
      <c r="B117" s="673">
        <f t="shared" si="25"/>
        <v>4558400</v>
      </c>
      <c r="C117" s="622">
        <f t="shared" si="25"/>
        <v>1</v>
      </c>
      <c r="D117" s="673">
        <f>SUMIF('PRESUPUESTO 2024'!$B:$B,A117,'PRESUPUESTO 2024'!$R:$R)</f>
        <v>905900</v>
      </c>
      <c r="E117" s="622">
        <f>+D117/B117</f>
        <v>0.19873201123201123</v>
      </c>
      <c r="F117" s="673">
        <f>SUMIF('PRESUPUESTO 2024'!$B:$B,A117,'PRESUPUESTO 2024'!T:T)</f>
        <v>0</v>
      </c>
      <c r="G117" s="622">
        <f>F117/B117</f>
        <v>0</v>
      </c>
      <c r="H117" s="673">
        <f>SUMIF('PRESUPUESTO 2024'!$B:$B,A117,'PRESUPUESTO 2024'!$AV:$AV)</f>
        <v>3652500</v>
      </c>
      <c r="I117" s="622">
        <f>H117/B117</f>
        <v>0.80126798876798877</v>
      </c>
      <c r="J117" s="673">
        <f>SUMIF('PRESUPUESTO 2024'!$B:$B,A117,'PRESUPUESTO 2024'!$BD:$BD)</f>
        <v>0</v>
      </c>
      <c r="K117" s="1178">
        <f>+J117/B117</f>
        <v>0</v>
      </c>
    </row>
    <row r="118" spans="1:11" ht="15.9" customHeight="1" x14ac:dyDescent="0.45">
      <c r="A118" s="670" t="s">
        <v>198</v>
      </c>
      <c r="B118" s="673">
        <f t="shared" si="25"/>
        <v>6614000</v>
      </c>
      <c r="C118" s="622">
        <f t="shared" si="25"/>
        <v>1</v>
      </c>
      <c r="D118" s="673">
        <f>SUMIF('PRESUPUESTO 2024'!$B:$B,A118,'PRESUPUESTO 2024'!$R:$R)</f>
        <v>5974000</v>
      </c>
      <c r="E118" s="622">
        <f>+D118/B118</f>
        <v>0.90323556093135771</v>
      </c>
      <c r="F118" s="673">
        <f>SUMIF('PRESUPUESTO 2024'!$B:$B,A118,'PRESUPUESTO 2024'!T:T)</f>
        <v>0</v>
      </c>
      <c r="G118" s="622">
        <f>F118/B118</f>
        <v>0</v>
      </c>
      <c r="H118" s="673">
        <f>SUMIF('PRESUPUESTO 2024'!$B:$B,A118,'PRESUPUESTO 2024'!$AV:$AV)</f>
        <v>640000</v>
      </c>
      <c r="I118" s="622">
        <f>H118/B118</f>
        <v>9.676443906864228E-2</v>
      </c>
      <c r="J118" s="673">
        <f>SUMIF('PRESUPUESTO 2024'!$B:$B,A118,'PRESUPUESTO 2024'!$BD:$BD)</f>
        <v>0</v>
      </c>
      <c r="K118" s="1178">
        <f>+J118/B118</f>
        <v>0</v>
      </c>
    </row>
    <row r="119" spans="1:11" ht="15.9" hidden="1" customHeight="1" x14ac:dyDescent="0.45">
      <c r="A119" s="670" t="s">
        <v>200</v>
      </c>
      <c r="B119" s="673">
        <f t="shared" si="25"/>
        <v>0</v>
      </c>
      <c r="C119" s="622" t="e">
        <f t="shared" si="25"/>
        <v>#DIV/0!</v>
      </c>
      <c r="D119" s="673">
        <v>0</v>
      </c>
      <c r="E119" s="622" t="e">
        <f>+D119/B119</f>
        <v>#DIV/0!</v>
      </c>
      <c r="F119" s="673">
        <v>0</v>
      </c>
      <c r="G119" s="622" t="e">
        <f>F119/B119</f>
        <v>#DIV/0!</v>
      </c>
      <c r="H119" s="673">
        <v>0</v>
      </c>
      <c r="I119" s="622" t="e">
        <f>H119/B119</f>
        <v>#DIV/0!</v>
      </c>
      <c r="J119" s="673">
        <v>0</v>
      </c>
      <c r="K119" s="1178" t="e">
        <f>+J119/B119</f>
        <v>#DIV/0!</v>
      </c>
    </row>
    <row r="120" spans="1:11" ht="15.9" hidden="1" customHeight="1" x14ac:dyDescent="0.45">
      <c r="A120" s="670"/>
      <c r="B120" s="631"/>
      <c r="C120" s="622"/>
      <c r="D120" s="631"/>
      <c r="E120" s="622"/>
      <c r="F120" s="631"/>
      <c r="G120" s="622"/>
      <c r="H120" s="631"/>
      <c r="I120" s="622"/>
      <c r="J120" s="631"/>
      <c r="K120" s="1178"/>
    </row>
    <row r="121" spans="1:11" ht="15.9" hidden="1" customHeight="1" x14ac:dyDescent="0.45">
      <c r="A121" s="668" t="s">
        <v>350</v>
      </c>
      <c r="B121" s="669">
        <f>SUM(B123)</f>
        <v>0</v>
      </c>
      <c r="C121" s="744">
        <f>SUM(B121/$B$13)</f>
        <v>0</v>
      </c>
      <c r="D121" s="669">
        <f>SUM(D123)</f>
        <v>0</v>
      </c>
      <c r="E121" s="744" t="e">
        <f>+D121/B121</f>
        <v>#DIV/0!</v>
      </c>
      <c r="F121" s="669">
        <f>SUM(F123)</f>
        <v>0</v>
      </c>
      <c r="G121" s="744" t="e">
        <f>+F121/B121</f>
        <v>#DIV/0!</v>
      </c>
      <c r="H121" s="669">
        <f>SUM(H123)</f>
        <v>0</v>
      </c>
      <c r="I121" s="1219" t="e">
        <f>+H121/B121</f>
        <v>#DIV/0!</v>
      </c>
      <c r="J121" s="669">
        <f>SUM(J123)</f>
        <v>0</v>
      </c>
      <c r="K121" s="745" t="e">
        <f>+J121/B121</f>
        <v>#DIV/0!</v>
      </c>
    </row>
    <row r="122" spans="1:11" ht="15.9" hidden="1" customHeight="1" x14ac:dyDescent="0.45">
      <c r="A122" s="670"/>
      <c r="B122" s="631"/>
      <c r="C122" s="622"/>
      <c r="D122" s="631"/>
      <c r="E122" s="622"/>
      <c r="F122" s="631"/>
      <c r="G122" s="622"/>
      <c r="H122" s="631"/>
      <c r="I122" s="1220"/>
      <c r="J122" s="631"/>
      <c r="K122" s="1229"/>
    </row>
    <row r="123" spans="1:11" ht="15.9" hidden="1" customHeight="1" x14ac:dyDescent="0.45">
      <c r="A123" s="670" t="s">
        <v>362</v>
      </c>
      <c r="B123" s="673">
        <f>SUM(D123+F123+H123+J123)</f>
        <v>0</v>
      </c>
      <c r="C123" s="622" t="e">
        <f>SUM(E123+G123+I123+K123)</f>
        <v>#DIV/0!</v>
      </c>
      <c r="D123" s="673">
        <v>0</v>
      </c>
      <c r="E123" s="622" t="e">
        <f>+D123/B123</f>
        <v>#DIV/0!</v>
      </c>
      <c r="F123" s="673">
        <v>0</v>
      </c>
      <c r="G123" s="622" t="e">
        <f>F123/B123</f>
        <v>#DIV/0!</v>
      </c>
      <c r="H123" s="673">
        <v>0</v>
      </c>
      <c r="I123" s="622" t="e">
        <f>H123/B123</f>
        <v>#DIV/0!</v>
      </c>
      <c r="J123" s="673">
        <v>0</v>
      </c>
      <c r="K123" s="1178" t="e">
        <f>+J123/B123</f>
        <v>#DIV/0!</v>
      </c>
    </row>
    <row r="124" spans="1:11" ht="9.9" customHeight="1" x14ac:dyDescent="0.45">
      <c r="A124" s="670"/>
      <c r="B124" s="631"/>
      <c r="C124" s="622"/>
      <c r="D124" s="631"/>
      <c r="E124" s="622"/>
      <c r="F124" s="631"/>
      <c r="G124" s="622"/>
      <c r="H124" s="631"/>
      <c r="I124" s="622"/>
      <c r="J124" s="631"/>
      <c r="K124" s="1178"/>
    </row>
    <row r="125" spans="1:11" ht="15.9" customHeight="1" x14ac:dyDescent="0.45">
      <c r="A125" s="668" t="s">
        <v>329</v>
      </c>
      <c r="B125" s="669">
        <f>SUM(B127:B132)</f>
        <v>8860000</v>
      </c>
      <c r="C125" s="744">
        <f>SUM(E125+G125+I125)</f>
        <v>0.96049661399548536</v>
      </c>
      <c r="D125" s="669">
        <f>SUM(D127:D132)</f>
        <v>0</v>
      </c>
      <c r="E125" s="744">
        <f>+D125/B125</f>
        <v>0</v>
      </c>
      <c r="F125" s="669">
        <f>SUM(F127:F132)</f>
        <v>0</v>
      </c>
      <c r="G125" s="744">
        <f>F125/B125</f>
        <v>0</v>
      </c>
      <c r="H125" s="669">
        <f>SUM(H127:H132)</f>
        <v>8510000</v>
      </c>
      <c r="I125" s="744">
        <f>H125/B125</f>
        <v>0.96049661399548536</v>
      </c>
      <c r="J125" s="669">
        <f>SUM(J127:J132)</f>
        <v>350000</v>
      </c>
      <c r="K125" s="745">
        <f>+J125/B125</f>
        <v>3.9503386004514675E-2</v>
      </c>
    </row>
    <row r="126" spans="1:11" ht="9.9" customHeight="1" x14ac:dyDescent="0.45">
      <c r="A126" s="670"/>
      <c r="B126" s="631"/>
      <c r="C126" s="622"/>
      <c r="D126" s="631"/>
      <c r="E126" s="622"/>
      <c r="F126" s="631"/>
      <c r="G126" s="622"/>
      <c r="H126" s="631"/>
      <c r="I126" s="622"/>
      <c r="J126" s="631"/>
      <c r="K126" s="1178"/>
    </row>
    <row r="127" spans="1:11" ht="15.9" hidden="1" customHeight="1" collapsed="1" x14ac:dyDescent="0.45">
      <c r="A127" s="671" t="s">
        <v>203</v>
      </c>
      <c r="B127" s="1241">
        <f t="shared" ref="B127:C132" si="26">SUM(D127+F127+H127+J127)</f>
        <v>0</v>
      </c>
      <c r="C127" s="635" t="e">
        <f t="shared" si="26"/>
        <v>#DIV/0!</v>
      </c>
      <c r="D127" s="672">
        <v>0</v>
      </c>
      <c r="E127" s="635" t="e">
        <f t="shared" ref="E127:E132" si="27">+D127/B127</f>
        <v>#DIV/0!</v>
      </c>
      <c r="F127" s="672">
        <v>0</v>
      </c>
      <c r="G127" s="635" t="e">
        <f t="shared" ref="G127:G132" si="28">F127/B127</f>
        <v>#DIV/0!</v>
      </c>
      <c r="H127" s="672">
        <v>0</v>
      </c>
      <c r="I127" s="635" t="e">
        <f t="shared" ref="I127:I132" si="29">H127/B127</f>
        <v>#DIV/0!</v>
      </c>
      <c r="J127" s="672">
        <v>0</v>
      </c>
      <c r="K127" s="1226" t="e">
        <f t="shared" ref="K127:K132" si="30">+J127/B127</f>
        <v>#DIV/0!</v>
      </c>
    </row>
    <row r="128" spans="1:11" ht="15.9" hidden="1" customHeight="1" outlineLevel="1" x14ac:dyDescent="0.45">
      <c r="A128" s="670" t="s">
        <v>205</v>
      </c>
      <c r="B128" s="673">
        <f t="shared" si="26"/>
        <v>0</v>
      </c>
      <c r="C128" s="622" t="e">
        <f t="shared" si="26"/>
        <v>#DIV/0!</v>
      </c>
      <c r="D128" s="631">
        <v>0</v>
      </c>
      <c r="E128" s="622" t="e">
        <f t="shared" si="27"/>
        <v>#DIV/0!</v>
      </c>
      <c r="F128" s="631">
        <v>0</v>
      </c>
      <c r="G128" s="622" t="e">
        <f t="shared" si="28"/>
        <v>#DIV/0!</v>
      </c>
      <c r="H128" s="631">
        <v>0</v>
      </c>
      <c r="I128" s="622" t="e">
        <f t="shared" si="29"/>
        <v>#DIV/0!</v>
      </c>
      <c r="J128" s="631">
        <v>0</v>
      </c>
      <c r="K128" s="1178" t="e">
        <f t="shared" si="30"/>
        <v>#DIV/0!</v>
      </c>
    </row>
    <row r="129" spans="1:11" ht="15.9" customHeight="1" collapsed="1" x14ac:dyDescent="0.45">
      <c r="A129" s="670" t="s">
        <v>207</v>
      </c>
      <c r="B129" s="673">
        <f t="shared" si="26"/>
        <v>8860000</v>
      </c>
      <c r="C129" s="622">
        <f t="shared" si="26"/>
        <v>1</v>
      </c>
      <c r="D129" s="673">
        <f>SUMIF('PRESUPUESTO 2024'!$B:$B,A129,'PRESUPUESTO 2024'!$R:$R)</f>
        <v>0</v>
      </c>
      <c r="E129" s="622">
        <f t="shared" si="27"/>
        <v>0</v>
      </c>
      <c r="F129" s="673">
        <f>SUMIF('PRESUPUESTO 2024'!$B:$B,A129,'PRESUPUESTO 2024'!T:T)</f>
        <v>0</v>
      </c>
      <c r="G129" s="622">
        <f t="shared" si="28"/>
        <v>0</v>
      </c>
      <c r="H129" s="673">
        <f>SUMIF('PRESUPUESTO 2024'!$B:$B,A129,'PRESUPUESTO 2024'!$AV:$AV)</f>
        <v>8510000</v>
      </c>
      <c r="I129" s="622">
        <f t="shared" si="29"/>
        <v>0.96049661399548536</v>
      </c>
      <c r="J129" s="673">
        <f>SUMIF('PRESUPUESTO 2024'!$B:$B,A129,'PRESUPUESTO 2024'!$BD:$BD)</f>
        <v>350000</v>
      </c>
      <c r="K129" s="1178">
        <f t="shared" si="30"/>
        <v>3.9503386004514675E-2</v>
      </c>
    </row>
    <row r="130" spans="1:11" ht="15.9" hidden="1" customHeight="1" x14ac:dyDescent="0.45">
      <c r="A130" s="670" t="s">
        <v>209</v>
      </c>
      <c r="B130" s="673">
        <f t="shared" si="26"/>
        <v>0</v>
      </c>
      <c r="C130" s="622" t="e">
        <f t="shared" si="26"/>
        <v>#DIV/0!</v>
      </c>
      <c r="D130" s="631">
        <v>0</v>
      </c>
      <c r="E130" s="622" t="e">
        <f t="shared" si="27"/>
        <v>#DIV/0!</v>
      </c>
      <c r="F130" s="631">
        <v>0</v>
      </c>
      <c r="G130" s="622" t="e">
        <f t="shared" si="28"/>
        <v>#DIV/0!</v>
      </c>
      <c r="H130" s="631">
        <v>0</v>
      </c>
      <c r="I130" s="622" t="e">
        <f t="shared" si="29"/>
        <v>#DIV/0!</v>
      </c>
      <c r="J130" s="631">
        <v>0</v>
      </c>
      <c r="K130" s="1178" t="e">
        <f t="shared" si="30"/>
        <v>#DIV/0!</v>
      </c>
    </row>
    <row r="131" spans="1:11" ht="15.9" hidden="1" customHeight="1" x14ac:dyDescent="0.45">
      <c r="A131" s="670" t="s">
        <v>211</v>
      </c>
      <c r="B131" s="673">
        <f t="shared" si="26"/>
        <v>0</v>
      </c>
      <c r="C131" s="622" t="e">
        <f t="shared" si="26"/>
        <v>#DIV/0!</v>
      </c>
      <c r="D131" s="631">
        <v>0</v>
      </c>
      <c r="E131" s="622" t="e">
        <f t="shared" si="27"/>
        <v>#DIV/0!</v>
      </c>
      <c r="F131" s="631">
        <v>0</v>
      </c>
      <c r="G131" s="622" t="e">
        <f t="shared" si="28"/>
        <v>#DIV/0!</v>
      </c>
      <c r="H131" s="631">
        <v>0</v>
      </c>
      <c r="I131" s="622" t="e">
        <f t="shared" si="29"/>
        <v>#DIV/0!</v>
      </c>
      <c r="J131" s="631">
        <v>0</v>
      </c>
      <c r="K131" s="1178" t="e">
        <f t="shared" si="30"/>
        <v>#DIV/0!</v>
      </c>
    </row>
    <row r="132" spans="1:11" ht="15.9" hidden="1" customHeight="1" collapsed="1" x14ac:dyDescent="0.45">
      <c r="A132" s="670" t="s">
        <v>213</v>
      </c>
      <c r="B132" s="673">
        <f t="shared" si="26"/>
        <v>0</v>
      </c>
      <c r="C132" s="622" t="e">
        <f t="shared" si="26"/>
        <v>#DIV/0!</v>
      </c>
      <c r="D132" s="631">
        <v>0</v>
      </c>
      <c r="E132" s="622" t="e">
        <f t="shared" si="27"/>
        <v>#DIV/0!</v>
      </c>
      <c r="F132" s="631">
        <v>0</v>
      </c>
      <c r="G132" s="622" t="e">
        <f t="shared" si="28"/>
        <v>#DIV/0!</v>
      </c>
      <c r="H132" s="631">
        <v>0</v>
      </c>
      <c r="I132" s="622" t="e">
        <f t="shared" si="29"/>
        <v>#DIV/0!</v>
      </c>
      <c r="J132" s="631">
        <v>0</v>
      </c>
      <c r="K132" s="1178" t="e">
        <f t="shared" si="30"/>
        <v>#DIV/0!</v>
      </c>
    </row>
    <row r="133" spans="1:11" ht="9.9" customHeight="1" x14ac:dyDescent="0.45">
      <c r="A133" s="671"/>
      <c r="B133" s="672"/>
      <c r="C133" s="635"/>
      <c r="D133" s="672"/>
      <c r="E133" s="635"/>
      <c r="F133" s="672"/>
      <c r="G133" s="635"/>
      <c r="H133" s="672"/>
      <c r="I133" s="635"/>
      <c r="J133" s="672"/>
      <c r="K133" s="1226"/>
    </row>
    <row r="134" spans="1:11" ht="15.9" customHeight="1" x14ac:dyDescent="0.45">
      <c r="A134" s="668" t="s">
        <v>330</v>
      </c>
      <c r="B134" s="669">
        <f>SUM(B136:B137)</f>
        <v>18804500</v>
      </c>
      <c r="C134" s="744">
        <f>SUM(E134+G134+I134)</f>
        <v>1</v>
      </c>
      <c r="D134" s="669">
        <f>SUM(D136:D137)</f>
        <v>4285500</v>
      </c>
      <c r="E134" s="744">
        <f>+D134/B134</f>
        <v>0.22789757770746363</v>
      </c>
      <c r="F134" s="669">
        <f>SUM(F136:F137)</f>
        <v>0</v>
      </c>
      <c r="G134" s="744">
        <f>F134/B134</f>
        <v>0</v>
      </c>
      <c r="H134" s="669">
        <f>SUM(H136:H137)</f>
        <v>14519000</v>
      </c>
      <c r="I134" s="744">
        <f>H134/B134</f>
        <v>0.77210242229253634</v>
      </c>
      <c r="J134" s="669">
        <f>SUM(J136:J137)</f>
        <v>0</v>
      </c>
      <c r="K134" s="745">
        <f>+J134/B134</f>
        <v>0</v>
      </c>
    </row>
    <row r="135" spans="1:11" ht="9.9" customHeight="1" x14ac:dyDescent="0.45">
      <c r="A135" s="670"/>
      <c r="B135" s="631"/>
      <c r="C135" s="622"/>
      <c r="D135" s="631"/>
      <c r="E135" s="622"/>
      <c r="F135" s="631"/>
      <c r="G135" s="622"/>
      <c r="H135" s="631"/>
      <c r="I135" s="622"/>
      <c r="J135" s="631"/>
      <c r="K135" s="1178"/>
    </row>
    <row r="136" spans="1:11" ht="15.9" hidden="1" customHeight="1" collapsed="1" x14ac:dyDescent="0.45">
      <c r="A136" s="670" t="s">
        <v>217</v>
      </c>
      <c r="B136" s="673">
        <f>SUM(D136+F136+H136+J136)</f>
        <v>0</v>
      </c>
      <c r="C136" s="622" t="e">
        <f>SUM(E136+G136+I136+K136)</f>
        <v>#DIV/0!</v>
      </c>
      <c r="D136" s="631">
        <v>0</v>
      </c>
      <c r="E136" s="622" t="e">
        <f>+D136/B136</f>
        <v>#DIV/0!</v>
      </c>
      <c r="F136" s="631">
        <v>0</v>
      </c>
      <c r="G136" s="622" t="e">
        <f>F136/B136</f>
        <v>#DIV/0!</v>
      </c>
      <c r="H136" s="631">
        <v>0</v>
      </c>
      <c r="I136" s="622" t="e">
        <f>H136/B136</f>
        <v>#DIV/0!</v>
      </c>
      <c r="J136" s="631">
        <v>0</v>
      </c>
      <c r="K136" s="1178" t="e">
        <f>+J136/B136</f>
        <v>#DIV/0!</v>
      </c>
    </row>
    <row r="137" spans="1:11" ht="15.9" customHeight="1" x14ac:dyDescent="0.45">
      <c r="A137" s="670" t="s">
        <v>219</v>
      </c>
      <c r="B137" s="673">
        <f>SUM(D137+F137+H137+J137)</f>
        <v>18804500</v>
      </c>
      <c r="C137" s="622">
        <f>SUM(E137+G137+I137+K137)</f>
        <v>1</v>
      </c>
      <c r="D137" s="673">
        <f>SUMIF('PRESUPUESTO 2024'!$B:$B,A137,'PRESUPUESTO 2024'!$R:$R)</f>
        <v>4285500</v>
      </c>
      <c r="E137" s="622">
        <f>+D137/B137</f>
        <v>0.22789757770746363</v>
      </c>
      <c r="F137" s="673">
        <f>SUMIF('PRESUPUESTO 2024'!$B:$B,A137,'PRESUPUESTO 2024'!T:T)</f>
        <v>0</v>
      </c>
      <c r="G137" s="622">
        <f>F137/B137</f>
        <v>0</v>
      </c>
      <c r="H137" s="673">
        <f>SUMIF('PRESUPUESTO 2024'!$B:$B,A137,'PRESUPUESTO 2024'!$AV:$AV)</f>
        <v>14519000</v>
      </c>
      <c r="I137" s="622">
        <f>H137/B137</f>
        <v>0.77210242229253634</v>
      </c>
      <c r="J137" s="673">
        <f>SUMIF('PRESUPUESTO 2024'!$B:$B,A137,'PRESUPUESTO 2024'!$BD:$BD)</f>
        <v>0</v>
      </c>
      <c r="K137" s="1178">
        <f>+J137/B137</f>
        <v>0</v>
      </c>
    </row>
    <row r="138" spans="1:11" ht="9.9" customHeight="1" x14ac:dyDescent="0.45">
      <c r="A138" s="670"/>
      <c r="B138" s="631"/>
      <c r="C138" s="622"/>
      <c r="D138" s="631"/>
      <c r="E138" s="622"/>
      <c r="F138" s="631"/>
      <c r="G138" s="622"/>
      <c r="H138" s="631"/>
      <c r="I138" s="622"/>
      <c r="J138" s="631"/>
      <c r="K138" s="1178"/>
    </row>
    <row r="139" spans="1:11" ht="15.9" customHeight="1" x14ac:dyDescent="0.45">
      <c r="A139" s="668" t="s">
        <v>337</v>
      </c>
      <c r="B139" s="669">
        <f>SUM(B141:B149)</f>
        <v>28250241</v>
      </c>
      <c r="C139" s="744">
        <f>SUM(E139+G139+I139)</f>
        <v>1</v>
      </c>
      <c r="D139" s="669">
        <f>SUM(D141:D149)</f>
        <v>14940851</v>
      </c>
      <c r="E139" s="744">
        <f>+D139/B139</f>
        <v>0.52887516959589831</v>
      </c>
      <c r="F139" s="669">
        <f>SUM(F141:F149)</f>
        <v>0</v>
      </c>
      <c r="G139" s="744">
        <f>F139/B139</f>
        <v>0</v>
      </c>
      <c r="H139" s="669">
        <f>SUM(H141:H149)</f>
        <v>13309390</v>
      </c>
      <c r="I139" s="744">
        <f>H139/B139</f>
        <v>0.47112483040410169</v>
      </c>
      <c r="J139" s="669">
        <f>SUM(J141:J149)</f>
        <v>0</v>
      </c>
      <c r="K139" s="745">
        <f>+J139/B139</f>
        <v>0</v>
      </c>
    </row>
    <row r="140" spans="1:11" ht="9.9" customHeight="1" x14ac:dyDescent="0.45">
      <c r="A140" s="670"/>
      <c r="B140" s="631"/>
      <c r="C140" s="622"/>
      <c r="D140" s="631"/>
      <c r="E140" s="622"/>
      <c r="F140" s="631"/>
      <c r="G140" s="622"/>
      <c r="H140" s="631"/>
      <c r="I140" s="622"/>
      <c r="J140" s="631"/>
      <c r="K140" s="1178"/>
    </row>
    <row r="141" spans="1:11" ht="15.9" customHeight="1" collapsed="1" x14ac:dyDescent="0.45">
      <c r="A141" s="670" t="s">
        <v>222</v>
      </c>
      <c r="B141" s="673">
        <f>SUM(D141+F141+H141+J141)</f>
        <v>3966302</v>
      </c>
      <c r="C141" s="622">
        <f t="shared" ref="C141:C149" si="31">SUM(E141+G141+I141+K141)</f>
        <v>1</v>
      </c>
      <c r="D141" s="673">
        <f>SUMIF('PRESUPUESTO 2024'!$B:$B,A141,'PRESUPUESTO 2024'!$R:$R)</f>
        <v>3285252</v>
      </c>
      <c r="E141" s="622">
        <f t="shared" ref="E141:E149" si="32">+D141/B141</f>
        <v>0.8282909369987459</v>
      </c>
      <c r="F141" s="673">
        <f>SUMIF('PRESUPUESTO 2024'!$B:$B,A141,'PRESUPUESTO 2024'!T:T)</f>
        <v>0</v>
      </c>
      <c r="G141" s="622">
        <f t="shared" ref="G141:G148" si="33">F141/B141</f>
        <v>0</v>
      </c>
      <c r="H141" s="673">
        <f>SUMIF('PRESUPUESTO 2024'!$B:$B,A141,'PRESUPUESTO 2024'!$AV:$AV)</f>
        <v>681050</v>
      </c>
      <c r="I141" s="622">
        <f t="shared" ref="I141:I148" si="34">H141/B141</f>
        <v>0.17170906300125408</v>
      </c>
      <c r="J141" s="673">
        <f>SUMIF('PRESUPUESTO 2024'!$B:$B,A141,'PRESUPUESTO 2024'!$BD:$BD)</f>
        <v>0</v>
      </c>
      <c r="K141" s="1178">
        <f t="shared" ref="K141:K149" si="35">+J141/B141</f>
        <v>0</v>
      </c>
    </row>
    <row r="142" spans="1:11" ht="15.9" customHeight="1" x14ac:dyDescent="0.45">
      <c r="A142" s="671" t="s">
        <v>279</v>
      </c>
      <c r="B142" s="1241">
        <f t="shared" ref="B142:B149" si="36">SUM(D142+F142+H142+J142)</f>
        <v>1038250</v>
      </c>
      <c r="C142" s="635">
        <f t="shared" si="31"/>
        <v>1</v>
      </c>
      <c r="D142" s="1241">
        <f>SUMIF('PRESUPUESTO 2024'!$B:$B,A142,'PRESUPUESTO 2024'!$R:$R)</f>
        <v>1038250</v>
      </c>
      <c r="E142" s="635">
        <f t="shared" si="32"/>
        <v>1</v>
      </c>
      <c r="F142" s="1241">
        <f>SUMIF('PRESUPUESTO 2024'!$B:$B,A142,'PRESUPUESTO 2024'!T:T)</f>
        <v>0</v>
      </c>
      <c r="G142" s="635">
        <f t="shared" si="33"/>
        <v>0</v>
      </c>
      <c r="H142" s="1241">
        <f>SUMIF('PRESUPUESTO 2024'!$B:$B,A142,'PRESUPUESTO 2024'!$AV:$AV)</f>
        <v>0</v>
      </c>
      <c r="I142" s="635">
        <f t="shared" si="34"/>
        <v>0</v>
      </c>
      <c r="J142" s="1241">
        <f>SUMIF('PRESUPUESTO 2024'!$B:$B,A142,'PRESUPUESTO 2024'!$BD:$BD)</f>
        <v>0</v>
      </c>
      <c r="K142" s="1226">
        <f t="shared" si="35"/>
        <v>0</v>
      </c>
    </row>
    <row r="143" spans="1:11" ht="15.9" customHeight="1" collapsed="1" x14ac:dyDescent="0.45">
      <c r="A143" s="670" t="s">
        <v>225</v>
      </c>
      <c r="B143" s="673">
        <f t="shared" si="36"/>
        <v>3656740</v>
      </c>
      <c r="C143" s="622">
        <f t="shared" si="31"/>
        <v>1</v>
      </c>
      <c r="D143" s="673">
        <f>SUMIF('PRESUPUESTO 2024'!$B:$B,A143,'PRESUPUESTO 2024'!$R:$R)</f>
        <v>3261240</v>
      </c>
      <c r="E143" s="622">
        <f t="shared" si="32"/>
        <v>0.89184355464156595</v>
      </c>
      <c r="F143" s="673">
        <f>SUMIF('PRESUPUESTO 2024'!$B:$B,A143,'PRESUPUESTO 2024'!T:T)</f>
        <v>0</v>
      </c>
      <c r="G143" s="622">
        <f t="shared" si="33"/>
        <v>0</v>
      </c>
      <c r="H143" s="673">
        <f>SUMIF('PRESUPUESTO 2024'!$B:$B,A143,'PRESUPUESTO 2024'!$AV:$AV)</f>
        <v>395500</v>
      </c>
      <c r="I143" s="622">
        <f t="shared" si="34"/>
        <v>0.10815644535843401</v>
      </c>
      <c r="J143" s="673">
        <f>SUMIF('PRESUPUESTO 2024'!$B:$B,A143,'PRESUPUESTO 2024'!$BD:$BD)</f>
        <v>0</v>
      </c>
      <c r="K143" s="1178">
        <f t="shared" si="35"/>
        <v>0</v>
      </c>
    </row>
    <row r="144" spans="1:11" ht="15.9" customHeight="1" x14ac:dyDescent="0.45">
      <c r="A144" s="670" t="s">
        <v>1222</v>
      </c>
      <c r="B144" s="673">
        <f t="shared" si="36"/>
        <v>15430332</v>
      </c>
      <c r="C144" s="622">
        <f t="shared" si="31"/>
        <v>1</v>
      </c>
      <c r="D144" s="673">
        <f>SUMIF('PRESUPUESTO 2024'!$B:$B,A144,'PRESUPUESTO 2024'!$R:$R)</f>
        <v>4068032</v>
      </c>
      <c r="E144" s="622">
        <f t="shared" si="32"/>
        <v>0.26363865664069963</v>
      </c>
      <c r="F144" s="673">
        <f>SUMIF('PRESUPUESTO 2024'!$B:$B,A144,'PRESUPUESTO 2024'!T:T)</f>
        <v>0</v>
      </c>
      <c r="G144" s="622">
        <f t="shared" si="33"/>
        <v>0</v>
      </c>
      <c r="H144" s="673">
        <f>SUMIF('PRESUPUESTO 2024'!$B:$B,A144,'PRESUPUESTO 2024'!$AV:$AV)</f>
        <v>11362300</v>
      </c>
      <c r="I144" s="622">
        <f t="shared" si="34"/>
        <v>0.73636134335930037</v>
      </c>
      <c r="J144" s="673">
        <f>SUMIF('PRESUPUESTO 2024'!$B:$B,A144,'PRESUPUESTO 2024'!$BD:$BD)</f>
        <v>0</v>
      </c>
      <c r="K144" s="1178">
        <f t="shared" si="35"/>
        <v>0</v>
      </c>
    </row>
    <row r="145" spans="1:11" ht="15.9" customHeight="1" x14ac:dyDescent="0.45">
      <c r="A145" s="670" t="s">
        <v>229</v>
      </c>
      <c r="B145" s="673">
        <f t="shared" si="36"/>
        <v>2912617</v>
      </c>
      <c r="C145" s="622">
        <f t="shared" si="31"/>
        <v>1</v>
      </c>
      <c r="D145" s="673">
        <f>SUMIF('PRESUPUESTO 2024'!$B:$B,A145,'PRESUPUESTO 2024'!$R:$R)</f>
        <v>2462077</v>
      </c>
      <c r="E145" s="622">
        <f t="shared" si="32"/>
        <v>0.84531436848717145</v>
      </c>
      <c r="F145" s="673">
        <f>SUMIF('PRESUPUESTO 2024'!$B:$B,A145,'PRESUPUESTO 2024'!T:T)</f>
        <v>0</v>
      </c>
      <c r="G145" s="622">
        <f t="shared" si="33"/>
        <v>0</v>
      </c>
      <c r="H145" s="673">
        <f>SUMIF('PRESUPUESTO 2024'!$B:$B,A145,'PRESUPUESTO 2024'!$AV:$AV)</f>
        <v>450540</v>
      </c>
      <c r="I145" s="622">
        <f t="shared" si="34"/>
        <v>0.15468563151282849</v>
      </c>
      <c r="J145" s="673">
        <f>SUMIF('PRESUPUESTO 2024'!$B:$B,A145,'PRESUPUESTO 2024'!$BD:$BD)</f>
        <v>0</v>
      </c>
      <c r="K145" s="1178">
        <f t="shared" si="35"/>
        <v>0</v>
      </c>
    </row>
    <row r="146" spans="1:11" ht="15.9" customHeight="1" outlineLevel="1" x14ac:dyDescent="0.45">
      <c r="A146" s="670" t="s">
        <v>231</v>
      </c>
      <c r="B146" s="673">
        <f t="shared" si="36"/>
        <v>74500</v>
      </c>
      <c r="C146" s="622">
        <f t="shared" si="31"/>
        <v>1</v>
      </c>
      <c r="D146" s="673">
        <f>SUMIF('PRESUPUESTO 2024'!$B:$B,A146,'PRESUPUESTO 2024'!$R:$R)</f>
        <v>74500</v>
      </c>
      <c r="E146" s="622">
        <f t="shared" si="32"/>
        <v>1</v>
      </c>
      <c r="F146" s="673">
        <f>SUMIF('PRESUPUESTO 2024'!$B:$B,A146,'PRESUPUESTO 2024'!T:T)</f>
        <v>0</v>
      </c>
      <c r="G146" s="622">
        <f t="shared" si="33"/>
        <v>0</v>
      </c>
      <c r="H146" s="673">
        <f>SUMIF('PRESUPUESTO 2024'!$B:$B,A146,'PRESUPUESTO 2024'!$AV:$AV)</f>
        <v>0</v>
      </c>
      <c r="I146" s="622">
        <f t="shared" si="34"/>
        <v>0</v>
      </c>
      <c r="J146" s="673">
        <f>SUMIF('PRESUPUESTO 2024'!$B:$B,A146,'PRESUPUESTO 2024'!$BD:$BD)</f>
        <v>0</v>
      </c>
      <c r="K146" s="1178">
        <f t="shared" si="35"/>
        <v>0</v>
      </c>
    </row>
    <row r="147" spans="1:11" ht="15.9" hidden="1" customHeight="1" outlineLevel="1" x14ac:dyDescent="0.45">
      <c r="A147" s="670" t="s">
        <v>410</v>
      </c>
      <c r="B147" s="673">
        <f t="shared" si="36"/>
        <v>0</v>
      </c>
      <c r="C147" s="622" t="e">
        <f t="shared" si="31"/>
        <v>#DIV/0!</v>
      </c>
      <c r="D147" s="673">
        <f>SUMIF('PRESUPUESTO 2024'!$B:$B,A147,'PRESUPUESTO 2024'!$R:$R)</f>
        <v>0</v>
      </c>
      <c r="E147" s="622" t="e">
        <f t="shared" si="32"/>
        <v>#DIV/0!</v>
      </c>
      <c r="F147" s="673">
        <f>SUMIF('PRESUPUESTO 2024'!$B:$B,A147,'PRESUPUESTO 2024'!T:T)</f>
        <v>0</v>
      </c>
      <c r="G147" s="622" t="e">
        <f t="shared" si="33"/>
        <v>#DIV/0!</v>
      </c>
      <c r="H147" s="673">
        <f>SUMIF('PRESUPUESTO 2024'!$B:$B,A147,'PRESUPUESTO 2024'!$AV:$AV)</f>
        <v>0</v>
      </c>
      <c r="I147" s="622" t="e">
        <f t="shared" si="34"/>
        <v>#DIV/0!</v>
      </c>
      <c r="J147" s="673">
        <f>SUMIF('PRESUPUESTO 2024'!$B:$B,A147,'PRESUPUESTO 2024'!$BD:$BD)</f>
        <v>0</v>
      </c>
      <c r="K147" s="1178" t="e">
        <f t="shared" si="35"/>
        <v>#DIV/0!</v>
      </c>
    </row>
    <row r="148" spans="1:11" ht="15.9" customHeight="1" outlineLevel="1" x14ac:dyDescent="0.45">
      <c r="A148" s="670" t="s">
        <v>1223</v>
      </c>
      <c r="B148" s="673">
        <f t="shared" si="36"/>
        <v>1171500</v>
      </c>
      <c r="C148" s="622">
        <f t="shared" si="31"/>
        <v>1</v>
      </c>
      <c r="D148" s="673">
        <f>SUMIF('PRESUPUESTO 2024'!$B:$B,A148,'PRESUPUESTO 2024'!$R:$R)</f>
        <v>751500</v>
      </c>
      <c r="E148" s="622">
        <f t="shared" si="32"/>
        <v>0.64148527528809218</v>
      </c>
      <c r="F148" s="673">
        <f>SUMIF('PRESUPUESTO 2024'!$B:$B,A148,'PRESUPUESTO 2024'!T:T)</f>
        <v>0</v>
      </c>
      <c r="G148" s="622">
        <f t="shared" si="33"/>
        <v>0</v>
      </c>
      <c r="H148" s="673">
        <f>SUMIF('PRESUPUESTO 2024'!$B:$B,A148,'PRESUPUESTO 2024'!$AV:$AV)</f>
        <v>420000</v>
      </c>
      <c r="I148" s="622">
        <f t="shared" si="34"/>
        <v>0.35851472471190782</v>
      </c>
      <c r="J148" s="673">
        <f>SUMIF('PRESUPUESTO 2024'!$B:$B,A148,'PRESUPUESTO 2024'!$BD:$BD)</f>
        <v>0</v>
      </c>
      <c r="K148" s="1178">
        <f t="shared" si="35"/>
        <v>0</v>
      </c>
    </row>
    <row r="149" spans="1:11" ht="15.9" hidden="1" customHeight="1" x14ac:dyDescent="0.45">
      <c r="A149" s="670" t="s">
        <v>233</v>
      </c>
      <c r="B149" s="673">
        <f t="shared" si="36"/>
        <v>0</v>
      </c>
      <c r="C149" s="622" t="e">
        <f t="shared" si="31"/>
        <v>#DIV/0!</v>
      </c>
      <c r="D149" s="631">
        <v>0</v>
      </c>
      <c r="E149" s="622" t="e">
        <f t="shared" si="32"/>
        <v>#DIV/0!</v>
      </c>
      <c r="F149" s="631">
        <v>0</v>
      </c>
      <c r="G149" s="622" t="e">
        <f>F149/B149</f>
        <v>#DIV/0!</v>
      </c>
      <c r="H149" s="631">
        <v>0</v>
      </c>
      <c r="I149" s="622" t="e">
        <f>H149/B149</f>
        <v>#DIV/0!</v>
      </c>
      <c r="J149" s="631">
        <v>0</v>
      </c>
      <c r="K149" s="1178" t="e">
        <f t="shared" si="35"/>
        <v>#DIV/0!</v>
      </c>
    </row>
    <row r="150" spans="1:11" ht="9.9" customHeight="1" x14ac:dyDescent="0.45">
      <c r="A150" s="670"/>
      <c r="B150" s="673"/>
      <c r="C150" s="622"/>
      <c r="D150" s="631"/>
      <c r="E150" s="622"/>
      <c r="F150" s="631"/>
      <c r="G150" s="622"/>
      <c r="H150" s="631"/>
      <c r="I150" s="622"/>
      <c r="J150" s="631"/>
      <c r="K150" s="1178"/>
    </row>
    <row r="151" spans="1:11" ht="15.9" customHeight="1" x14ac:dyDescent="0.4">
      <c r="A151" s="679" t="s">
        <v>950</v>
      </c>
      <c r="B151" s="680">
        <f>+B155</f>
        <v>2546194511.6500001</v>
      </c>
      <c r="C151" s="742">
        <f>SUM(E151+G151+I151+K151)</f>
        <v>1</v>
      </c>
      <c r="D151" s="680">
        <f>+D155</f>
        <v>2546194511.6500001</v>
      </c>
      <c r="E151" s="742">
        <f>+D151/B151</f>
        <v>1</v>
      </c>
      <c r="F151" s="680">
        <f>+F155</f>
        <v>0</v>
      </c>
      <c r="G151" s="742">
        <f>F151/B151</f>
        <v>0</v>
      </c>
      <c r="H151" s="680">
        <f>+H155</f>
        <v>0</v>
      </c>
      <c r="I151" s="742">
        <f>H151/B151</f>
        <v>0</v>
      </c>
      <c r="J151" s="680">
        <f>+J155</f>
        <v>0</v>
      </c>
      <c r="K151" s="743">
        <f>+J151/B151</f>
        <v>0</v>
      </c>
    </row>
    <row r="152" spans="1:11" ht="9.9" customHeight="1" x14ac:dyDescent="0.45">
      <c r="A152" s="678"/>
      <c r="B152" s="1243"/>
      <c r="C152" s="1204"/>
      <c r="D152" s="520"/>
      <c r="E152" s="1204"/>
      <c r="F152" s="520"/>
      <c r="G152" s="1204"/>
      <c r="H152" s="520"/>
      <c r="I152" s="1204"/>
      <c r="J152" s="520"/>
      <c r="K152" s="1228"/>
    </row>
    <row r="153" spans="1:11" ht="15.9" customHeight="1" x14ac:dyDescent="0.45">
      <c r="A153" s="668" t="s">
        <v>1244</v>
      </c>
      <c r="B153" s="669">
        <f>SUM(B155:B156)</f>
        <v>2546194511.6500001</v>
      </c>
      <c r="C153" s="744">
        <f>SUM(E153+G153+I153)</f>
        <v>1</v>
      </c>
      <c r="D153" s="669">
        <f>SUM(D155:D156)</f>
        <v>2546194511.6500001</v>
      </c>
      <c r="E153" s="744">
        <f>+D153/B153</f>
        <v>1</v>
      </c>
      <c r="F153" s="669">
        <f>SUM(F155:F156)</f>
        <v>0</v>
      </c>
      <c r="G153" s="744">
        <f>F153/B153</f>
        <v>0</v>
      </c>
      <c r="H153" s="669">
        <f>SUM(H155:H156)</f>
        <v>0</v>
      </c>
      <c r="I153" s="744">
        <f>H153/B153</f>
        <v>0</v>
      </c>
      <c r="J153" s="669">
        <f>SUM(J155:J156)</f>
        <v>0</v>
      </c>
      <c r="K153" s="745">
        <f>+J153/B153</f>
        <v>0</v>
      </c>
    </row>
    <row r="154" spans="1:11" ht="9.9" customHeight="1" x14ac:dyDescent="0.45">
      <c r="A154" s="681"/>
      <c r="B154" s="747"/>
      <c r="C154" s="746"/>
      <c r="D154" s="682"/>
      <c r="E154" s="746"/>
      <c r="F154" s="682"/>
      <c r="G154" s="746"/>
      <c r="H154" s="682"/>
      <c r="I154" s="746"/>
      <c r="J154" s="682"/>
      <c r="K154" s="1230"/>
    </row>
    <row r="155" spans="1:11" ht="15.9" customHeight="1" outlineLevel="1" x14ac:dyDescent="0.45">
      <c r="A155" s="670" t="s">
        <v>1035</v>
      </c>
      <c r="B155" s="673">
        <f>+EGRESOS!B155</f>
        <v>2546194511.6500001</v>
      </c>
      <c r="C155" s="622">
        <f>SUM(E155+G155+I155+K155)</f>
        <v>1</v>
      </c>
      <c r="D155" s="631">
        <v>2546194511.6500001</v>
      </c>
      <c r="E155" s="622">
        <f>+D155/B155</f>
        <v>1</v>
      </c>
      <c r="F155" s="673">
        <f>SUMIF('PRESUPUESTO 2024'!$B:$B,A155,'PRESUPUESTO 2024'!T:T)</f>
        <v>0</v>
      </c>
      <c r="G155" s="622">
        <f>F155/B155</f>
        <v>0</v>
      </c>
      <c r="H155" s="673">
        <f>SUMIF('PRESUPUESTO 2024'!$B:$B,A155,'PRESUPUESTO 2024'!$AV:$AV)</f>
        <v>0</v>
      </c>
      <c r="I155" s="622">
        <f>H155/B155</f>
        <v>0</v>
      </c>
      <c r="J155" s="673">
        <f>SUMIF('PRESUPUESTO 2024'!$B:$B,A155,'PRESUPUESTO 2024'!$BD:$BD)</f>
        <v>0</v>
      </c>
      <c r="K155" s="1178">
        <f>+J155/B155</f>
        <v>0</v>
      </c>
    </row>
    <row r="156" spans="1:11" ht="9.9" customHeight="1" x14ac:dyDescent="0.45">
      <c r="A156" s="671"/>
      <c r="B156" s="672"/>
      <c r="C156" s="635"/>
      <c r="D156" s="672"/>
      <c r="E156" s="635"/>
      <c r="F156" s="672"/>
      <c r="G156" s="635"/>
      <c r="H156" s="672"/>
      <c r="I156" s="635"/>
      <c r="J156" s="672"/>
      <c r="K156" s="1226"/>
    </row>
    <row r="157" spans="1:11" ht="15.9" customHeight="1" x14ac:dyDescent="0.4">
      <c r="A157" s="679" t="s">
        <v>57</v>
      </c>
      <c r="B157" s="680">
        <f>+B159+B170+B175</f>
        <v>679593018</v>
      </c>
      <c r="C157" s="742">
        <f>SUM(E157+G157+I157+K157)</f>
        <v>1</v>
      </c>
      <c r="D157" s="680">
        <f>+D159+D170+D175</f>
        <v>669687754</v>
      </c>
      <c r="E157" s="742">
        <f>+D157/B157</f>
        <v>0.98542471194134607</v>
      </c>
      <c r="F157" s="680">
        <f>+F159+F170+F175</f>
        <v>0</v>
      </c>
      <c r="G157" s="742">
        <f>F157/B157</f>
        <v>0</v>
      </c>
      <c r="H157" s="680">
        <f>+H159+H170+H175</f>
        <v>9905264</v>
      </c>
      <c r="I157" s="742">
        <f>H157/B157</f>
        <v>1.4575288058653952E-2</v>
      </c>
      <c r="J157" s="680">
        <f>+J159+J170+J175</f>
        <v>0</v>
      </c>
      <c r="K157" s="743">
        <f>+J157/B157</f>
        <v>0</v>
      </c>
    </row>
    <row r="158" spans="1:11" ht="9.9" customHeight="1" x14ac:dyDescent="0.45">
      <c r="A158" s="625"/>
      <c r="B158" s="631"/>
      <c r="C158" s="622"/>
      <c r="D158" s="631"/>
      <c r="E158" s="622"/>
      <c r="F158" s="631"/>
      <c r="G158" s="622"/>
      <c r="H158" s="631"/>
      <c r="I158" s="622"/>
      <c r="J158" s="631"/>
      <c r="K158" s="1178"/>
    </row>
    <row r="159" spans="1:11" ht="15.9" customHeight="1" x14ac:dyDescent="0.45">
      <c r="A159" s="668" t="s">
        <v>235</v>
      </c>
      <c r="B159" s="669">
        <f>SUM(B161:B168)</f>
        <v>255900000</v>
      </c>
      <c r="C159" s="744">
        <f>SUM(E159+G159+I159)</f>
        <v>1</v>
      </c>
      <c r="D159" s="669">
        <f>SUM(D161:D168)</f>
        <v>255900000</v>
      </c>
      <c r="E159" s="744">
        <f>+D159/B159</f>
        <v>1</v>
      </c>
      <c r="F159" s="669">
        <f>SUM(F161:F168)</f>
        <v>0</v>
      </c>
      <c r="G159" s="744">
        <f>F159/B159</f>
        <v>0</v>
      </c>
      <c r="H159" s="669">
        <f>SUM(H161:H168)</f>
        <v>0</v>
      </c>
      <c r="I159" s="744">
        <f>H159/B159</f>
        <v>0</v>
      </c>
      <c r="J159" s="669">
        <f>SUM(J161:J168)</f>
        <v>0</v>
      </c>
      <c r="K159" s="745">
        <f>+J159/B159</f>
        <v>0</v>
      </c>
    </row>
    <row r="160" spans="1:11" ht="9.9" customHeight="1" x14ac:dyDescent="0.45">
      <c r="A160" s="625"/>
      <c r="B160" s="631"/>
      <c r="C160" s="622"/>
      <c r="D160" s="631"/>
      <c r="E160" s="622"/>
      <c r="F160" s="631"/>
      <c r="G160" s="622"/>
      <c r="H160" s="631"/>
      <c r="I160" s="622"/>
      <c r="J160" s="631"/>
      <c r="K160" s="1178"/>
    </row>
    <row r="161" spans="1:11" ht="15.9" hidden="1" customHeight="1" x14ac:dyDescent="0.45">
      <c r="A161" s="447" t="s">
        <v>431</v>
      </c>
      <c r="B161" s="673">
        <f>SUM(D161+F161+H161+J161)</f>
        <v>0</v>
      </c>
      <c r="C161" s="622" t="e">
        <f>SUM(E161+G161+I161+K161)</f>
        <v>#DIV/0!</v>
      </c>
      <c r="D161" s="631">
        <v>0</v>
      </c>
      <c r="E161" s="622" t="e">
        <f>+D161/B161</f>
        <v>#DIV/0!</v>
      </c>
      <c r="F161" s="631">
        <v>0</v>
      </c>
      <c r="G161" s="622" t="e">
        <f>F161/B161</f>
        <v>#DIV/0!</v>
      </c>
      <c r="H161" s="631">
        <v>0</v>
      </c>
      <c r="I161" s="622" t="e">
        <f>H161/B161</f>
        <v>#DIV/0!</v>
      </c>
      <c r="J161" s="631">
        <v>0</v>
      </c>
      <c r="K161" s="1178" t="e">
        <f t="shared" ref="K161:K168" si="37">+J161/B161</f>
        <v>#DIV/0!</v>
      </c>
    </row>
    <row r="162" spans="1:11" ht="15.9" customHeight="1" outlineLevel="1" x14ac:dyDescent="0.45">
      <c r="A162" s="674" t="s">
        <v>237</v>
      </c>
      <c r="B162" s="673">
        <f t="shared" ref="B162:C168" si="38">SUM(D162+F162+H162+J162)</f>
        <v>150000000</v>
      </c>
      <c r="C162" s="622">
        <f t="shared" si="38"/>
        <v>1</v>
      </c>
      <c r="D162" s="673">
        <f>SUMIF('PRESUPUESTO 2024'!$B:$B,A162,'PRESUPUESTO 2024'!$R:$R)</f>
        <v>150000000</v>
      </c>
      <c r="E162" s="622">
        <f t="shared" ref="E162:E168" si="39">+D162/B162</f>
        <v>1</v>
      </c>
      <c r="F162" s="673">
        <f>SUMIF('PRESUPUESTO 2024'!$B:$B,A162,'PRESUPUESTO 2024'!T:T)</f>
        <v>0</v>
      </c>
      <c r="G162" s="622">
        <f t="shared" ref="G162:G168" si="40">F162/B162</f>
        <v>0</v>
      </c>
      <c r="H162" s="673">
        <f>SUMIF('PRESUPUESTO 2024'!$B:$B,A162,'PRESUPUESTO 2024'!$AV:$AV)</f>
        <v>0</v>
      </c>
      <c r="I162" s="622">
        <f t="shared" ref="I162:I168" si="41">H162/B162</f>
        <v>0</v>
      </c>
      <c r="J162" s="673">
        <f>SUMIF('PRESUPUESTO 2024'!$B:$B,A162,'PRESUPUESTO 2024'!$BD:$BD)</f>
        <v>0</v>
      </c>
      <c r="K162" s="1178">
        <f t="shared" si="37"/>
        <v>0</v>
      </c>
    </row>
    <row r="163" spans="1:11" ht="15.9" customHeight="1" x14ac:dyDescent="0.45">
      <c r="A163" s="674" t="s">
        <v>239</v>
      </c>
      <c r="B163" s="673">
        <f t="shared" si="38"/>
        <v>3400000</v>
      </c>
      <c r="C163" s="622">
        <f t="shared" si="38"/>
        <v>1</v>
      </c>
      <c r="D163" s="673">
        <f>SUMIF('PRESUPUESTO 2024'!$B:$B,A163,'PRESUPUESTO 2024'!$R:$R)</f>
        <v>3400000</v>
      </c>
      <c r="E163" s="622">
        <f t="shared" si="39"/>
        <v>1</v>
      </c>
      <c r="F163" s="673">
        <f>SUMIF('PRESUPUESTO 2024'!$B:$B,A163,'PRESUPUESTO 2024'!T:T)</f>
        <v>0</v>
      </c>
      <c r="G163" s="622">
        <f t="shared" si="40"/>
        <v>0</v>
      </c>
      <c r="H163" s="673">
        <f>SUMIF('PRESUPUESTO 2024'!$B:$B,A163,'PRESUPUESTO 2024'!$AV:$AV)</f>
        <v>0</v>
      </c>
      <c r="I163" s="622">
        <f t="shared" si="41"/>
        <v>0</v>
      </c>
      <c r="J163" s="673">
        <f>SUMIF('PRESUPUESTO 2024'!$B:$B,A163,'PRESUPUESTO 2024'!$BD:$BD)</f>
        <v>0</v>
      </c>
      <c r="K163" s="1178">
        <f t="shared" si="37"/>
        <v>0</v>
      </c>
    </row>
    <row r="164" spans="1:11" ht="15.9" hidden="1" customHeight="1" collapsed="1" x14ac:dyDescent="0.45">
      <c r="A164" s="674" t="s">
        <v>241</v>
      </c>
      <c r="B164" s="673">
        <f t="shared" si="38"/>
        <v>0</v>
      </c>
      <c r="C164" s="622" t="e">
        <f t="shared" si="38"/>
        <v>#DIV/0!</v>
      </c>
      <c r="D164" s="673">
        <f>SUMIF('PRESUPUESTO 2024'!$B:$B,A164,'PRESUPUESTO 2024'!$R:$R)</f>
        <v>0</v>
      </c>
      <c r="E164" s="622" t="e">
        <f t="shared" si="39"/>
        <v>#DIV/0!</v>
      </c>
      <c r="F164" s="673">
        <f>SUMIF('PRESUPUESTO 2024'!$B:$B,A164,'PRESUPUESTO 2024'!T:T)</f>
        <v>0</v>
      </c>
      <c r="G164" s="622" t="e">
        <f t="shared" si="40"/>
        <v>#DIV/0!</v>
      </c>
      <c r="H164" s="673">
        <f>SUMIF('PRESUPUESTO 2024'!$B:$B,A164,'PRESUPUESTO 2024'!$AV:$AV)</f>
        <v>0</v>
      </c>
      <c r="I164" s="622" t="e">
        <f t="shared" si="41"/>
        <v>#DIV/0!</v>
      </c>
      <c r="J164" s="673">
        <f>SUMIF('PRESUPUESTO 2024'!$B:$B,A164,'PRESUPUESTO 2024'!$BD:$BD)</f>
        <v>0</v>
      </c>
      <c r="K164" s="1178" t="e">
        <f t="shared" si="37"/>
        <v>#DIV/0!</v>
      </c>
    </row>
    <row r="165" spans="1:11" ht="15.9" customHeight="1" x14ac:dyDescent="0.45">
      <c r="A165" s="674" t="s">
        <v>1336</v>
      </c>
      <c r="B165" s="673">
        <f t="shared" si="38"/>
        <v>100000000</v>
      </c>
      <c r="C165" s="622">
        <f t="shared" si="38"/>
        <v>1</v>
      </c>
      <c r="D165" s="673">
        <f>SUMIF('PRESUPUESTO 2024'!$B:$B,A165,'PRESUPUESTO 2024'!$R:$R)</f>
        <v>100000000</v>
      </c>
      <c r="E165" s="622">
        <f t="shared" si="39"/>
        <v>1</v>
      </c>
      <c r="F165" s="673">
        <f>SUMIF('PRESUPUESTO 2024'!$B:$B,A165,'PRESUPUESTO 2024'!T:T)</f>
        <v>0</v>
      </c>
      <c r="G165" s="622">
        <f t="shared" si="40"/>
        <v>0</v>
      </c>
      <c r="H165" s="673">
        <f>SUMIF('PRESUPUESTO 2024'!$B:$B,A165,'PRESUPUESTO 2024'!$AV:$AV)</f>
        <v>0</v>
      </c>
      <c r="I165" s="622">
        <f t="shared" si="41"/>
        <v>0</v>
      </c>
      <c r="J165" s="673">
        <f>SUMIF('PRESUPUESTO 2024'!$B:$B,A165,'PRESUPUESTO 2024'!$BD:$BD)</f>
        <v>0</v>
      </c>
      <c r="K165" s="1178">
        <f t="shared" si="37"/>
        <v>0</v>
      </c>
    </row>
    <row r="166" spans="1:11" ht="15.9" customHeight="1" outlineLevel="1" x14ac:dyDescent="0.45">
      <c r="A166" s="674" t="s">
        <v>245</v>
      </c>
      <c r="B166" s="673">
        <f t="shared" si="38"/>
        <v>2500000</v>
      </c>
      <c r="C166" s="622">
        <f t="shared" si="38"/>
        <v>1</v>
      </c>
      <c r="D166" s="673">
        <f>SUMIF('PRESUPUESTO 2024'!$B:$B,A166,'PRESUPUESTO 2024'!$R:$R)</f>
        <v>2500000</v>
      </c>
      <c r="E166" s="622">
        <f t="shared" si="39"/>
        <v>1</v>
      </c>
      <c r="F166" s="673">
        <f>SUMIF('PRESUPUESTO 2024'!$B:$B,A166,'PRESUPUESTO 2024'!T:T)</f>
        <v>0</v>
      </c>
      <c r="G166" s="622">
        <f t="shared" si="40"/>
        <v>0</v>
      </c>
      <c r="H166" s="673">
        <f>SUMIF('PRESUPUESTO 2024'!$B:$B,A166,'PRESUPUESTO 2024'!$AV:$AV)</f>
        <v>0</v>
      </c>
      <c r="I166" s="622">
        <f t="shared" si="41"/>
        <v>0</v>
      </c>
      <c r="J166" s="673">
        <f>SUMIF('PRESUPUESTO 2024'!$B:$B,A166,'PRESUPUESTO 2024'!$BD:$BD)</f>
        <v>0</v>
      </c>
      <c r="K166" s="1178">
        <f t="shared" si="37"/>
        <v>0</v>
      </c>
    </row>
    <row r="167" spans="1:11" ht="15.9" hidden="1" customHeight="1" outlineLevel="1" x14ac:dyDescent="0.45">
      <c r="A167" s="674" t="s">
        <v>331</v>
      </c>
      <c r="B167" s="673">
        <f t="shared" si="38"/>
        <v>0</v>
      </c>
      <c r="C167" s="622" t="e">
        <f t="shared" si="38"/>
        <v>#DIV/0!</v>
      </c>
      <c r="D167" s="631">
        <v>0</v>
      </c>
      <c r="E167" s="622" t="e">
        <f t="shared" si="39"/>
        <v>#DIV/0!</v>
      </c>
      <c r="F167" s="631">
        <v>0</v>
      </c>
      <c r="G167" s="622" t="e">
        <f t="shared" si="40"/>
        <v>#DIV/0!</v>
      </c>
      <c r="H167" s="631">
        <v>0</v>
      </c>
      <c r="I167" s="622" t="e">
        <f t="shared" si="41"/>
        <v>#DIV/0!</v>
      </c>
      <c r="J167" s="631">
        <v>0</v>
      </c>
      <c r="K167" s="1178" t="e">
        <f t="shared" si="37"/>
        <v>#DIV/0!</v>
      </c>
    </row>
    <row r="168" spans="1:11" ht="15.9" hidden="1" customHeight="1" x14ac:dyDescent="0.45">
      <c r="A168" s="683" t="s">
        <v>249</v>
      </c>
      <c r="B168" s="673">
        <f t="shared" si="38"/>
        <v>0</v>
      </c>
      <c r="C168" s="622" t="e">
        <f t="shared" si="38"/>
        <v>#DIV/0!</v>
      </c>
      <c r="D168" s="631">
        <v>0</v>
      </c>
      <c r="E168" s="622" t="e">
        <f t="shared" si="39"/>
        <v>#DIV/0!</v>
      </c>
      <c r="F168" s="631">
        <v>0</v>
      </c>
      <c r="G168" s="622" t="e">
        <f t="shared" si="40"/>
        <v>#DIV/0!</v>
      </c>
      <c r="H168" s="631">
        <v>0</v>
      </c>
      <c r="I168" s="622" t="e">
        <f t="shared" si="41"/>
        <v>#DIV/0!</v>
      </c>
      <c r="J168" s="631">
        <v>0</v>
      </c>
      <c r="K168" s="1178" t="e">
        <f t="shared" si="37"/>
        <v>#DIV/0!</v>
      </c>
    </row>
    <row r="169" spans="1:11" ht="15.9" hidden="1" customHeight="1" x14ac:dyDescent="0.45">
      <c r="A169" s="684"/>
      <c r="B169" s="631"/>
      <c r="C169" s="622"/>
      <c r="D169" s="631"/>
      <c r="E169" s="622"/>
      <c r="F169" s="631"/>
      <c r="G169" s="622"/>
      <c r="H169" s="631"/>
      <c r="I169" s="622"/>
      <c r="J169" s="631"/>
      <c r="K169" s="1178"/>
    </row>
    <row r="170" spans="1:11" ht="15.9" hidden="1" customHeight="1" x14ac:dyDescent="0.45">
      <c r="A170" s="668" t="s">
        <v>338</v>
      </c>
      <c r="B170" s="669">
        <f>SUM(B172:B173)</f>
        <v>0</v>
      </c>
      <c r="C170" s="744" t="e">
        <f>SUM(E170+G170+I170)</f>
        <v>#DIV/0!</v>
      </c>
      <c r="D170" s="669">
        <f>SUM(D172:D173)</f>
        <v>0</v>
      </c>
      <c r="E170" s="744" t="e">
        <f>+D170/B170</f>
        <v>#DIV/0!</v>
      </c>
      <c r="F170" s="669">
        <f>SUM(F172:F173)</f>
        <v>0</v>
      </c>
      <c r="G170" s="744" t="e">
        <f>F170/B170</f>
        <v>#DIV/0!</v>
      </c>
      <c r="H170" s="669">
        <f>SUM(H172:H173)</f>
        <v>0</v>
      </c>
      <c r="I170" s="744" t="e">
        <f>H170/B170</f>
        <v>#DIV/0!</v>
      </c>
      <c r="J170" s="669">
        <f>SUM(J172:J173)</f>
        <v>0</v>
      </c>
      <c r="K170" s="745" t="e">
        <f>+J170/B170</f>
        <v>#DIV/0!</v>
      </c>
    </row>
    <row r="171" spans="1:11" ht="15.9" hidden="1" customHeight="1" x14ac:dyDescent="0.45">
      <c r="A171" s="684"/>
      <c r="B171" s="631"/>
      <c r="C171" s="622"/>
      <c r="D171" s="631"/>
      <c r="E171" s="622"/>
      <c r="F171" s="631"/>
      <c r="G171" s="622"/>
      <c r="H171" s="631"/>
      <c r="I171" s="622"/>
      <c r="J171" s="631"/>
      <c r="K171" s="1178"/>
    </row>
    <row r="172" spans="1:11" ht="15.9" hidden="1" customHeight="1" outlineLevel="1" x14ac:dyDescent="0.45">
      <c r="A172" s="670" t="s">
        <v>253</v>
      </c>
      <c r="B172" s="673">
        <f>SUM(D172+F172+H172+J172)</f>
        <v>0</v>
      </c>
      <c r="C172" s="622" t="e">
        <f>SUM(E172+G172+I172+K172)</f>
        <v>#DIV/0!</v>
      </c>
      <c r="D172" s="631">
        <v>0</v>
      </c>
      <c r="E172" s="622" t="e">
        <f>+D172/B172</f>
        <v>#DIV/0!</v>
      </c>
      <c r="F172" s="631">
        <v>0</v>
      </c>
      <c r="G172" s="622" t="e">
        <f>F172/B172</f>
        <v>#DIV/0!</v>
      </c>
      <c r="H172" s="631">
        <v>0</v>
      </c>
      <c r="I172" s="622" t="e">
        <f>H172/B172</f>
        <v>#DIV/0!</v>
      </c>
      <c r="J172" s="631">
        <v>0</v>
      </c>
      <c r="K172" s="1178">
        <v>0</v>
      </c>
    </row>
    <row r="173" spans="1:11" ht="15.9" hidden="1" customHeight="1" collapsed="1" x14ac:dyDescent="0.45">
      <c r="A173" s="670" t="s">
        <v>255</v>
      </c>
      <c r="B173" s="673">
        <f>SUM(D173+F173+H173+J173)</f>
        <v>0</v>
      </c>
      <c r="C173" s="622" t="e">
        <f>SUM(E173+G173+I173+K173)</f>
        <v>#DIV/0!</v>
      </c>
      <c r="D173" s="631">
        <v>0</v>
      </c>
      <c r="E173" s="622" t="e">
        <f>+D173/B173</f>
        <v>#DIV/0!</v>
      </c>
      <c r="F173" s="631">
        <v>0</v>
      </c>
      <c r="G173" s="622" t="e">
        <f>F173/B173</f>
        <v>#DIV/0!</v>
      </c>
      <c r="H173" s="631">
        <v>0</v>
      </c>
      <c r="I173" s="622" t="e">
        <f>H173/B173</f>
        <v>#DIV/0!</v>
      </c>
      <c r="J173" s="631">
        <v>0</v>
      </c>
      <c r="K173" s="1178" t="e">
        <f>+J173/B173</f>
        <v>#DIV/0!</v>
      </c>
    </row>
    <row r="174" spans="1:11" ht="9.9" customHeight="1" outlineLevel="1" x14ac:dyDescent="0.45">
      <c r="A174" s="670"/>
      <c r="B174" s="631"/>
      <c r="C174" s="622"/>
      <c r="D174" s="631"/>
      <c r="E174" s="622"/>
      <c r="F174" s="631"/>
      <c r="G174" s="622"/>
      <c r="H174" s="631"/>
      <c r="I174" s="622"/>
      <c r="J174" s="631"/>
      <c r="K174" s="1178"/>
    </row>
    <row r="175" spans="1:11" ht="15.9" customHeight="1" outlineLevel="1" x14ac:dyDescent="0.45">
      <c r="A175" s="668" t="s">
        <v>338</v>
      </c>
      <c r="B175" s="669">
        <f>SUM(B177:B178)</f>
        <v>423693018</v>
      </c>
      <c r="C175" s="744">
        <f>SUM(E175+G175+I175)</f>
        <v>1</v>
      </c>
      <c r="D175" s="669">
        <f>SUM(D177:D178)</f>
        <v>413787754</v>
      </c>
      <c r="E175" s="744">
        <f>+D175/B175</f>
        <v>0.9766216020109163</v>
      </c>
      <c r="F175" s="669">
        <f>SUM(F177:F178)</f>
        <v>0</v>
      </c>
      <c r="G175" s="744">
        <f>F175/B175</f>
        <v>0</v>
      </c>
      <c r="H175" s="669">
        <f>SUM(H177:H178)</f>
        <v>9905264</v>
      </c>
      <c r="I175" s="744">
        <f>H175/B175</f>
        <v>2.3378397989083692E-2</v>
      </c>
      <c r="J175" s="669">
        <f>SUM(J177:J178)</f>
        <v>0</v>
      </c>
      <c r="K175" s="745">
        <f>+J175/B175</f>
        <v>0</v>
      </c>
    </row>
    <row r="176" spans="1:11" ht="9.9" customHeight="1" outlineLevel="1" x14ac:dyDescent="0.45">
      <c r="A176" s="670"/>
      <c r="B176" s="631"/>
      <c r="C176" s="622"/>
      <c r="D176" s="631"/>
      <c r="E176" s="622"/>
      <c r="F176" s="631"/>
      <c r="G176" s="622"/>
      <c r="H176" s="631"/>
      <c r="I176" s="622"/>
      <c r="J176" s="631"/>
      <c r="K176" s="1178"/>
    </row>
    <row r="177" spans="1:11" ht="15.9" customHeight="1" outlineLevel="1" x14ac:dyDescent="0.45">
      <c r="A177" s="670" t="s">
        <v>1228</v>
      </c>
      <c r="B177" s="673">
        <f>SUM(D177+F177+H177+J177)</f>
        <v>423693018</v>
      </c>
      <c r="C177" s="622">
        <f>SUM(E177+G177+I177+K177)</f>
        <v>1</v>
      </c>
      <c r="D177" s="673">
        <f>SUMIF('PRESUPUESTO 2024'!$B:$B,A177,'PRESUPUESTO 2024'!$R:$R)</f>
        <v>413787754</v>
      </c>
      <c r="E177" s="622">
        <f>+D177/B177</f>
        <v>0.9766216020109163</v>
      </c>
      <c r="F177" s="673">
        <f>SUMIF('PRESUPUESTO 2024'!$B:$B,A177,'PRESUPUESTO 2024'!T:T)</f>
        <v>0</v>
      </c>
      <c r="G177" s="622">
        <f>F177/B177</f>
        <v>0</v>
      </c>
      <c r="H177" s="673">
        <f>SUMIF('PRESUPUESTO 2024'!$B:$B,A177,'PRESUPUESTO 2024'!$AV:$AV)</f>
        <v>9905264</v>
      </c>
      <c r="I177" s="622">
        <f>H177/B177</f>
        <v>2.3378397989083692E-2</v>
      </c>
      <c r="J177" s="673">
        <f>SUMIF('PRESUPUESTO 2024'!$B:$B,A177,'PRESUPUESTO 2024'!$BD:$BD)</f>
        <v>0</v>
      </c>
      <c r="K177" s="1178">
        <f>+J177/B177</f>
        <v>0</v>
      </c>
    </row>
    <row r="178" spans="1:11" ht="15.9" hidden="1" customHeight="1" outlineLevel="1" x14ac:dyDescent="0.45">
      <c r="A178" s="670" t="s">
        <v>260</v>
      </c>
      <c r="B178" s="673">
        <f>SUM(D178+F178+H178+J178)</f>
        <v>0</v>
      </c>
      <c r="C178" s="622" t="e">
        <f>SUM(E178+G178+I178+K178)</f>
        <v>#DIV/0!</v>
      </c>
      <c r="D178" s="631">
        <v>0</v>
      </c>
      <c r="E178" s="622" t="e">
        <f>+D178/B178</f>
        <v>#DIV/0!</v>
      </c>
      <c r="F178" s="631">
        <f>+[1]EGRESOS!F172</f>
        <v>0</v>
      </c>
      <c r="G178" s="622" t="e">
        <f>F178/B178</f>
        <v>#DIV/0!</v>
      </c>
      <c r="H178" s="631">
        <f>+[1]EGRESOS!H172</f>
        <v>0</v>
      </c>
      <c r="I178" s="622" t="e">
        <f>H178/B178</f>
        <v>#DIV/0!</v>
      </c>
      <c r="J178" s="631">
        <f>+[1]EGRESOS!J172</f>
        <v>0</v>
      </c>
      <c r="K178" s="1178">
        <v>0</v>
      </c>
    </row>
    <row r="179" spans="1:11" ht="9.9" customHeight="1" x14ac:dyDescent="0.45">
      <c r="A179" s="625"/>
      <c r="B179" s="631"/>
      <c r="C179" s="622"/>
      <c r="D179" s="631"/>
      <c r="E179" s="622"/>
      <c r="F179" s="631"/>
      <c r="G179" s="622"/>
      <c r="H179" s="631"/>
      <c r="I179" s="622"/>
      <c r="J179" s="631"/>
      <c r="K179" s="1178"/>
    </row>
    <row r="180" spans="1:11" ht="15.9" customHeight="1" x14ac:dyDescent="0.4">
      <c r="A180" s="679" t="s">
        <v>261</v>
      </c>
      <c r="B180" s="680">
        <f>+B182+B192+B200+B196+B187</f>
        <v>502977272</v>
      </c>
      <c r="C180" s="742">
        <f>SUM(E180+G180+I180+K180)</f>
        <v>1</v>
      </c>
      <c r="D180" s="680">
        <f>+D182+D192+D200+D196+D187</f>
        <v>87780000</v>
      </c>
      <c r="E180" s="742">
        <f>+D180/B180</f>
        <v>0.17452080816884308</v>
      </c>
      <c r="F180" s="680">
        <f>+F182+F192+F200+F196+F187</f>
        <v>0</v>
      </c>
      <c r="G180" s="742">
        <f>F180/B180</f>
        <v>0</v>
      </c>
      <c r="H180" s="680">
        <f>+H182+H192+H200+H196+H187</f>
        <v>413997272</v>
      </c>
      <c r="I180" s="742">
        <f>H180/B180</f>
        <v>0.82309339814463822</v>
      </c>
      <c r="J180" s="680">
        <f>+J182+J192+J200+J196+J187</f>
        <v>1200000</v>
      </c>
      <c r="K180" s="743">
        <f>+J180/B180</f>
        <v>2.3857936865187023E-3</v>
      </c>
    </row>
    <row r="181" spans="1:11" ht="9.9" customHeight="1" x14ac:dyDescent="0.45">
      <c r="A181" s="625"/>
      <c r="B181" s="631"/>
      <c r="C181" s="622"/>
      <c r="D181" s="631"/>
      <c r="E181" s="622"/>
      <c r="F181" s="631"/>
      <c r="G181" s="622"/>
      <c r="H181" s="631"/>
      <c r="I181" s="622"/>
      <c r="J181" s="631"/>
      <c r="K181" s="1178"/>
    </row>
    <row r="182" spans="1:11" ht="15.9" customHeight="1" x14ac:dyDescent="0.45">
      <c r="A182" s="668" t="s">
        <v>336</v>
      </c>
      <c r="B182" s="669">
        <f>SUM(B184:B185)</f>
        <v>441894272</v>
      </c>
      <c r="C182" s="744">
        <f>SUM(E182+G182+I182)</f>
        <v>1</v>
      </c>
      <c r="D182" s="669">
        <f>SUM(D184:D185)</f>
        <v>30000000</v>
      </c>
      <c r="E182" s="744">
        <f>+D182/B182</f>
        <v>6.7889542591762761E-2</v>
      </c>
      <c r="F182" s="669">
        <f>SUM(F184:F185)</f>
        <v>0</v>
      </c>
      <c r="G182" s="744">
        <f>F182/B182</f>
        <v>0</v>
      </c>
      <c r="H182" s="669">
        <f>SUM(H184:H185)</f>
        <v>411894272</v>
      </c>
      <c r="I182" s="744">
        <f>H182/B182</f>
        <v>0.93211045740823728</v>
      </c>
      <c r="J182" s="669">
        <f>SUM(J184:J185)</f>
        <v>0</v>
      </c>
      <c r="K182" s="745">
        <f>+J182/B182</f>
        <v>0</v>
      </c>
    </row>
    <row r="183" spans="1:11" ht="9.9" customHeight="1" x14ac:dyDescent="0.45">
      <c r="A183" s="625"/>
      <c r="B183" s="631"/>
      <c r="C183" s="622"/>
      <c r="D183" s="631"/>
      <c r="E183" s="622"/>
      <c r="F183" s="631"/>
      <c r="G183" s="622"/>
      <c r="H183" s="631"/>
      <c r="I183" s="622"/>
      <c r="J183" s="631"/>
      <c r="K183" s="1178"/>
    </row>
    <row r="184" spans="1:11" ht="15.9" customHeight="1" collapsed="1" x14ac:dyDescent="0.45">
      <c r="A184" s="625" t="s">
        <v>413</v>
      </c>
      <c r="B184" s="673">
        <f>SUM(D184+F184+H184+J184)</f>
        <v>441894272</v>
      </c>
      <c r="C184" s="622">
        <f>SUM(E184+G184+I184+K184)</f>
        <v>1</v>
      </c>
      <c r="D184" s="673">
        <f>SUMIF('PRESUPUESTO 2024'!$B:$B,A184,'PRESUPUESTO 2024'!$R:$R)</f>
        <v>30000000</v>
      </c>
      <c r="E184" s="622">
        <f>+D184/B184</f>
        <v>6.7889542591762761E-2</v>
      </c>
      <c r="F184" s="673">
        <f>SUMIF('PRESUPUESTO 2024'!$B:$B,A184,'PRESUPUESTO 2024'!T:T)</f>
        <v>0</v>
      </c>
      <c r="G184" s="622">
        <f>F184/B184</f>
        <v>0</v>
      </c>
      <c r="H184" s="673">
        <f>SUMIF('PRESUPUESTO 2024'!$B:$B,A184,'PRESUPUESTO 2024'!$AV:$AV)</f>
        <v>411894272</v>
      </c>
      <c r="I184" s="622">
        <f>H184/B184</f>
        <v>0.93211045740823728</v>
      </c>
      <c r="J184" s="673">
        <f>SUMIF('PRESUPUESTO 2024'!$B:$B,A184,'PRESUPUESTO 2024'!$BD:$BD)</f>
        <v>0</v>
      </c>
      <c r="K184" s="1178">
        <f>+J184/B184</f>
        <v>0</v>
      </c>
    </row>
    <row r="185" spans="1:11" ht="15.9" hidden="1" customHeight="1" x14ac:dyDescent="0.45">
      <c r="A185" s="685" t="s">
        <v>59</v>
      </c>
      <c r="B185" s="1241">
        <f>SUM(D185+F185+H185+J185)</f>
        <v>0</v>
      </c>
      <c r="C185" s="635" t="e">
        <f>SUM(E185+G185+I185+K185)</f>
        <v>#DIV/0!</v>
      </c>
      <c r="D185" s="672">
        <v>0</v>
      </c>
      <c r="E185" s="635" t="e">
        <f>+D185/B185</f>
        <v>#DIV/0!</v>
      </c>
      <c r="F185" s="672">
        <v>0</v>
      </c>
      <c r="G185" s="635" t="e">
        <f>F185/B185</f>
        <v>#DIV/0!</v>
      </c>
      <c r="H185" s="672">
        <v>0</v>
      </c>
      <c r="I185" s="635" t="e">
        <f>H185/B185</f>
        <v>#DIV/0!</v>
      </c>
      <c r="J185" s="672">
        <v>0</v>
      </c>
      <c r="K185" s="1226" t="e">
        <f>+J185/B185</f>
        <v>#DIV/0!</v>
      </c>
    </row>
    <row r="186" spans="1:11" ht="9.9" customHeight="1" x14ac:dyDescent="0.45">
      <c r="A186" s="685"/>
      <c r="B186" s="1241"/>
      <c r="C186" s="635"/>
      <c r="D186" s="672"/>
      <c r="E186" s="635"/>
      <c r="F186" s="672"/>
      <c r="G186" s="635"/>
      <c r="H186" s="672"/>
      <c r="I186" s="635"/>
      <c r="J186" s="672"/>
      <c r="K186" s="1226"/>
    </row>
    <row r="187" spans="1:11" ht="15.9" customHeight="1" x14ac:dyDescent="0.45">
      <c r="A187" s="668" t="s">
        <v>806</v>
      </c>
      <c r="B187" s="669">
        <f>SUM(B189:B190)</f>
        <v>7780000</v>
      </c>
      <c r="C187" s="744">
        <f>SUM(E187+G187+I187)</f>
        <v>1</v>
      </c>
      <c r="D187" s="669">
        <f>SUM(D189:D190)</f>
        <v>7780000</v>
      </c>
      <c r="E187" s="744">
        <f>+D187/B187</f>
        <v>1</v>
      </c>
      <c r="F187" s="669">
        <f>SUM(F189:F190)</f>
        <v>0</v>
      </c>
      <c r="G187" s="744">
        <f>F187/B187</f>
        <v>0</v>
      </c>
      <c r="H187" s="669">
        <f>SUM(H189:H190)</f>
        <v>0</v>
      </c>
      <c r="I187" s="744">
        <f>H187/B187</f>
        <v>0</v>
      </c>
      <c r="J187" s="669">
        <f>SUM(J189:J190)</f>
        <v>0</v>
      </c>
      <c r="K187" s="745">
        <f>+J187/B187</f>
        <v>0</v>
      </c>
    </row>
    <row r="188" spans="1:11" ht="9.9" customHeight="1" x14ac:dyDescent="0.45">
      <c r="A188" s="625"/>
      <c r="B188" s="631"/>
      <c r="C188" s="622"/>
      <c r="D188" s="631"/>
      <c r="E188" s="622"/>
      <c r="F188" s="631"/>
      <c r="G188" s="622"/>
      <c r="H188" s="631"/>
      <c r="I188" s="622"/>
      <c r="J188" s="631"/>
      <c r="K188" s="1178"/>
    </row>
    <row r="189" spans="1:11" ht="15.9" customHeight="1" collapsed="1" x14ac:dyDescent="0.45">
      <c r="A189" s="625" t="s">
        <v>810</v>
      </c>
      <c r="B189" s="673">
        <f>SUM(D189+F189+H189+J189)</f>
        <v>7780000</v>
      </c>
      <c r="C189" s="622">
        <f>SUM(E189+G189+I189+K189)</f>
        <v>1</v>
      </c>
      <c r="D189" s="673">
        <f>SUMIF('PRESUPUESTO 2024'!$B:$B,A189,'PRESUPUESTO 2024'!$R:$R)</f>
        <v>7780000</v>
      </c>
      <c r="E189" s="622">
        <f>+D189/B189</f>
        <v>1</v>
      </c>
      <c r="F189" s="673">
        <f>SUMIF('PRESUPUESTO 2024'!$B:$B,A189,'PRESUPUESTO 2024'!T:T)</f>
        <v>0</v>
      </c>
      <c r="G189" s="622">
        <f>F189/B189</f>
        <v>0</v>
      </c>
      <c r="H189" s="673">
        <f>SUMIF('PRESUPUESTO 2024'!$B:$B,A189,'PRESUPUESTO 2024'!$AV:$AV)</f>
        <v>0</v>
      </c>
      <c r="I189" s="622">
        <f>H189/B189</f>
        <v>0</v>
      </c>
      <c r="J189" s="673">
        <f>SUMIF('PRESUPUESTO 2024'!$B:$B,A189,'PRESUPUESTO 2024'!$BD:$BD)</f>
        <v>0</v>
      </c>
      <c r="K189" s="1178">
        <f>+J189/B189</f>
        <v>0</v>
      </c>
    </row>
    <row r="190" spans="1:11" ht="9.9" customHeight="1" x14ac:dyDescent="0.45">
      <c r="A190" s="685"/>
      <c r="B190" s="1241"/>
      <c r="C190" s="635"/>
      <c r="D190" s="672"/>
      <c r="E190" s="635"/>
      <c r="F190" s="672"/>
      <c r="G190" s="635"/>
      <c r="H190" s="672"/>
      <c r="I190" s="635"/>
      <c r="J190" s="672"/>
      <c r="K190" s="1226"/>
    </row>
    <row r="191" spans="1:11" ht="9.9" customHeight="1" x14ac:dyDescent="0.45">
      <c r="A191" s="685"/>
      <c r="B191" s="672"/>
      <c r="C191" s="635"/>
      <c r="D191" s="672"/>
      <c r="E191" s="635"/>
      <c r="F191" s="672"/>
      <c r="G191" s="635"/>
      <c r="H191" s="672"/>
      <c r="I191" s="635"/>
      <c r="J191" s="672"/>
      <c r="K191" s="1226"/>
    </row>
    <row r="192" spans="1:11" ht="15.9" customHeight="1" x14ac:dyDescent="0.45">
      <c r="A192" s="668" t="s">
        <v>265</v>
      </c>
      <c r="B192" s="669">
        <f>SUM(B194)</f>
        <v>52103000</v>
      </c>
      <c r="C192" s="744">
        <f>SUM(E192+G192+I192)</f>
        <v>1</v>
      </c>
      <c r="D192" s="669">
        <f>SUM(D194)</f>
        <v>50000000</v>
      </c>
      <c r="E192" s="744">
        <f>+D192/B192</f>
        <v>0.95963764082682379</v>
      </c>
      <c r="F192" s="669">
        <f>SUM(F194)</f>
        <v>0</v>
      </c>
      <c r="G192" s="744">
        <f>F192/B192</f>
        <v>0</v>
      </c>
      <c r="H192" s="669">
        <f>SUM(H194)</f>
        <v>2103000</v>
      </c>
      <c r="I192" s="744">
        <f>H192/B192</f>
        <v>4.036235917317621E-2</v>
      </c>
      <c r="J192" s="669">
        <f>SUM(J194)</f>
        <v>0</v>
      </c>
      <c r="K192" s="745">
        <f>+J192/B192</f>
        <v>0</v>
      </c>
    </row>
    <row r="193" spans="1:11" ht="9.9" customHeight="1" collapsed="1" x14ac:dyDescent="0.45">
      <c r="A193" s="625"/>
      <c r="B193" s="631"/>
      <c r="C193" s="622"/>
      <c r="D193" s="631"/>
      <c r="E193" s="622"/>
      <c r="F193" s="631"/>
      <c r="G193" s="622"/>
      <c r="H193" s="631"/>
      <c r="I193" s="622"/>
      <c r="J193" s="631"/>
      <c r="K193" s="1178"/>
    </row>
    <row r="194" spans="1:11" ht="15.9" customHeight="1" x14ac:dyDescent="0.45">
      <c r="A194" s="625" t="s">
        <v>36</v>
      </c>
      <c r="B194" s="673">
        <f>SUM(D194+F194+H194+J194)</f>
        <v>52103000</v>
      </c>
      <c r="C194" s="622">
        <f>SUM(E194+G194+I194+K194)</f>
        <v>1</v>
      </c>
      <c r="D194" s="673">
        <f>SUMIF('PRESUPUESTO 2024'!$B:$B,A194,'PRESUPUESTO 2024'!$R:$R)</f>
        <v>50000000</v>
      </c>
      <c r="E194" s="622">
        <f>+D194/B194</f>
        <v>0.95963764082682379</v>
      </c>
      <c r="F194" s="673">
        <f>SUMIF('PRESUPUESTO 2024'!$B:$B,A194,'PRESUPUESTO 2024'!T:T)</f>
        <v>0</v>
      </c>
      <c r="G194" s="622">
        <f>F194/B194</f>
        <v>0</v>
      </c>
      <c r="H194" s="673">
        <f>SUMIF('PRESUPUESTO 2024'!$B:$B,A194,'PRESUPUESTO 2024'!$AV:$AV)</f>
        <v>2103000</v>
      </c>
      <c r="I194" s="622">
        <f>H194/B194</f>
        <v>4.036235917317621E-2</v>
      </c>
      <c r="J194" s="673">
        <f>SUMIF('PRESUPUESTO 2024'!$B:$B,A194,'PRESUPUESTO 2024'!$BD:$BD)</f>
        <v>0</v>
      </c>
      <c r="K194" s="1178">
        <f>+J194/B194</f>
        <v>0</v>
      </c>
    </row>
    <row r="195" spans="1:11" ht="15.9" hidden="1" customHeight="1" x14ac:dyDescent="0.45">
      <c r="A195" s="625"/>
      <c r="B195" s="631"/>
      <c r="C195" s="622"/>
      <c r="D195" s="631"/>
      <c r="E195" s="622"/>
      <c r="F195" s="631"/>
      <c r="G195" s="622"/>
      <c r="H195" s="631"/>
      <c r="I195" s="622"/>
      <c r="J195" s="631"/>
      <c r="K195" s="1178"/>
    </row>
    <row r="196" spans="1:11" ht="15.9" hidden="1" customHeight="1" x14ac:dyDescent="0.45">
      <c r="A196" s="668" t="s">
        <v>384</v>
      </c>
      <c r="B196" s="669">
        <f>SUM(B198)</f>
        <v>0</v>
      </c>
      <c r="C196" s="744" t="e">
        <f>SUM(E196+G196+I196)</f>
        <v>#DIV/0!</v>
      </c>
      <c r="D196" s="669">
        <f>SUM(D198)</f>
        <v>0</v>
      </c>
      <c r="E196" s="744" t="e">
        <f>+D196/B196</f>
        <v>#DIV/0!</v>
      </c>
      <c r="F196" s="669">
        <f>SUM(F198)</f>
        <v>0</v>
      </c>
      <c r="G196" s="744" t="e">
        <f>F196/B196</f>
        <v>#DIV/0!</v>
      </c>
      <c r="H196" s="669">
        <f>SUM(H198)</f>
        <v>0</v>
      </c>
      <c r="I196" s="744" t="e">
        <f>H196/B196</f>
        <v>#DIV/0!</v>
      </c>
      <c r="J196" s="669">
        <f>SUM(J198)</f>
        <v>0</v>
      </c>
      <c r="K196" s="745">
        <v>0</v>
      </c>
    </row>
    <row r="197" spans="1:11" ht="15.9" hidden="1" customHeight="1" x14ac:dyDescent="0.45">
      <c r="A197" s="625"/>
      <c r="B197" s="631"/>
      <c r="C197" s="622"/>
      <c r="D197" s="631"/>
      <c r="E197" s="622"/>
      <c r="F197" s="631"/>
      <c r="G197" s="622"/>
      <c r="H197" s="631"/>
      <c r="I197" s="622"/>
      <c r="J197" s="631"/>
      <c r="K197" s="1178"/>
    </row>
    <row r="198" spans="1:11" ht="15.9" hidden="1" customHeight="1" x14ac:dyDescent="0.45">
      <c r="A198" s="625" t="s">
        <v>385</v>
      </c>
      <c r="B198" s="673">
        <f>SUM(D198+F198+H198+J198)</f>
        <v>0</v>
      </c>
      <c r="C198" s="622" t="e">
        <f>SUM(E198+G198+I198+K198)</f>
        <v>#DIV/0!</v>
      </c>
      <c r="D198" s="631">
        <v>0</v>
      </c>
      <c r="E198" s="622" t="e">
        <f>+D198/B198</f>
        <v>#DIV/0!</v>
      </c>
      <c r="F198" s="631">
        <v>0</v>
      </c>
      <c r="G198" s="622" t="e">
        <f>F198/B198</f>
        <v>#DIV/0!</v>
      </c>
      <c r="H198" s="631">
        <v>0</v>
      </c>
      <c r="I198" s="622" t="e">
        <f>H198/B198</f>
        <v>#DIV/0!</v>
      </c>
      <c r="J198" s="631">
        <v>0</v>
      </c>
      <c r="K198" s="1178" t="e">
        <f>+J198/B198</f>
        <v>#DIV/0!</v>
      </c>
    </row>
    <row r="199" spans="1:11" ht="9.9" customHeight="1" x14ac:dyDescent="0.45">
      <c r="A199" s="625"/>
      <c r="B199" s="631"/>
      <c r="C199" s="622"/>
      <c r="D199" s="631"/>
      <c r="E199" s="622"/>
      <c r="F199" s="631"/>
      <c r="G199" s="622"/>
      <c r="H199" s="631"/>
      <c r="I199" s="622"/>
      <c r="J199" s="631"/>
      <c r="K199" s="1178"/>
    </row>
    <row r="200" spans="1:11" ht="15.9" customHeight="1" x14ac:dyDescent="0.45">
      <c r="A200" s="668" t="s">
        <v>335</v>
      </c>
      <c r="B200" s="669">
        <f>SUM(B202:B203)</f>
        <v>1200000</v>
      </c>
      <c r="C200" s="1205">
        <f>SUM(E200+G200+I200+K200)</f>
        <v>1</v>
      </c>
      <c r="D200" s="669">
        <f>SUM(D202:D203)</f>
        <v>0</v>
      </c>
      <c r="E200" s="1205">
        <f>+D200/B200</f>
        <v>0</v>
      </c>
      <c r="F200" s="669">
        <f>SUM(F202:F203)</f>
        <v>0</v>
      </c>
      <c r="G200" s="1205">
        <f>F200/B200</f>
        <v>0</v>
      </c>
      <c r="H200" s="669">
        <f>SUM(H202:H203)</f>
        <v>0</v>
      </c>
      <c r="I200" s="1205">
        <f>H200/B200</f>
        <v>0</v>
      </c>
      <c r="J200" s="669">
        <f>SUM(J202:J203)</f>
        <v>1200000</v>
      </c>
      <c r="K200" s="745">
        <f>+J200/B200</f>
        <v>1</v>
      </c>
    </row>
    <row r="201" spans="1:11" ht="9.9" customHeight="1" x14ac:dyDescent="0.45">
      <c r="A201" s="625"/>
      <c r="B201" s="631"/>
      <c r="C201" s="622"/>
      <c r="D201" s="631"/>
      <c r="E201" s="622"/>
      <c r="F201" s="631"/>
      <c r="G201" s="622"/>
      <c r="H201" s="631"/>
      <c r="I201" s="622"/>
      <c r="J201" s="631"/>
      <c r="K201" s="1178"/>
    </row>
    <row r="202" spans="1:11" ht="15.9" customHeight="1" x14ac:dyDescent="0.45">
      <c r="A202" s="447" t="s">
        <v>1234</v>
      </c>
      <c r="B202" s="673">
        <f>SUM(D202+F202+H202+J202)</f>
        <v>1200000</v>
      </c>
      <c r="C202" s="622">
        <f>SUM(E202+G202+I202+K202)</f>
        <v>1</v>
      </c>
      <c r="D202" s="673">
        <f>SUMIF('PRESUPUESTO 2024'!$B:$B,A202,'PRESUPUESTO 2024'!$R:$R)</f>
        <v>0</v>
      </c>
      <c r="E202" s="622">
        <f>+D202/B202</f>
        <v>0</v>
      </c>
      <c r="F202" s="673">
        <f>SUMIF('PRESUPUESTO 2024'!$B:$B,A202,'PRESUPUESTO 2024'!T:T)</f>
        <v>0</v>
      </c>
      <c r="G202" s="622">
        <f>F202/B202</f>
        <v>0</v>
      </c>
      <c r="H202" s="673">
        <f>SUMIF('PRESUPUESTO 2024'!$B:$B,A202,'PRESUPUESTO 2024'!$AV:$AV)</f>
        <v>0</v>
      </c>
      <c r="I202" s="622">
        <f>H202/B202</f>
        <v>0</v>
      </c>
      <c r="J202" s="673">
        <f>SUMIF('PRESUPUESTO 2024'!$B:$B,A202,'PRESUPUESTO 2024'!$BD:$BD)</f>
        <v>1200000</v>
      </c>
      <c r="K202" s="1178">
        <f>+J202/B202</f>
        <v>1</v>
      </c>
    </row>
    <row r="203" spans="1:11" ht="13.95" hidden="1" customHeight="1" x14ac:dyDescent="0.45">
      <c r="A203" s="447" t="s">
        <v>59</v>
      </c>
      <c r="B203" s="673">
        <f>SUM(D203+F203+H203+J203)</f>
        <v>0</v>
      </c>
      <c r="C203" s="622" t="e">
        <f>SUM(E203+G203+I203+K203)</f>
        <v>#DIV/0!</v>
      </c>
      <c r="D203" s="631">
        <v>0</v>
      </c>
      <c r="E203" s="622" t="e">
        <f>+D203/B203</f>
        <v>#DIV/0!</v>
      </c>
      <c r="F203" s="631">
        <v>0</v>
      </c>
      <c r="G203" s="622" t="e">
        <f>F203/B203</f>
        <v>#DIV/0!</v>
      </c>
      <c r="H203" s="631">
        <v>0</v>
      </c>
      <c r="I203" s="622" t="e">
        <f>H203/B203</f>
        <v>#DIV/0!</v>
      </c>
      <c r="J203" s="631">
        <v>0</v>
      </c>
      <c r="K203" s="1178" t="e">
        <f>+J203/B203</f>
        <v>#DIV/0!</v>
      </c>
    </row>
    <row r="204" spans="1:11" ht="21" hidden="1" customHeight="1" x14ac:dyDescent="0.45">
      <c r="A204" s="670"/>
      <c r="B204" s="631"/>
      <c r="C204" s="622"/>
      <c r="D204" s="631"/>
      <c r="E204" s="622"/>
      <c r="F204" s="631"/>
      <c r="G204" s="622"/>
      <c r="H204" s="631"/>
      <c r="I204" s="622"/>
      <c r="J204" s="631"/>
      <c r="K204" s="1178"/>
    </row>
    <row r="205" spans="1:11" ht="17.399999999999999" hidden="1" x14ac:dyDescent="0.4">
      <c r="A205" s="679" t="s">
        <v>58</v>
      </c>
      <c r="B205" s="680">
        <f>+B207</f>
        <v>0</v>
      </c>
      <c r="C205" s="742" t="e">
        <f>SUM(E205+G205+I205)</f>
        <v>#DIV/0!</v>
      </c>
      <c r="D205" s="680">
        <f>+D207</f>
        <v>0</v>
      </c>
      <c r="E205" s="742" t="e">
        <f>+D205/B205</f>
        <v>#DIV/0!</v>
      </c>
      <c r="F205" s="680">
        <f>+F207</f>
        <v>0</v>
      </c>
      <c r="G205" s="742" t="e">
        <f>F205/B205</f>
        <v>#DIV/0!</v>
      </c>
      <c r="H205" s="680">
        <f>+H207</f>
        <v>0</v>
      </c>
      <c r="I205" s="742" t="e">
        <f>H205/B205</f>
        <v>#DIV/0!</v>
      </c>
      <c r="J205" s="680">
        <f>+J207</f>
        <v>0</v>
      </c>
      <c r="K205" s="743" t="e">
        <f>+J205/B205</f>
        <v>#DIV/0!</v>
      </c>
    </row>
    <row r="206" spans="1:11" ht="17.399999999999999" hidden="1" outlineLevel="1" x14ac:dyDescent="0.45">
      <c r="A206" s="625"/>
      <c r="B206" s="631"/>
      <c r="C206" s="622"/>
      <c r="D206" s="631"/>
      <c r="E206" s="622"/>
      <c r="F206" s="631"/>
      <c r="G206" s="622"/>
      <c r="H206" s="631"/>
      <c r="I206" s="622"/>
      <c r="J206" s="631"/>
      <c r="K206" s="1178"/>
    </row>
    <row r="207" spans="1:11" ht="17.399999999999999" hidden="1" collapsed="1" x14ac:dyDescent="0.45">
      <c r="A207" s="668" t="s">
        <v>334</v>
      </c>
      <c r="B207" s="669">
        <f>SUM(B209:B210)</f>
        <v>0</v>
      </c>
      <c r="C207" s="744" t="e">
        <f>SUM(E207+G207+I207)</f>
        <v>#DIV/0!</v>
      </c>
      <c r="D207" s="669">
        <f>SUM(D209:D210)</f>
        <v>0</v>
      </c>
      <c r="E207" s="744" t="e">
        <f>+D207/B207</f>
        <v>#DIV/0!</v>
      </c>
      <c r="F207" s="669">
        <f>SUM(F209:F210)</f>
        <v>0</v>
      </c>
      <c r="G207" s="744" t="e">
        <f>F207/B207</f>
        <v>#DIV/0!</v>
      </c>
      <c r="H207" s="669">
        <f>SUM(H209:H210)</f>
        <v>0</v>
      </c>
      <c r="I207" s="744" t="e">
        <f>H207/B207</f>
        <v>#DIV/0!</v>
      </c>
      <c r="J207" s="669">
        <f>SUM(J209:J210)</f>
        <v>0</v>
      </c>
      <c r="K207" s="745" t="e">
        <f>+J207/B207</f>
        <v>#DIV/0!</v>
      </c>
    </row>
    <row r="208" spans="1:11" ht="17.399999999999999" hidden="1" collapsed="1" x14ac:dyDescent="0.45">
      <c r="A208" s="625"/>
      <c r="B208" s="631"/>
      <c r="C208" s="622"/>
      <c r="D208" s="631"/>
      <c r="E208" s="622"/>
      <c r="F208" s="631"/>
      <c r="G208" s="622"/>
      <c r="H208" s="631"/>
      <c r="I208" s="622"/>
      <c r="J208" s="631"/>
      <c r="K208" s="1178"/>
    </row>
    <row r="209" spans="1:11" ht="17.399999999999999" hidden="1" outlineLevel="1" x14ac:dyDescent="0.45">
      <c r="A209" s="625" t="s">
        <v>60</v>
      </c>
      <c r="B209" s="673">
        <f>SUM(D209+F209+H209+J209)</f>
        <v>0</v>
      </c>
      <c r="C209" s="622" t="e">
        <f>SUM(E209+G209+I209)</f>
        <v>#DIV/0!</v>
      </c>
      <c r="D209" s="631">
        <v>0</v>
      </c>
      <c r="E209" s="622" t="e">
        <f>+D209/B209</f>
        <v>#DIV/0!</v>
      </c>
      <c r="F209" s="631">
        <f>+[1]EGRESOS!F198</f>
        <v>0</v>
      </c>
      <c r="G209" s="622" t="e">
        <f>F209/B209</f>
        <v>#DIV/0!</v>
      </c>
      <c r="H209" s="631">
        <v>0</v>
      </c>
      <c r="I209" s="622" t="e">
        <f>H209/B209</f>
        <v>#DIV/0!</v>
      </c>
      <c r="J209" s="631">
        <v>0</v>
      </c>
      <c r="K209" s="1178" t="e">
        <f>+J209/B209</f>
        <v>#DIV/0!</v>
      </c>
    </row>
    <row r="210" spans="1:11" ht="17.399999999999999" hidden="1" collapsed="1" x14ac:dyDescent="0.45">
      <c r="A210" s="670" t="s">
        <v>333</v>
      </c>
      <c r="B210" s="673">
        <f>SUM(D210+F210+H210+J210)</f>
        <v>0</v>
      </c>
      <c r="C210" s="622" t="e">
        <f>SUM(E210+G210+I210)</f>
        <v>#DIV/0!</v>
      </c>
      <c r="D210" s="631">
        <v>0</v>
      </c>
      <c r="E210" s="622" t="e">
        <f>+D210/B210</f>
        <v>#DIV/0!</v>
      </c>
      <c r="F210" s="631">
        <v>0</v>
      </c>
      <c r="G210" s="622" t="e">
        <f>F210/B210</f>
        <v>#DIV/0!</v>
      </c>
      <c r="H210" s="631">
        <v>0</v>
      </c>
      <c r="I210" s="622" t="e">
        <f>H210/B210</f>
        <v>#DIV/0!</v>
      </c>
      <c r="J210" s="631">
        <v>0</v>
      </c>
      <c r="K210" s="1178" t="e">
        <f>+J210/B210</f>
        <v>#DIV/0!</v>
      </c>
    </row>
    <row r="211" spans="1:11" ht="9.9" customHeight="1" thickBot="1" x14ac:dyDescent="0.5">
      <c r="A211" s="670"/>
      <c r="B211" s="673"/>
      <c r="C211" s="622"/>
      <c r="D211" s="631"/>
      <c r="E211" s="622"/>
      <c r="F211" s="631"/>
      <c r="G211" s="622"/>
      <c r="H211" s="631"/>
      <c r="I211" s="622"/>
      <c r="J211" s="631"/>
      <c r="K211" s="1178"/>
    </row>
    <row r="212" spans="1:11" ht="24" customHeight="1" thickBot="1" x14ac:dyDescent="0.45">
      <c r="A212" s="686" t="s">
        <v>21</v>
      </c>
      <c r="B212" s="687">
        <f>+B205+B180+B157+B112+B36+B13+B151</f>
        <v>15002038951.449999</v>
      </c>
      <c r="C212" s="1206">
        <f>E212+G212+I212+K212</f>
        <v>1</v>
      </c>
      <c r="D212" s="687">
        <f>+D205+D180+D157+D112+D36+D13+D151</f>
        <v>6408011684.6499996</v>
      </c>
      <c r="E212" s="1206">
        <f>+D212/B212</f>
        <v>0.42714271742579651</v>
      </c>
      <c r="F212" s="687">
        <f>+F205+F180+F157+F112+F36+F13+F151</f>
        <v>552019300</v>
      </c>
      <c r="G212" s="1206">
        <f>F212/B212</f>
        <v>3.6796284944097243E-2</v>
      </c>
      <c r="H212" s="687">
        <f>+H205+H180+H157+H112+H36+H13+H151</f>
        <v>7480498366.8000002</v>
      </c>
      <c r="I212" s="1206">
        <f>H212/B212</f>
        <v>0.49863211200881358</v>
      </c>
      <c r="J212" s="687">
        <f>+J205+J180+J157+J112+J36+J13+J151</f>
        <v>561509600</v>
      </c>
      <c r="K212" s="1231">
        <f>+J212/B212</f>
        <v>3.7428885621292707E-2</v>
      </c>
    </row>
    <row r="213" spans="1:11" ht="9.9" customHeight="1" thickBot="1" x14ac:dyDescent="0.5">
      <c r="A213" s="457"/>
      <c r="B213" s="1244"/>
      <c r="C213" s="651"/>
      <c r="D213" s="1244"/>
      <c r="E213" s="1213"/>
      <c r="F213" s="1244"/>
      <c r="G213" s="1216"/>
      <c r="H213" s="1244"/>
      <c r="I213" s="1216"/>
      <c r="J213" s="1244"/>
      <c r="K213" s="1232"/>
    </row>
    <row r="214" spans="1:11" ht="18" thickBot="1" x14ac:dyDescent="0.5">
      <c r="A214" s="688"/>
      <c r="B214" s="1245"/>
      <c r="C214" s="1207"/>
      <c r="D214" s="1245"/>
      <c r="E214" s="1214"/>
      <c r="F214" s="1245"/>
      <c r="G214" s="1214"/>
      <c r="H214" s="1245"/>
      <c r="I214" s="1214"/>
      <c r="J214" s="1245"/>
      <c r="K214" s="1233"/>
    </row>
    <row r="215" spans="1:11" ht="15.6" thickTop="1" x14ac:dyDescent="0.4"/>
    <row r="216" spans="1:11" x14ac:dyDescent="0.4">
      <c r="B216" s="1234" t="s">
        <v>382</v>
      </c>
    </row>
    <row r="218" spans="1:11" x14ac:dyDescent="0.4">
      <c r="B218" s="753"/>
      <c r="C218" s="1208"/>
      <c r="D218" s="753"/>
      <c r="E218" s="1208"/>
      <c r="F218" s="753"/>
      <c r="G218" s="1208"/>
      <c r="H218" s="753"/>
      <c r="I218" s="1208"/>
      <c r="J218" s="753"/>
    </row>
  </sheetData>
  <mergeCells count="6">
    <mergeCell ref="B10:B11"/>
    <mergeCell ref="A8:K8"/>
    <mergeCell ref="A3:K3"/>
    <mergeCell ref="A4:I4"/>
    <mergeCell ref="A6:K6"/>
    <mergeCell ref="A7:K7"/>
  </mergeCells>
  <phoneticPr fontId="0" type="noConversion"/>
  <printOptions horizontalCentered="1"/>
  <pageMargins left="0.39370078740157483" right="0.39370078740157483" top="0.57999999999999996" bottom="0.64" header="0.59055118110236227" footer="0.41"/>
  <pageSetup scale="54" firstPageNumber="6" orientation="landscape" useFirstPageNumber="1" r:id="rId1"/>
  <headerFooter alignWithMargins="0">
    <oddFooter>&amp;C&amp;"Tw Cen MT,Normal"&amp;P</oddFooter>
  </headerFooter>
  <ignoredErrors>
    <ignoredError sqref="C13:G15 C211:G211 C210 I210 C196:E197 C194 E194 C195 E195 C71 C69 G69 C70 K70 C73:E75 C72 K72 E72 C35:G35 C18 E18 C17 C16 E16 C19:C34 E19:E24 E17 C44:E46 C41 E40:E43 C52:E54 C47:C51 E47:E51 C61:E64 C55:C60 E55:E60 E71 E69 E70 C65:C68 E65:E68 C80:E82 C76:C79 E76:E79 C84:E86 C83 E83 C90:E92 C87:C89 E87:E89 C101:E103 C93:C99 E93:E99 C105:E107 C104 E104 C111:E115 C109:C110 E109:E110 C120:E122 C116:C118 E116:E118 C124:E126 C123 E123 C100 E100 C108 E108 C119 E119 C133:E135 C127 E127 C128:C132 E128:E132 C138:E140 C136 E136 C137 E137 D156:E160 C141 E141 C142:C149 E142:E149 D169:E171 E161 E162:E168 D174:E174 E172 E173 C182:E183 C191:E193 C184 E184 C185 E185 C199:E199 C198 E198 C204:E208 C202 E202 C203 E203 G18 G16 G19:G24 G17 G210 G196:G197 G194 G195 G73:G75 G72 C36:E39 G36:G39 G44:G46 G40:G43 G52:G54 G47:G51 G61:G64 G55:G60 G71 G70 G65:G68 G80:G82 G76:G79 G84:G86 G83 G90:G92 G87:G89 G101:G103 G93:G99 G105:G107 G104 G111:G115 G109:G110 G120:G122 G116:G118 G124:G126 G123 G100 G108 G119 G133:G135 G127 G128:G132 G138:G140 G136 G137 G156:G160 G141 G142:G149 G169:G171 G161 G162:G168 G174 G172 G173 G182:G183 G191:G193 G184 G185 G199:G201 G198 G204:G209 G202 G203 E210 C209 E209 I13:I15 I211:K211 I69 I35 I18 I16 I19:I24 I17 I196:I197 I194 I195 I73:I75 I72 I36:I39 I44:I46 I40:I43 I52:I54 I47:I51 I61:I64 I55:I60 I71 I70 I65:I68 I80:I82 I76:I79 I84:I86 I83 I90:I92 I87:I89 I101:I103 I93:I99 I105:I107 I104 I111:I115 I109:I110 I120:I122 I116:I118 I124:I126 I123 I100 I108 I119 I133:I135 I127 I128:I132 I138:I140 I136 I137 I156:I160 I141 I142:I149 I169:I171 I161 I162:I168 I174 I172 I173 I182:I183 I191:I193 I184 I185 I199:I201 I198 I204:I209 I202 I203 K210 K13:K15 K69 K35 K18 K16 K19:K34 K17 K197 K194 K195 K73:K75 K36:K39 K44:K46 K40:K43 K52:K54 K47:K51 K61:K64 K55:K60 K71 K65:K68 K80:K82 K76:K79 K84:K86 K83 K90:K92 K87:K89 K101:K103 K93:K99 K105:K107 K104 K111:K115 K109:K110 K120:K122 K116:K118 K124:K126 K123 K100 K108 K119 K133:K135 K127 K128:K132 K138:K140 K136 K137 K156:K160 K141 K142:K149 K169:K171 K161 K162:K168 K174 K172 K173 K178:K183 K191:K193 K184 K185 K199:K201 K198 K204:K209 K202 K203 D176 D175 K176 C200:E201 C179:D179 I176 G176 E176 I177 I178:I181 G177 G178:G181 E177 E178:E181 E175:J175 F178:F179 H178:H179 J178:J179 F176 H176 J176 C212 G212 C181:D181 C180 F181 H181 J181 E212 I212 K212 C178 C175 C176 C177 C173 C172 C174 C162:C168 C161 C169:C171 C156:C160 C151:C155 E26:E34 G26:G34 I26:I34 E151:I155 C187:J187" formula="1"/>
    <ignoredError sqref="H25:J25 F25:G25 D25:E25" formula="1"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8"/>
  <dimension ref="A3:K215"/>
  <sheetViews>
    <sheetView showGridLines="0" topLeftCell="A133" zoomScale="80" zoomScaleNormal="80" workbookViewId="0">
      <selection activeCell="E62" sqref="E62"/>
    </sheetView>
  </sheetViews>
  <sheetFormatPr baseColWidth="10" defaultColWidth="11.44140625" defaultRowHeight="15" outlineLevelRow="2" x14ac:dyDescent="0.4"/>
  <cols>
    <col min="1" max="1" width="62" style="434" customWidth="1"/>
    <col min="2" max="2" width="17.109375" style="753" bestFit="1" customWidth="1"/>
    <col min="3" max="3" width="7.6640625" style="596" customWidth="1"/>
    <col min="4" max="4" width="16.6640625" style="753" customWidth="1"/>
    <col min="5" max="5" width="8.6640625" style="1155" bestFit="1" customWidth="1"/>
    <col min="6" max="6" width="16.88671875" style="753" customWidth="1"/>
    <col min="7" max="7" width="8.109375" style="1155" customWidth="1"/>
    <col min="8" max="8" width="18.33203125" style="753" bestFit="1" customWidth="1"/>
    <col min="9" max="9" width="8.5546875" style="1155" customWidth="1"/>
    <col min="10" max="10" width="15.6640625" style="753" customWidth="1"/>
    <col min="11" max="11" width="10.5546875" style="1155" bestFit="1" customWidth="1"/>
    <col min="12" max="16384" width="11.44140625" style="434"/>
  </cols>
  <sheetData>
    <row r="3" spans="1:11" ht="17.399999999999999" x14ac:dyDescent="0.45">
      <c r="A3" s="1500" t="s">
        <v>0</v>
      </c>
      <c r="B3" s="1500"/>
      <c r="C3" s="1500"/>
      <c r="D3" s="1500"/>
      <c r="E3" s="1500"/>
      <c r="F3" s="1500"/>
      <c r="G3" s="1500"/>
      <c r="H3" s="1500"/>
      <c r="I3" s="1500"/>
      <c r="J3" s="1500"/>
      <c r="K3" s="1500"/>
    </row>
    <row r="4" spans="1:11" ht="16.8" thickBot="1" x14ac:dyDescent="0.45">
      <c r="A4" s="689"/>
      <c r="B4" s="1183"/>
      <c r="C4" s="1132"/>
      <c r="D4" s="1183"/>
      <c r="E4" s="1132"/>
      <c r="F4" s="1183"/>
      <c r="G4" s="1132"/>
      <c r="H4" s="1183"/>
      <c r="I4" s="1132"/>
      <c r="J4" s="1192"/>
      <c r="K4" s="942"/>
    </row>
    <row r="5" spans="1:11" ht="6.75" customHeight="1" thickTop="1" x14ac:dyDescent="0.4">
      <c r="A5" s="690"/>
      <c r="B5" s="1184"/>
      <c r="C5" s="692"/>
      <c r="D5" s="1184"/>
      <c r="E5" s="1129"/>
      <c r="F5" s="1184"/>
      <c r="G5" s="1129"/>
      <c r="H5" s="1184"/>
      <c r="I5" s="1129"/>
    </row>
    <row r="6" spans="1:11" ht="17.399999999999999" x14ac:dyDescent="0.45">
      <c r="A6" s="1500" t="s">
        <v>1276</v>
      </c>
      <c r="B6" s="1500"/>
      <c r="C6" s="1500"/>
      <c r="D6" s="1500"/>
      <c r="E6" s="1500"/>
      <c r="F6" s="1500"/>
      <c r="G6" s="1500"/>
      <c r="H6" s="1500"/>
      <c r="I6" s="1500"/>
      <c r="J6" s="1500"/>
      <c r="K6" s="1500"/>
    </row>
    <row r="7" spans="1:11" ht="16.2" x14ac:dyDescent="0.4">
      <c r="A7" s="1501" t="s">
        <v>40</v>
      </c>
      <c r="B7" s="1501"/>
      <c r="C7" s="1501"/>
      <c r="D7" s="1501"/>
      <c r="E7" s="1501"/>
      <c r="F7" s="1501"/>
      <c r="G7" s="1501"/>
      <c r="H7" s="1501"/>
      <c r="I7" s="1501"/>
      <c r="J7" s="1501"/>
      <c r="K7" s="1501"/>
    </row>
    <row r="8" spans="1:11" ht="18.600000000000001" x14ac:dyDescent="0.45">
      <c r="A8" s="1497" t="s">
        <v>15</v>
      </c>
      <c r="B8" s="1497"/>
      <c r="C8" s="1497"/>
      <c r="D8" s="1497"/>
      <c r="E8" s="1497"/>
      <c r="F8" s="1497"/>
      <c r="G8" s="1497"/>
      <c r="H8" s="1497"/>
      <c r="I8" s="1497"/>
      <c r="J8" s="1497"/>
      <c r="K8" s="1497"/>
    </row>
    <row r="9" spans="1:11" ht="6.75" customHeight="1" thickBot="1" x14ac:dyDescent="0.45">
      <c r="A9" s="362"/>
      <c r="B9" s="1185"/>
      <c r="C9" s="693"/>
      <c r="D9" s="1185"/>
      <c r="E9" s="1111"/>
      <c r="F9" s="1185"/>
      <c r="G9" s="1111"/>
      <c r="H9" s="1185"/>
      <c r="I9" s="1111"/>
    </row>
    <row r="10" spans="1:11" ht="16.2" x14ac:dyDescent="0.4">
      <c r="A10" s="694"/>
      <c r="B10" s="695"/>
      <c r="C10" s="696"/>
      <c r="D10" s="1249" t="s">
        <v>27</v>
      </c>
      <c r="E10" s="1145"/>
      <c r="F10" s="695" t="s">
        <v>28</v>
      </c>
      <c r="G10" s="1145"/>
      <c r="H10" s="695" t="s">
        <v>29</v>
      </c>
      <c r="I10" s="1145"/>
      <c r="J10" s="697" t="s">
        <v>361</v>
      </c>
      <c r="K10" s="1166"/>
    </row>
    <row r="11" spans="1:11" ht="21.75" customHeight="1" x14ac:dyDescent="0.4">
      <c r="A11" s="698" t="s">
        <v>51</v>
      </c>
      <c r="B11" s="699" t="s">
        <v>31</v>
      </c>
      <c r="C11" s="700" t="s">
        <v>5</v>
      </c>
      <c r="D11" s="1502" t="s">
        <v>513</v>
      </c>
      <c r="E11" s="701" t="s">
        <v>5</v>
      </c>
      <c r="F11" s="1502" t="s">
        <v>521</v>
      </c>
      <c r="G11" s="701" t="s">
        <v>5</v>
      </c>
      <c r="H11" s="1502" t="s">
        <v>520</v>
      </c>
      <c r="I11" s="701" t="s">
        <v>5</v>
      </c>
      <c r="J11" s="1502" t="s">
        <v>516</v>
      </c>
      <c r="K11" s="702" t="s">
        <v>5</v>
      </c>
    </row>
    <row r="12" spans="1:11" ht="41.25" customHeight="1" thickBot="1" x14ac:dyDescent="0.45">
      <c r="A12" s="703"/>
      <c r="B12" s="1250"/>
      <c r="C12" s="704"/>
      <c r="D12" s="1503"/>
      <c r="E12" s="1146"/>
      <c r="F12" s="1503"/>
      <c r="G12" s="1156"/>
      <c r="H12" s="1503"/>
      <c r="I12" s="1146"/>
      <c r="J12" s="1503"/>
      <c r="K12" s="1167"/>
    </row>
    <row r="13" spans="1:11" ht="6.75" customHeight="1" x14ac:dyDescent="0.4">
      <c r="A13" s="705"/>
      <c r="B13" s="1186"/>
      <c r="C13" s="1133"/>
      <c r="D13" s="1186"/>
      <c r="E13" s="1133"/>
      <c r="F13" s="1186"/>
      <c r="G13" s="1133"/>
      <c r="H13" s="1186"/>
      <c r="I13" s="1133"/>
      <c r="J13" s="1193"/>
      <c r="K13" s="1168"/>
    </row>
    <row r="14" spans="1:11" s="707" customFormat="1" ht="15.9" customHeight="1" x14ac:dyDescent="0.25">
      <c r="A14" s="706" t="s">
        <v>53</v>
      </c>
      <c r="B14" s="714">
        <f>+B15+B26+B35</f>
        <v>8328012780</v>
      </c>
      <c r="C14" s="715">
        <f>+B14/$B$212</f>
        <v>0.55512539375156522</v>
      </c>
      <c r="D14" s="714">
        <f>+D15+D26+D35</f>
        <v>2272238780</v>
      </c>
      <c r="E14" s="715">
        <f>+D14/$D$212</f>
        <v>0.35459342020911244</v>
      </c>
      <c r="F14" s="714">
        <f>+F15+F26+F35</f>
        <v>472770000</v>
      </c>
      <c r="G14" s="715">
        <f>+F14/$F$212</f>
        <v>0.85643744702404423</v>
      </c>
      <c r="H14" s="714">
        <f>+H15+H26+H35</f>
        <v>5194428000</v>
      </c>
      <c r="I14" s="715">
        <f>+H14/$H$212</f>
        <v>0.69439598076164899</v>
      </c>
      <c r="J14" s="714">
        <f>+J15+J26+J35</f>
        <v>388576000</v>
      </c>
      <c r="K14" s="716">
        <f>+J14/$J$212</f>
        <v>0.69202022547789033</v>
      </c>
    </row>
    <row r="15" spans="1:11" ht="15.9" hidden="1" customHeight="1" outlineLevel="1" x14ac:dyDescent="0.4">
      <c r="A15" s="708" t="s">
        <v>23</v>
      </c>
      <c r="B15" s="1187">
        <f>SUM(B17:B25)</f>
        <v>6686690780</v>
      </c>
      <c r="C15" s="1134">
        <f>SUM(C17:C25)</f>
        <v>0.44571879873393527</v>
      </c>
      <c r="D15" s="1187">
        <f>SUM(D17:D25)</f>
        <v>1827242780</v>
      </c>
      <c r="E15" s="1147">
        <f>+D15/B15</f>
        <v>0.27326563170310081</v>
      </c>
      <c r="F15" s="1187">
        <f>SUM(F17:F25)</f>
        <v>379373500</v>
      </c>
      <c r="G15" s="1134"/>
      <c r="H15" s="1187">
        <f>SUM(H17:H25)</f>
        <v>4168261500</v>
      </c>
      <c r="I15" s="1157">
        <f>+H15/B15</f>
        <v>0.62336686967301336</v>
      </c>
      <c r="J15" s="1187">
        <f>SUM(J17:J25)</f>
        <v>311813000</v>
      </c>
      <c r="K15" s="1169">
        <f>+J15/D15</f>
        <v>0.17064672708680781</v>
      </c>
    </row>
    <row r="16" spans="1:11" ht="9.9" customHeight="1" collapsed="1" x14ac:dyDescent="0.4">
      <c r="A16" s="465"/>
      <c r="B16" s="1188"/>
      <c r="C16" s="711"/>
      <c r="D16" s="1188"/>
      <c r="E16" s="1148"/>
      <c r="F16" s="1188"/>
      <c r="G16" s="1148"/>
      <c r="H16" s="1188"/>
      <c r="I16" s="1158"/>
      <c r="J16" s="1188"/>
      <c r="K16" s="1170"/>
    </row>
    <row r="17" spans="1:11" ht="15.9" customHeight="1" x14ac:dyDescent="0.4">
      <c r="A17" s="452" t="s">
        <v>1186</v>
      </c>
      <c r="B17" s="717">
        <f>+D17+F17+H17+J17</f>
        <v>3267571000</v>
      </c>
      <c r="C17" s="1135">
        <f>+B17/$B$212</f>
        <v>0.21780845994165199</v>
      </c>
      <c r="D17" s="717">
        <f>+'EST.ORIGEN Y APLICACION'!C48</f>
        <v>1055719500</v>
      </c>
      <c r="E17" s="1135">
        <f>+D17/$D$212</f>
        <v>0.16474993366958296</v>
      </c>
      <c r="F17" s="717">
        <f>+'EST.ORIGEN Y APLICACION'!D48</f>
        <v>222821000</v>
      </c>
      <c r="G17" s="1135">
        <f>+F17/$F$212</f>
        <v>0.40364711885979349</v>
      </c>
      <c r="H17" s="717">
        <f>+'EST.ORIGEN Y APLICACION'!E48</f>
        <v>1814225000</v>
      </c>
      <c r="I17" s="1159">
        <f>+H17/$H$212</f>
        <v>0.24252729043453922</v>
      </c>
      <c r="J17" s="717">
        <f>+'EST.ORIGEN Y APLICACION'!F48</f>
        <v>174805500</v>
      </c>
      <c r="K17" s="446">
        <f>+J17/$J$212</f>
        <v>0.31131346641268465</v>
      </c>
    </row>
    <row r="18" spans="1:11" ht="15.9" customHeight="1" x14ac:dyDescent="0.4">
      <c r="A18" s="452" t="s">
        <v>442</v>
      </c>
      <c r="B18" s="717">
        <f t="shared" ref="B18:B34" si="0">+D18+F18+H18+J18</f>
        <v>1023149000</v>
      </c>
      <c r="C18" s="1135">
        <f t="shared" ref="C18:C35" si="1">+B18/$B$212</f>
        <v>6.8200662810644755E-2</v>
      </c>
      <c r="D18" s="717">
        <f>+'EST.ORIGEN Y APLICACION'!C49</f>
        <v>0</v>
      </c>
      <c r="E18" s="1135">
        <f t="shared" ref="E18:E35" si="2">+D18/$D$212</f>
        <v>0</v>
      </c>
      <c r="F18" s="717">
        <f>+'EST.ORIGEN Y APLICACION'!D49</f>
        <v>3400500</v>
      </c>
      <c r="G18" s="1135">
        <f t="shared" ref="G18:G35" si="3">+F18/$F$212</f>
        <v>6.1601107062742187E-3</v>
      </c>
      <c r="H18" s="717">
        <f>+'EST.ORIGEN Y APLICACION'!E49</f>
        <v>1018754500</v>
      </c>
      <c r="I18" s="1159">
        <f t="shared" ref="I18:I35" si="4">+H18/$H$212</f>
        <v>0.13618805192464761</v>
      </c>
      <c r="J18" s="717">
        <f>+'EST.ORIGEN Y APLICACION'!F49</f>
        <v>994000</v>
      </c>
      <c r="K18" s="446">
        <f t="shared" ref="K18:K35" si="5">+J18/$J$212</f>
        <v>1.7702279711691482E-3</v>
      </c>
    </row>
    <row r="19" spans="1:11" ht="15.9" customHeight="1" x14ac:dyDescent="0.4">
      <c r="A19" s="452" t="s">
        <v>374</v>
      </c>
      <c r="B19" s="717">
        <f t="shared" si="0"/>
        <v>5000000</v>
      </c>
      <c r="C19" s="1135">
        <f t="shared" si="1"/>
        <v>3.3328802945927112E-4</v>
      </c>
      <c r="D19" s="717">
        <f>+'EST.ORIGEN Y APLICACION'!C50</f>
        <v>5000000</v>
      </c>
      <c r="E19" s="1135">
        <f t="shared" si="2"/>
        <v>7.8027323389206582E-4</v>
      </c>
      <c r="F19" s="717">
        <f>SUMIF('PRESUPUESTO 2024'!$B:$B,A19,'PRESUPUESTO 2024'!T:T)</f>
        <v>0</v>
      </c>
      <c r="G19" s="1135">
        <f t="shared" si="3"/>
        <v>0</v>
      </c>
      <c r="H19" s="717">
        <f>SUMIF('PRESUPUESTO 2024'!$B:$B,A19,'PRESUPUESTO 2024'!$AV:$AV)</f>
        <v>0</v>
      </c>
      <c r="I19" s="1159">
        <f t="shared" si="4"/>
        <v>0</v>
      </c>
      <c r="J19" s="717">
        <f>SUMIF('PRESUPUESTO 2024'!$B:$B,A19,'PRESUPUESTO 2024'!$BD:$BD)</f>
        <v>0</v>
      </c>
      <c r="K19" s="446">
        <f t="shared" si="5"/>
        <v>0</v>
      </c>
    </row>
    <row r="20" spans="1:11" ht="15.9" customHeight="1" x14ac:dyDescent="0.4">
      <c r="A20" s="452" t="s">
        <v>17</v>
      </c>
      <c r="B20" s="717">
        <f t="shared" si="0"/>
        <v>13685280</v>
      </c>
      <c r="C20" s="1135">
        <f t="shared" si="1"/>
        <v>9.1222800075967472E-4</v>
      </c>
      <c r="D20" s="717">
        <f>+'EST.ORIGEN Y APLICACION'!C56</f>
        <v>13685280</v>
      </c>
      <c r="E20" s="1135">
        <f t="shared" si="2"/>
        <v>2.1356515364636822E-3</v>
      </c>
      <c r="F20" s="717">
        <f>SUMIF('PRESUPUESTO 2024'!$B:$B,A20,'PRESUPUESTO 2024'!T:T)</f>
        <v>0</v>
      </c>
      <c r="G20" s="1135">
        <f t="shared" si="3"/>
        <v>0</v>
      </c>
      <c r="H20" s="717">
        <f>SUMIF('PRESUPUESTO 2024'!$B:$B,A20,'PRESUPUESTO 2024'!$AV:$AV)</f>
        <v>0</v>
      </c>
      <c r="I20" s="1159">
        <f t="shared" si="4"/>
        <v>0</v>
      </c>
      <c r="J20" s="717">
        <f>SUMIF('PRESUPUESTO 2024'!$B:$B,A20,'PRESUPUESTO 2024'!$BD:$BD)</f>
        <v>0</v>
      </c>
      <c r="K20" s="446">
        <f t="shared" si="5"/>
        <v>0</v>
      </c>
    </row>
    <row r="21" spans="1:11" ht="15.9" customHeight="1" x14ac:dyDescent="0.4">
      <c r="A21" s="452" t="s">
        <v>18</v>
      </c>
      <c r="B21" s="717">
        <f t="shared" si="0"/>
        <v>450204500</v>
      </c>
      <c r="C21" s="1135">
        <f t="shared" si="1"/>
        <v>3.0009554131739283E-2</v>
      </c>
      <c r="D21" s="717">
        <f>+'EST.ORIGEN Y APLICACION'!C63</f>
        <v>121774500</v>
      </c>
      <c r="E21" s="1135">
        <f t="shared" si="2"/>
        <v>1.9003476584117874E-2</v>
      </c>
      <c r="F21" s="717">
        <f>+'EST.ORIGEN Y APLICACION'!D63</f>
        <v>26112500</v>
      </c>
      <c r="G21" s="1135">
        <f t="shared" si="3"/>
        <v>4.7303599711097058E-2</v>
      </c>
      <c r="H21" s="717">
        <f>+'EST.ORIGEN Y APLICACION'!E63</f>
        <v>280721000</v>
      </c>
      <c r="I21" s="1159">
        <f t="shared" si="4"/>
        <v>3.7527045155961516E-2</v>
      </c>
      <c r="J21" s="717">
        <f>+'EST.ORIGEN Y APLICACION'!F63</f>
        <v>21596500</v>
      </c>
      <c r="K21" s="446">
        <f t="shared" si="5"/>
        <v>3.8461497363535727E-2</v>
      </c>
    </row>
    <row r="22" spans="1:11" ht="15.9" customHeight="1" x14ac:dyDescent="0.4">
      <c r="A22" s="667" t="s">
        <v>568</v>
      </c>
      <c r="B22" s="717">
        <f>+D22+F22+H22+J22</f>
        <v>1000000</v>
      </c>
      <c r="C22" s="1135">
        <f t="shared" si="1"/>
        <v>6.6657605891854221E-5</v>
      </c>
      <c r="D22" s="717">
        <f>+'EST.ORIGEN Y APLICACION'!C55</f>
        <v>1000000</v>
      </c>
      <c r="E22" s="1135">
        <f t="shared" si="2"/>
        <v>1.5605464677841317E-4</v>
      </c>
      <c r="F22" s="717">
        <f>SUMIF('PRESUPUESTO 2024'!$B:$B,A22,'PRESUPUESTO 2024'!T:T)</f>
        <v>0</v>
      </c>
      <c r="G22" s="1135">
        <f t="shared" si="3"/>
        <v>0</v>
      </c>
      <c r="H22" s="717">
        <f>SUMIF('PRESUPUESTO 2024'!$B:$B,A22,'PRESUPUESTO 2024'!$AV:$AV)</f>
        <v>0</v>
      </c>
      <c r="I22" s="1159">
        <f t="shared" si="4"/>
        <v>0</v>
      </c>
      <c r="J22" s="717">
        <f>SUMIF('PRESUPUESTO 2024'!$B:$B,A22,'PRESUPUESTO 2024'!$BD:$BD)</f>
        <v>0</v>
      </c>
      <c r="K22" s="446">
        <f t="shared" si="5"/>
        <v>0</v>
      </c>
    </row>
    <row r="23" spans="1:11" ht="15.9" customHeight="1" x14ac:dyDescent="0.4">
      <c r="A23" s="452" t="s">
        <v>35</v>
      </c>
      <c r="B23" s="717">
        <f t="shared" si="0"/>
        <v>170431500</v>
      </c>
      <c r="C23" s="1135">
        <f t="shared" si="1"/>
        <v>1.1360555758557553E-2</v>
      </c>
      <c r="D23" s="717">
        <f>+'EST.ORIGEN Y APLICACION'!C54</f>
        <v>5751500</v>
      </c>
      <c r="E23" s="1135">
        <f t="shared" si="2"/>
        <v>8.9754830094604333E-4</v>
      </c>
      <c r="F23" s="717">
        <f>SUMIF('PRESUPUESTO 2024'!$B:$B,A23,'PRESUPUESTO 2024'!T:T)</f>
        <v>0</v>
      </c>
      <c r="G23" s="1135">
        <f t="shared" si="3"/>
        <v>0</v>
      </c>
      <c r="H23" s="717">
        <f>+'EST.ORIGEN Y APLICACION'!E54</f>
        <v>162680000</v>
      </c>
      <c r="I23" s="1159">
        <f t="shared" si="4"/>
        <v>2.1747214159153823E-2</v>
      </c>
      <c r="J23" s="717">
        <f>+'EST.ORIGEN Y APLICACION'!F54</f>
        <v>2000000</v>
      </c>
      <c r="K23" s="446">
        <f t="shared" si="5"/>
        <v>3.5618269037608619E-3</v>
      </c>
    </row>
    <row r="24" spans="1:11" ht="15.9" customHeight="1" x14ac:dyDescent="0.4">
      <c r="A24" s="452" t="s">
        <v>465</v>
      </c>
      <c r="B24" s="717">
        <f t="shared" si="0"/>
        <v>1242809000</v>
      </c>
      <c r="C24" s="1135">
        <f t="shared" si="1"/>
        <v>8.2842672520849453E-2</v>
      </c>
      <c r="D24" s="717">
        <f>+'EST.ORIGEN Y APLICACION'!C60+'EST.ORIGEN Y APLICACION'!C61+'EST.ORIGEN Y APLICACION'!C64</f>
        <v>485269500</v>
      </c>
      <c r="E24" s="1135">
        <f t="shared" si="2"/>
        <v>7.5728560414837165E-2</v>
      </c>
      <c r="F24" s="717">
        <f>+'EST.ORIGEN Y APLICACION'!D60+'EST.ORIGEN Y APLICACION'!D61+'EST.ORIGEN Y APLICACION'!D64</f>
        <v>97857000</v>
      </c>
      <c r="G24" s="1135">
        <f t="shared" si="3"/>
        <v>0.17727097585175011</v>
      </c>
      <c r="H24" s="717">
        <f>+'EST.ORIGEN Y APLICACION'!E60+'EST.ORIGEN Y APLICACION'!E61+'EST.ORIGEN Y APLICACION'!E64</f>
        <v>571250500</v>
      </c>
      <c r="I24" s="1159">
        <f t="shared" si="4"/>
        <v>7.6365299741970122E-2</v>
      </c>
      <c r="J24" s="717">
        <f>+'EST.ORIGEN Y APLICACION'!F60+'EST.ORIGEN Y APLICACION'!F61+'EST.ORIGEN Y APLICACION'!F64</f>
        <v>88432000</v>
      </c>
      <c r="K24" s="446">
        <f t="shared" si="5"/>
        <v>0.15748973837669025</v>
      </c>
    </row>
    <row r="25" spans="1:11" ht="15.9" customHeight="1" x14ac:dyDescent="0.4">
      <c r="A25" s="452" t="s">
        <v>14</v>
      </c>
      <c r="B25" s="717">
        <f t="shared" si="0"/>
        <v>512840500</v>
      </c>
      <c r="C25" s="1135">
        <f t="shared" si="1"/>
        <v>3.4184719934381463E-2</v>
      </c>
      <c r="D25" s="717">
        <f>+'EST.ORIGEN Y APLICACION'!C62</f>
        <v>139042500</v>
      </c>
      <c r="E25" s="1135">
        <f t="shared" si="2"/>
        <v>2.1698228224687512E-2</v>
      </c>
      <c r="F25" s="717">
        <f>+'EST.ORIGEN Y APLICACION'!D62</f>
        <v>29182500</v>
      </c>
      <c r="G25" s="1135">
        <f t="shared" si="3"/>
        <v>5.2864999466504158E-2</v>
      </c>
      <c r="H25" s="717">
        <f>+'EST.ORIGEN Y APLICACION'!E62</f>
        <v>320630500</v>
      </c>
      <c r="I25" s="1159">
        <f t="shared" si="4"/>
        <v>4.2862184346302984E-2</v>
      </c>
      <c r="J25" s="717">
        <f>+'EST.ORIGEN Y APLICACION'!F62</f>
        <v>23985000</v>
      </c>
      <c r="K25" s="446">
        <f t="shared" si="5"/>
        <v>4.2715209143352133E-2</v>
      </c>
    </row>
    <row r="26" spans="1:11" ht="16.95" hidden="1" customHeight="1" outlineLevel="1" x14ac:dyDescent="0.4">
      <c r="A26" s="452" t="s">
        <v>56</v>
      </c>
      <c r="B26" s="1189">
        <f t="shared" si="0"/>
        <v>1641322000</v>
      </c>
      <c r="C26" s="1135">
        <f t="shared" si="1"/>
        <v>0.10940659501762996</v>
      </c>
      <c r="D26" s="717">
        <f>SUM(D27:D34)</f>
        <v>444996000</v>
      </c>
      <c r="E26" s="1135">
        <f t="shared" si="2"/>
        <v>6.9443693597806749E-2</v>
      </c>
      <c r="F26" s="1189">
        <f>SUM(F27:F34)</f>
        <v>93396500</v>
      </c>
      <c r="G26" s="1135">
        <f t="shared" si="3"/>
        <v>0.16919064242862522</v>
      </c>
      <c r="H26" s="1189">
        <f>SUM(H27:H34)</f>
        <v>1026166500</v>
      </c>
      <c r="I26" s="1159">
        <f t="shared" si="4"/>
        <v>0.13717889499907376</v>
      </c>
      <c r="J26" s="1189">
        <f>SUM(J27:J34)</f>
        <v>76763000</v>
      </c>
      <c r="K26" s="446">
        <f t="shared" si="5"/>
        <v>0.13670825930669753</v>
      </c>
    </row>
    <row r="27" spans="1:11" ht="15.9" customHeight="1" collapsed="1" x14ac:dyDescent="0.4">
      <c r="A27" s="452" t="s">
        <v>1191</v>
      </c>
      <c r="B27" s="717">
        <f t="shared" si="0"/>
        <v>569261500</v>
      </c>
      <c r="C27" s="1135">
        <f t="shared" si="1"/>
        <v>3.7945608716405774E-2</v>
      </c>
      <c r="D27" s="717">
        <f>+'EST.ORIGEN Y APLICACION'!C69</f>
        <v>154338500</v>
      </c>
      <c r="E27" s="1135">
        <f t="shared" si="2"/>
        <v>2.408524010181012E-2</v>
      </c>
      <c r="F27" s="717">
        <f>+'EST.ORIGEN Y APLICACION'!D69</f>
        <v>32392500</v>
      </c>
      <c r="G27" s="1135">
        <f t="shared" si="3"/>
        <v>5.8680013543004748E-2</v>
      </c>
      <c r="H27" s="717">
        <f>+'EST.ORIGEN Y APLICACION'!E69</f>
        <v>355907000</v>
      </c>
      <c r="I27" s="1159">
        <f t="shared" si="4"/>
        <v>4.7577979774661661E-2</v>
      </c>
      <c r="J27" s="717">
        <f>+'EST.ORIGEN Y APLICACION'!F69</f>
        <v>26623500</v>
      </c>
      <c r="K27" s="446">
        <f t="shared" si="5"/>
        <v>4.741414928613865E-2</v>
      </c>
    </row>
    <row r="28" spans="1:11" ht="15.9" customHeight="1" x14ac:dyDescent="0.4">
      <c r="A28" s="452" t="s">
        <v>447</v>
      </c>
      <c r="B28" s="717">
        <f t="shared" si="0"/>
        <v>30771500</v>
      </c>
      <c r="C28" s="1135">
        <f t="shared" si="1"/>
        <v>2.0511545197011921E-3</v>
      </c>
      <c r="D28" s="717">
        <f>+'EST.ORIGEN Y APLICACION'!C70</f>
        <v>8343000</v>
      </c>
      <c r="E28" s="1135">
        <f t="shared" si="2"/>
        <v>1.3019639180723011E-3</v>
      </c>
      <c r="F28" s="717">
        <f>+'EST.ORIGEN Y APLICACION'!D70</f>
        <v>1751000</v>
      </c>
      <c r="G28" s="1135">
        <f t="shared" si="3"/>
        <v>3.1719905445334973E-3</v>
      </c>
      <c r="H28" s="717">
        <f>+'EST.ORIGEN Y APLICACION'!E70</f>
        <v>19238500</v>
      </c>
      <c r="I28" s="1159">
        <f t="shared" si="4"/>
        <v>2.5718206270032014E-3</v>
      </c>
      <c r="J28" s="717">
        <f>+'EST.ORIGEN Y APLICACION'!F70</f>
        <v>1439000</v>
      </c>
      <c r="K28" s="446">
        <f t="shared" si="5"/>
        <v>2.5627344572559402E-3</v>
      </c>
    </row>
    <row r="29" spans="1:11" ht="15.9" customHeight="1" x14ac:dyDescent="0.4">
      <c r="A29" s="452" t="s">
        <v>448</v>
      </c>
      <c r="B29" s="717">
        <f t="shared" si="0"/>
        <v>92313000</v>
      </c>
      <c r="C29" s="1135">
        <f t="shared" si="1"/>
        <v>6.1533635726947391E-3</v>
      </c>
      <c r="D29" s="717">
        <f>+'EST.ORIGEN Y APLICACION'!C71</f>
        <v>25028000</v>
      </c>
      <c r="E29" s="1135">
        <f t="shared" si="2"/>
        <v>3.9057356995701249E-3</v>
      </c>
      <c r="F29" s="717">
        <f>+'EST.ORIGEN Y APLICACION'!D71</f>
        <v>5253000</v>
      </c>
      <c r="G29" s="1135">
        <f t="shared" si="3"/>
        <v>9.5159716336004913E-3</v>
      </c>
      <c r="H29" s="717">
        <f>+'EST.ORIGEN Y APLICACION'!E71</f>
        <v>57714500</v>
      </c>
      <c r="I29" s="1159">
        <f t="shared" si="4"/>
        <v>7.7153282000767352E-3</v>
      </c>
      <c r="J29" s="717">
        <f>+'EST.ORIGEN Y APLICACION'!F71</f>
        <v>4317500</v>
      </c>
      <c r="K29" s="446">
        <f t="shared" si="5"/>
        <v>7.6890938284937607E-3</v>
      </c>
    </row>
    <row r="30" spans="1:11" ht="15.9" customHeight="1" x14ac:dyDescent="0.4">
      <c r="A30" s="452" t="s">
        <v>609</v>
      </c>
      <c r="B30" s="717">
        <f t="shared" si="0"/>
        <v>307708500</v>
      </c>
      <c r="C30" s="1135">
        <f t="shared" si="1"/>
        <v>2.0511111922573624E-2</v>
      </c>
      <c r="D30" s="717">
        <f>+'EST.ORIGEN Y APLICACION'!C72</f>
        <v>83425500</v>
      </c>
      <c r="E30" s="1135">
        <f t="shared" si="2"/>
        <v>1.3018936934812507E-2</v>
      </c>
      <c r="F30" s="717">
        <f>+'EST.ORIGEN Y APLICACION'!D72</f>
        <v>17509500</v>
      </c>
      <c r="G30" s="1135">
        <f t="shared" si="3"/>
        <v>3.1718999679902493E-2</v>
      </c>
      <c r="H30" s="717">
        <f>+'EST.ORIGEN Y APLICACION'!E72</f>
        <v>192382500</v>
      </c>
      <c r="I30" s="1159">
        <f t="shared" si="4"/>
        <v>2.5717872067699842E-2</v>
      </c>
      <c r="J30" s="717">
        <f>+'EST.ORIGEN Y APLICACION'!F72</f>
        <v>14391000</v>
      </c>
      <c r="K30" s="446">
        <f t="shared" si="5"/>
        <v>2.5629125486011282E-2</v>
      </c>
    </row>
    <row r="31" spans="1:11" ht="15.9" customHeight="1" x14ac:dyDescent="0.4">
      <c r="A31" s="452" t="s">
        <v>1192</v>
      </c>
      <c r="B31" s="717">
        <f t="shared" si="0"/>
        <v>30771500</v>
      </c>
      <c r="C31" s="1135">
        <f t="shared" si="1"/>
        <v>2.0511545197011921E-3</v>
      </c>
      <c r="D31" s="717">
        <f>+'EST.ORIGEN Y APLICACION'!C73</f>
        <v>8343000</v>
      </c>
      <c r="E31" s="1135">
        <f t="shared" si="2"/>
        <v>1.3019639180723011E-3</v>
      </c>
      <c r="F31" s="717">
        <f>+'EST.ORIGEN Y APLICACION'!D73</f>
        <v>1751000</v>
      </c>
      <c r="G31" s="1135">
        <f t="shared" si="3"/>
        <v>3.1719905445334973E-3</v>
      </c>
      <c r="H31" s="717">
        <f>+'EST.ORIGEN Y APLICACION'!E73</f>
        <v>19238500</v>
      </c>
      <c r="I31" s="1159">
        <f t="shared" si="4"/>
        <v>2.5718206270032014E-3</v>
      </c>
      <c r="J31" s="717">
        <f>+'EST.ORIGEN Y APLICACION'!F73</f>
        <v>1439000</v>
      </c>
      <c r="K31" s="446">
        <f t="shared" si="5"/>
        <v>2.5627344572559402E-3</v>
      </c>
    </row>
    <row r="32" spans="1:11" ht="15.9" customHeight="1" x14ac:dyDescent="0.4">
      <c r="A32" s="452" t="s">
        <v>1194</v>
      </c>
      <c r="B32" s="717">
        <f t="shared" si="0"/>
        <v>333557000</v>
      </c>
      <c r="C32" s="1135">
        <f t="shared" si="1"/>
        <v>2.2234111048469219E-2</v>
      </c>
      <c r="D32" s="717">
        <f>+'EST.ORIGEN Y APLICACION'!C77</f>
        <v>90434500</v>
      </c>
      <c r="E32" s="1135">
        <f t="shared" si="2"/>
        <v>1.4112723954082406E-2</v>
      </c>
      <c r="F32" s="717">
        <f>+'EST.ORIGEN Y APLICACION'!D77</f>
        <v>18980500</v>
      </c>
      <c r="G32" s="1135">
        <f t="shared" si="3"/>
        <v>3.4383761582249026E-2</v>
      </c>
      <c r="H32" s="717">
        <f>+'EST.ORIGEN Y APLICACION'!E77</f>
        <v>208541500</v>
      </c>
      <c r="I32" s="1159">
        <f t="shared" si="4"/>
        <v>2.7878022261932485E-2</v>
      </c>
      <c r="J32" s="717">
        <f>+'EST.ORIGEN Y APLICACION'!F77</f>
        <v>15600500</v>
      </c>
      <c r="K32" s="446">
        <f t="shared" si="5"/>
        <v>2.7783140306060661E-2</v>
      </c>
    </row>
    <row r="33" spans="1:11" ht="15.9" customHeight="1" x14ac:dyDescent="0.4">
      <c r="A33" s="452" t="s">
        <v>1195</v>
      </c>
      <c r="B33" s="717">
        <f t="shared" si="0"/>
        <v>184626000</v>
      </c>
      <c r="C33" s="1135">
        <f t="shared" si="1"/>
        <v>1.2306727145389478E-2</v>
      </c>
      <c r="D33" s="717">
        <f>+'EST.ORIGEN Y APLICACION'!C78</f>
        <v>50055500</v>
      </c>
      <c r="E33" s="1135">
        <f t="shared" si="2"/>
        <v>7.8113933718168601E-3</v>
      </c>
      <c r="F33" s="717">
        <f>+'EST.ORIGEN Y APLICACION'!D78</f>
        <v>10506000</v>
      </c>
      <c r="G33" s="1135">
        <f t="shared" si="3"/>
        <v>1.9031943267200983E-2</v>
      </c>
      <c r="H33" s="717">
        <f>+'EST.ORIGEN Y APLICACION'!E78</f>
        <v>115429500</v>
      </c>
      <c r="I33" s="1159">
        <f t="shared" si="4"/>
        <v>1.5430723240619905E-2</v>
      </c>
      <c r="J33" s="717">
        <f>+'EST.ORIGEN Y APLICACION'!F78</f>
        <v>8635000</v>
      </c>
      <c r="K33" s="446">
        <f t="shared" si="5"/>
        <v>1.5378187656987521E-2</v>
      </c>
    </row>
    <row r="34" spans="1:11" ht="15.9" customHeight="1" x14ac:dyDescent="0.4">
      <c r="A34" s="452" t="s">
        <v>543</v>
      </c>
      <c r="B34" s="717">
        <f t="shared" si="0"/>
        <v>92313000</v>
      </c>
      <c r="C34" s="1135">
        <f t="shared" si="1"/>
        <v>6.1533635726947391E-3</v>
      </c>
      <c r="D34" s="717">
        <f>+'EST.ORIGEN Y APLICACION'!C79</f>
        <v>25028000</v>
      </c>
      <c r="E34" s="1135">
        <f t="shared" si="2"/>
        <v>3.9057356995701249E-3</v>
      </c>
      <c r="F34" s="717">
        <f>+'EST.ORIGEN Y APLICACION'!D79</f>
        <v>5253000</v>
      </c>
      <c r="G34" s="1135">
        <f t="shared" si="3"/>
        <v>9.5159716336004913E-3</v>
      </c>
      <c r="H34" s="717">
        <f>+'EST.ORIGEN Y APLICACION'!E79</f>
        <v>57714500</v>
      </c>
      <c r="I34" s="1159">
        <f t="shared" si="4"/>
        <v>7.7153282000767352E-3</v>
      </c>
      <c r="J34" s="717">
        <f>+'EST.ORIGEN Y APLICACION'!F79</f>
        <v>4317500</v>
      </c>
      <c r="K34" s="446">
        <f t="shared" si="5"/>
        <v>7.6890938284937607E-3</v>
      </c>
    </row>
    <row r="35" spans="1:11" ht="15.9" hidden="1" customHeight="1" x14ac:dyDescent="0.4">
      <c r="A35" s="452" t="s">
        <v>375</v>
      </c>
      <c r="B35" s="717">
        <f>+D35+F35+H35+J35</f>
        <v>0</v>
      </c>
      <c r="C35" s="1135">
        <f t="shared" si="1"/>
        <v>0</v>
      </c>
      <c r="D35" s="717">
        <v>0</v>
      </c>
      <c r="E35" s="1135">
        <f t="shared" si="2"/>
        <v>0</v>
      </c>
      <c r="F35" s="717">
        <v>0</v>
      </c>
      <c r="G35" s="1135">
        <f t="shared" si="3"/>
        <v>0</v>
      </c>
      <c r="H35" s="717">
        <v>0</v>
      </c>
      <c r="I35" s="1159">
        <f t="shared" si="4"/>
        <v>0</v>
      </c>
      <c r="J35" s="717">
        <v>0</v>
      </c>
      <c r="K35" s="446">
        <f t="shared" si="5"/>
        <v>0</v>
      </c>
    </row>
    <row r="36" spans="1:11" ht="6" customHeight="1" x14ac:dyDescent="0.4">
      <c r="A36" s="439"/>
      <c r="B36" s="726"/>
      <c r="C36" s="713"/>
      <c r="D36" s="726"/>
      <c r="E36" s="1149"/>
      <c r="F36" s="726"/>
      <c r="G36" s="1149"/>
      <c r="H36" s="726"/>
      <c r="I36" s="1160"/>
      <c r="J36" s="726"/>
      <c r="K36" s="1171"/>
    </row>
    <row r="37" spans="1:11" ht="15.9" customHeight="1" x14ac:dyDescent="0.4">
      <c r="A37" s="706" t="s">
        <v>54</v>
      </c>
      <c r="B37" s="714">
        <f>+B39+B46+B54+B63+B74+B81+B85+B91+B106+B102</f>
        <v>2754673408</v>
      </c>
      <c r="C37" s="715">
        <f>+B37/$B$212</f>
        <v>0.18361993439123495</v>
      </c>
      <c r="D37" s="714">
        <f>+D39+D46+D54+D63+D74+D81+D85+D91+D106+D102</f>
        <v>803003908</v>
      </c>
      <c r="E37" s="715">
        <f>+D37/$D$212</f>
        <v>0.12531249122462537</v>
      </c>
      <c r="F37" s="714">
        <f>+F39+F46+F54+F63+F74+F81+F85+F91+F106+F102</f>
        <v>79249300</v>
      </c>
      <c r="G37" s="715">
        <f>+F37/$F$212</f>
        <v>0.14356255297595574</v>
      </c>
      <c r="H37" s="714">
        <f>+H39+H46+H54+H63+H74+H81+H85+H91+H106+H102</f>
        <v>1701036600</v>
      </c>
      <c r="I37" s="715">
        <f>+H37/$H$212</f>
        <v>0.22739615953257239</v>
      </c>
      <c r="J37" s="714">
        <f>+J39+J46+J54+J63+J74+J81+J85+J91+J106+J102</f>
        <v>171383600</v>
      </c>
      <c r="K37" s="716">
        <f>+J37/$J$212</f>
        <v>0.30521935867169503</v>
      </c>
    </row>
    <row r="38" spans="1:11" ht="9.9" customHeight="1" x14ac:dyDescent="0.4">
      <c r="A38" s="439"/>
      <c r="B38" s="717"/>
      <c r="C38" s="711"/>
      <c r="D38" s="717"/>
      <c r="E38" s="1148"/>
      <c r="F38" s="717"/>
      <c r="G38" s="1148"/>
      <c r="H38" s="717"/>
      <c r="I38" s="1160"/>
      <c r="J38" s="717"/>
      <c r="K38" s="1171"/>
    </row>
    <row r="39" spans="1:11" ht="15.9" customHeight="1" x14ac:dyDescent="0.4">
      <c r="A39" s="718" t="s">
        <v>105</v>
      </c>
      <c r="B39" s="719">
        <f>SUM(B41:B45)</f>
        <v>451464500</v>
      </c>
      <c r="C39" s="1136">
        <f>SUM(B39/$B$37)</f>
        <v>0.16389039030502742</v>
      </c>
      <c r="D39" s="719">
        <f>SUM(D41:D44)</f>
        <v>70277100</v>
      </c>
      <c r="E39" s="1150">
        <f>+D39/B39</f>
        <v>0.15566473111396356</v>
      </c>
      <c r="F39" s="719">
        <f>SUM(F41:F44)</f>
        <v>7465900</v>
      </c>
      <c r="G39" s="1150">
        <f>+F39/B39</f>
        <v>1.6537069913581243E-2</v>
      </c>
      <c r="H39" s="719">
        <f>SUM(H41:H44)</f>
        <v>338344900</v>
      </c>
      <c r="I39" s="1153">
        <f t="shared" ref="I39:I93" si="6">+H39/B39</f>
        <v>0.74943854943190436</v>
      </c>
      <c r="J39" s="719">
        <f>SUM(J41:J44)</f>
        <v>35376600</v>
      </c>
      <c r="K39" s="1172">
        <f>+J39/B39</f>
        <v>7.8359649540550802E-2</v>
      </c>
    </row>
    <row r="40" spans="1:11" ht="9.9" customHeight="1" x14ac:dyDescent="0.4">
      <c r="A40" s="447"/>
      <c r="B40" s="717"/>
      <c r="C40" s="1137"/>
      <c r="D40" s="717"/>
      <c r="E40" s="1137"/>
      <c r="F40" s="717"/>
      <c r="G40" s="1137"/>
      <c r="H40" s="717"/>
      <c r="I40" s="1160"/>
      <c r="J40" s="717"/>
      <c r="K40" s="1171"/>
    </row>
    <row r="41" spans="1:11" ht="15.9" customHeight="1" x14ac:dyDescent="0.4">
      <c r="A41" s="674" t="s">
        <v>621</v>
      </c>
      <c r="B41" s="717">
        <f>+D41+F41+H41+J41</f>
        <v>237584500</v>
      </c>
      <c r="C41" s="1135">
        <f>+B41/$B$212</f>
        <v>1.5836813967013239E-2</v>
      </c>
      <c r="D41" s="717">
        <f>SUMIF('PRESUPUESTO 2024'!$B:$B,A41,'PRESUPUESTO 2024'!$R:$R)</f>
        <v>70277100</v>
      </c>
      <c r="E41" s="1135">
        <f>+D41/$D$212</f>
        <v>1.096706801711122E-2</v>
      </c>
      <c r="F41" s="717">
        <f>SUMIF('PRESUPUESTO 2024'!$B:$B,A41,'PRESUPUESTO 2024'!T:T)</f>
        <v>7465900</v>
      </c>
      <c r="G41" s="1135">
        <f>+F41/$F$212</f>
        <v>1.352470828465599E-2</v>
      </c>
      <c r="H41" s="717">
        <f>SUMIF('PRESUPUESTO 2024'!$B:$B,A41,'PRESUPUESTO 2024'!$AV:$AV)</f>
        <v>124464900</v>
      </c>
      <c r="I41" s="1160">
        <f t="shared" si="6"/>
        <v>0.52387634715227638</v>
      </c>
      <c r="J41" s="717">
        <f>SUMIF('PRESUPUESTO 2024'!$B:$B,A41,'PRESUPUESTO 2024'!$BD:$BD)</f>
        <v>35376600</v>
      </c>
      <c r="K41" s="446">
        <f>+J41/$J$212</f>
        <v>6.3002662821793246E-2</v>
      </c>
    </row>
    <row r="42" spans="1:11" ht="15.9" customHeight="1" x14ac:dyDescent="0.4">
      <c r="A42" s="674" t="s">
        <v>109</v>
      </c>
      <c r="B42" s="717">
        <f>+D42+F42+H42+J42</f>
        <v>213880000</v>
      </c>
      <c r="C42" s="1135">
        <f>+B42/$B$212</f>
        <v>1.4256728748149781E-2</v>
      </c>
      <c r="D42" s="717">
        <f>SUMIF('PRESUPUESTO 2024'!$B:$B,A42,'PRESUPUESTO 2024'!$R:$R)</f>
        <v>0</v>
      </c>
      <c r="E42" s="1135">
        <f>+D42/$D$212</f>
        <v>0</v>
      </c>
      <c r="F42" s="717">
        <f>SUMIF('PRESUPUESTO 2024'!$B:$B,A42,'PRESUPUESTO 2024'!T:T)</f>
        <v>0</v>
      </c>
      <c r="G42" s="1135">
        <f>+F42/$F$212</f>
        <v>0</v>
      </c>
      <c r="H42" s="717">
        <f>SUMIF('PRESUPUESTO 2024'!$B:$B,A42,'PRESUPUESTO 2024'!$AV:$AV)</f>
        <v>213880000</v>
      </c>
      <c r="I42" s="1160">
        <f t="shared" si="6"/>
        <v>1</v>
      </c>
      <c r="J42" s="717">
        <f>SUMIF('PRESUPUESTO 2024'!$B:$B,A42,'PRESUPUESTO 2024'!$BD:$BD)</f>
        <v>0</v>
      </c>
      <c r="K42" s="446">
        <f>+J42/$J$212</f>
        <v>0</v>
      </c>
    </row>
    <row r="43" spans="1:11" ht="15.9" hidden="1" customHeight="1" outlineLevel="2" x14ac:dyDescent="0.4">
      <c r="A43" s="674" t="s">
        <v>111</v>
      </c>
      <c r="B43" s="717">
        <f>+D43+F43+H43+J43</f>
        <v>0</v>
      </c>
      <c r="C43" s="1135">
        <f>+B43/$B$212</f>
        <v>0</v>
      </c>
      <c r="D43" s="717">
        <v>0</v>
      </c>
      <c r="E43" s="1135">
        <f>+D43/$D$212</f>
        <v>0</v>
      </c>
      <c r="F43" s="717">
        <v>0</v>
      </c>
      <c r="G43" s="1135">
        <f>+F43/$F$212</f>
        <v>0</v>
      </c>
      <c r="H43" s="717">
        <v>0</v>
      </c>
      <c r="I43" s="1160">
        <v>0</v>
      </c>
      <c r="J43" s="717">
        <v>0</v>
      </c>
      <c r="K43" s="446">
        <f>+J43/$J$212</f>
        <v>0</v>
      </c>
    </row>
    <row r="44" spans="1:11" ht="15.9" hidden="1" customHeight="1" outlineLevel="2" x14ac:dyDescent="0.4">
      <c r="A44" s="674" t="s">
        <v>113</v>
      </c>
      <c r="B44" s="717">
        <f>+D44+F44+H44+J44</f>
        <v>0</v>
      </c>
      <c r="C44" s="1135">
        <f>+B44/$B$212</f>
        <v>0</v>
      </c>
      <c r="D44" s="717">
        <v>0</v>
      </c>
      <c r="E44" s="1135">
        <f>+D44/$D$212</f>
        <v>0</v>
      </c>
      <c r="F44" s="717">
        <v>0</v>
      </c>
      <c r="G44" s="1135">
        <f>+F44/$F$212</f>
        <v>0</v>
      </c>
      <c r="H44" s="717">
        <v>0</v>
      </c>
      <c r="I44" s="1160">
        <v>0</v>
      </c>
      <c r="J44" s="717">
        <v>0</v>
      </c>
      <c r="K44" s="446">
        <f>+J44/$J$212</f>
        <v>0</v>
      </c>
    </row>
    <row r="45" spans="1:11" ht="3.6" customHeight="1" collapsed="1" x14ac:dyDescent="0.4">
      <c r="A45" s="720"/>
      <c r="B45" s="721"/>
      <c r="C45" s="1138"/>
      <c r="D45" s="721"/>
      <c r="E45" s="1138"/>
      <c r="F45" s="721"/>
      <c r="G45" s="1138"/>
      <c r="H45" s="721"/>
      <c r="I45" s="1161"/>
      <c r="J45" s="721"/>
      <c r="K45" s="1173"/>
    </row>
    <row r="46" spans="1:11" ht="15.9" customHeight="1" x14ac:dyDescent="0.4">
      <c r="A46" s="718" t="s">
        <v>115</v>
      </c>
      <c r="B46" s="719">
        <f>SUM(B48:B52)</f>
        <v>132078800</v>
      </c>
      <c r="C46" s="1136">
        <f>SUM(B46/$B$37)</f>
        <v>4.7947172109921499E-2</v>
      </c>
      <c r="D46" s="719">
        <f>SUM(D48:D52)</f>
        <v>49575700</v>
      </c>
      <c r="E46" s="1136">
        <f>+D46/B46</f>
        <v>0.37534941262337335</v>
      </c>
      <c r="F46" s="719">
        <f>SUM(F48:F52)</f>
        <v>1836600</v>
      </c>
      <c r="G46" s="1150">
        <f>+F46/B46</f>
        <v>1.3905335299836159E-2</v>
      </c>
      <c r="H46" s="719">
        <f>SUM(H48:H52)</f>
        <v>71964800</v>
      </c>
      <c r="I46" s="1153">
        <f t="shared" si="6"/>
        <v>0.54486261231931243</v>
      </c>
      <c r="J46" s="719">
        <f>SUM(J48:J52)</f>
        <v>8701700</v>
      </c>
      <c r="K46" s="1172">
        <f>+J46/B46</f>
        <v>6.5882639757478115E-2</v>
      </c>
    </row>
    <row r="47" spans="1:11" ht="9.9" customHeight="1" x14ac:dyDescent="0.4">
      <c r="A47" s="674"/>
      <c r="B47" s="717"/>
      <c r="C47" s="1137"/>
      <c r="D47" s="717"/>
      <c r="E47" s="1137"/>
      <c r="F47" s="717"/>
      <c r="G47" s="1137"/>
      <c r="H47" s="717"/>
      <c r="I47" s="1160"/>
      <c r="J47" s="717"/>
      <c r="K47" s="1171"/>
    </row>
    <row r="48" spans="1:11" ht="15.9" customHeight="1" x14ac:dyDescent="0.4">
      <c r="A48" s="674" t="s">
        <v>117</v>
      </c>
      <c r="B48" s="717">
        <f>+D48+F48+H48+J48</f>
        <v>9631900</v>
      </c>
      <c r="C48" s="1135">
        <f>+B48/$B$212</f>
        <v>6.4203939418975068E-4</v>
      </c>
      <c r="D48" s="717">
        <f>SUMIF('PRESUPUESTO 2024'!$B:$B,A48,'PRESUPUESTO 2024'!$R:$R)</f>
        <v>2849100</v>
      </c>
      <c r="E48" s="1135">
        <f>+D48/$D$212</f>
        <v>4.4461529413637697E-4</v>
      </c>
      <c r="F48" s="717">
        <f>SUMIF('PRESUPUESTO 2024'!$B:$B,A48,'PRESUPUESTO 2024'!T:T)</f>
        <v>302700</v>
      </c>
      <c r="G48" s="1135">
        <f>+F48/$F$212</f>
        <v>5.4835039282141046E-4</v>
      </c>
      <c r="H48" s="717">
        <f>SUMIF('PRESUPUESTO 2024'!$B:$B,A48,'PRESUPUESTO 2024'!$AV:$AV)</f>
        <v>5045900</v>
      </c>
      <c r="I48" s="1160">
        <f t="shared" si="6"/>
        <v>0.52387379437078874</v>
      </c>
      <c r="J48" s="717">
        <f>SUMIF('PRESUPUESTO 2024'!$B:$B,A48,'PRESUPUESTO 2024'!$BD:$BD)</f>
        <v>1434200</v>
      </c>
      <c r="K48" s="446">
        <f>+J48/$J$212</f>
        <v>2.5541860726869142E-3</v>
      </c>
    </row>
    <row r="49" spans="1:11" ht="15.9" customHeight="1" x14ac:dyDescent="0.4">
      <c r="A49" s="674" t="s">
        <v>119</v>
      </c>
      <c r="B49" s="717">
        <f>+D49+F49+H49+J49</f>
        <v>35374320</v>
      </c>
      <c r="C49" s="1135">
        <f>+B49/$B$212</f>
        <v>2.3579674812523369E-3</v>
      </c>
      <c r="D49" s="717">
        <f>SUMIF('PRESUPUESTO 2024'!$B:$B,A49,'PRESUPUESTO 2024'!$R:$R)</f>
        <v>11384820</v>
      </c>
      <c r="E49" s="1135">
        <f>+D49/$D$212</f>
        <v>1.7766540637358138E-3</v>
      </c>
      <c r="F49" s="717">
        <f>SUMIF('PRESUPUESTO 2024'!$B:$B,A49,'PRESUPUESTO 2024'!T:T)</f>
        <v>1070600</v>
      </c>
      <c r="G49" s="1135">
        <f>+F49/$F$212</f>
        <v>1.9394249440191674E-3</v>
      </c>
      <c r="H49" s="717">
        <f>SUMIF('PRESUPUESTO 2024'!$B:$B,A49,'PRESUPUESTO 2024'!$AV:$AV)</f>
        <v>17846500</v>
      </c>
      <c r="I49" s="1160">
        <f t="shared" si="6"/>
        <v>0.50450439754036258</v>
      </c>
      <c r="J49" s="717">
        <f>SUMIF('PRESUPUESTO 2024'!$B:$B,A49,'PRESUPUESTO 2024'!$BD:$BD)</f>
        <v>5072400</v>
      </c>
      <c r="K49" s="446">
        <f>+J49/$J$212</f>
        <v>9.033505393318297E-3</v>
      </c>
    </row>
    <row r="50" spans="1:11" ht="15.9" customHeight="1" x14ac:dyDescent="0.4">
      <c r="A50" s="674" t="s">
        <v>121</v>
      </c>
      <c r="B50" s="717">
        <f>+D50+F50+H50+J50</f>
        <v>5000000</v>
      </c>
      <c r="C50" s="1135">
        <f>+B50/$B$212</f>
        <v>3.3328802945927112E-4</v>
      </c>
      <c r="D50" s="717">
        <f>SUMIF('PRESUPUESTO 2024'!$B:$B,A50,'PRESUPUESTO 2024'!$R:$R)</f>
        <v>5000000</v>
      </c>
      <c r="E50" s="1135">
        <f>+D50/$D$212</f>
        <v>7.8027323389206582E-4</v>
      </c>
      <c r="F50" s="717">
        <f>SUMIF('PRESUPUESTO 2024'!$B:$B,A50,'PRESUPUESTO 2024'!T:T)</f>
        <v>0</v>
      </c>
      <c r="G50" s="1135">
        <f>+F50/$F$212</f>
        <v>0</v>
      </c>
      <c r="H50" s="717">
        <f>SUMIF('PRESUPUESTO 2024'!$B:$B,A50,'PRESUPUESTO 2024'!$AV:$AV)</f>
        <v>0</v>
      </c>
      <c r="I50" s="1160">
        <f t="shared" si="6"/>
        <v>0</v>
      </c>
      <c r="J50" s="717">
        <f>SUMIF('PRESUPUESTO 2024'!$B:$B,A50,'PRESUPUESTO 2024'!$BD:$BD)</f>
        <v>0</v>
      </c>
      <c r="K50" s="446">
        <f>+J50/$J$212</f>
        <v>0</v>
      </c>
    </row>
    <row r="51" spans="1:11" ht="15.9" customHeight="1" x14ac:dyDescent="0.4">
      <c r="A51" s="674" t="s">
        <v>1200</v>
      </c>
      <c r="B51" s="717">
        <f>+D51+F51+H51+J51</f>
        <v>81291200</v>
      </c>
      <c r="C51" s="1135">
        <f>+B51/$B$212</f>
        <v>5.4186767720758996E-3</v>
      </c>
      <c r="D51" s="717">
        <f>SUMIF('PRESUPUESTO 2024'!$B:$B,A51,'PRESUPUESTO 2024'!$R:$R)</f>
        <v>29560400</v>
      </c>
      <c r="E51" s="1135">
        <f>+D51/$D$212</f>
        <v>4.6130377806286047E-3</v>
      </c>
      <c r="F51" s="717">
        <f>SUMIF('PRESUPUESTO 2024'!$B:$B,A51,'PRESUPUESTO 2024'!T:T)</f>
        <v>463300</v>
      </c>
      <c r="G51" s="1135">
        <f>+F51/$F$212</f>
        <v>8.3928224973293507E-4</v>
      </c>
      <c r="H51" s="717">
        <f>SUMIF('PRESUPUESTO 2024'!$B:$B,A51,'PRESUPUESTO 2024'!$AV:$AV)</f>
        <v>49072400</v>
      </c>
      <c r="I51" s="1160">
        <f t="shared" si="6"/>
        <v>0.60366189698269923</v>
      </c>
      <c r="J51" s="717">
        <f>SUMIF('PRESUPUESTO 2024'!$B:$B,A51,'PRESUPUESTO 2024'!$BD:$BD)</f>
        <v>2195100</v>
      </c>
      <c r="K51" s="446">
        <f>+J51/$J$212</f>
        <v>3.9092831182227341E-3</v>
      </c>
    </row>
    <row r="52" spans="1:11" ht="15.9" customHeight="1" x14ac:dyDescent="0.4">
      <c r="A52" s="674" t="s">
        <v>124</v>
      </c>
      <c r="B52" s="717">
        <f>+D52+F52+H52+J52</f>
        <v>781380</v>
      </c>
      <c r="C52" s="1135">
        <f>+B52/$B$212</f>
        <v>5.2084920091777051E-5</v>
      </c>
      <c r="D52" s="717">
        <f>SUMIF('PRESUPUESTO 2024'!$B:$B,A52,'PRESUPUESTO 2024'!$R:$R)</f>
        <v>781380</v>
      </c>
      <c r="E52" s="1135">
        <f>+D52/$D$212</f>
        <v>1.2193797989971649E-4</v>
      </c>
      <c r="F52" s="717">
        <f>SUMIF('PRESUPUESTO 2024'!$B:$B,A52,'PRESUPUESTO 2024'!T:T)</f>
        <v>0</v>
      </c>
      <c r="G52" s="1135">
        <f>+F52/$F$212</f>
        <v>0</v>
      </c>
      <c r="H52" s="717">
        <f>SUMIF('PRESUPUESTO 2024'!$B:$B,A52,'PRESUPUESTO 2024'!$AV:$AV)</f>
        <v>0</v>
      </c>
      <c r="I52" s="1160"/>
      <c r="J52" s="717">
        <f>SUMIF('PRESUPUESTO 2024'!$B:$B,A52,'PRESUPUESTO 2024'!$BD:$BD)</f>
        <v>0</v>
      </c>
      <c r="K52" s="446">
        <f>+J52/$J$212</f>
        <v>0</v>
      </c>
    </row>
    <row r="53" spans="1:11" ht="2.4" customHeight="1" x14ac:dyDescent="0.4">
      <c r="A53" s="720"/>
      <c r="B53" s="721"/>
      <c r="C53" s="1138"/>
      <c r="D53" s="721"/>
      <c r="E53" s="1138"/>
      <c r="F53" s="721"/>
      <c r="G53" s="1138"/>
      <c r="H53" s="721"/>
      <c r="I53" s="1161"/>
      <c r="J53" s="721"/>
      <c r="K53" s="1173"/>
    </row>
    <row r="54" spans="1:11" ht="15.9" customHeight="1" x14ac:dyDescent="0.4">
      <c r="A54" s="718" t="s">
        <v>327</v>
      </c>
      <c r="B54" s="719">
        <f>SUM(B56:B61)</f>
        <v>196425908</v>
      </c>
      <c r="C54" s="1136">
        <f>SUM(B54/$B$37)</f>
        <v>7.1306423269469482E-2</v>
      </c>
      <c r="D54" s="719">
        <f>SUM(D56:D61)</f>
        <v>135140908</v>
      </c>
      <c r="E54" s="1151"/>
      <c r="F54" s="719">
        <f>SUM(F56:F61)</f>
        <v>0</v>
      </c>
      <c r="G54" s="1150">
        <f>+F54/B54</f>
        <v>0</v>
      </c>
      <c r="H54" s="719">
        <f>SUM(H56:H61)</f>
        <v>18635000</v>
      </c>
      <c r="I54" s="1153">
        <f t="shared" si="6"/>
        <v>9.4870377282410226E-2</v>
      </c>
      <c r="J54" s="719">
        <f>SUM(J56:J61)</f>
        <v>42650000</v>
      </c>
      <c r="K54" s="1172">
        <f>+J54/B54</f>
        <v>0.21713021685510039</v>
      </c>
    </row>
    <row r="55" spans="1:11" ht="9.9" customHeight="1" x14ac:dyDescent="0.4">
      <c r="A55" s="674"/>
      <c r="B55" s="717"/>
      <c r="C55" s="1137"/>
      <c r="D55" s="717"/>
      <c r="E55" s="1148"/>
      <c r="F55" s="717"/>
      <c r="G55" s="1148"/>
      <c r="H55" s="717"/>
      <c r="I55" s="1160"/>
      <c r="J55" s="717"/>
      <c r="K55" s="1171"/>
    </row>
    <row r="56" spans="1:11" ht="15.9" customHeight="1" x14ac:dyDescent="0.4">
      <c r="A56" s="674" t="s">
        <v>436</v>
      </c>
      <c r="B56" s="717">
        <f t="shared" ref="B56:B61" si="7">+D56+F56+H56+J56</f>
        <v>2400000</v>
      </c>
      <c r="C56" s="1135">
        <f t="shared" ref="C56:C61" si="8">+B56/$B$212</f>
        <v>1.5997825414045013E-4</v>
      </c>
      <c r="D56" s="717">
        <f>SUMIF('PRESUPUESTO 2024'!$B:$B,A56,'PRESUPUESTO 2024'!$R:$R)</f>
        <v>2400000</v>
      </c>
      <c r="E56" s="1135">
        <f t="shared" ref="E56:E61" si="9">+D56/$D$212</f>
        <v>3.745311522681916E-4</v>
      </c>
      <c r="F56" s="717">
        <f>SUMIF('PRESUPUESTO 2024'!$B:$B,A56,'PRESUPUESTO 2024'!T:T)</f>
        <v>0</v>
      </c>
      <c r="G56" s="1135">
        <f t="shared" ref="G56:G61" si="10">+F56/$F$212</f>
        <v>0</v>
      </c>
      <c r="H56" s="717">
        <f>SUMIF('PRESUPUESTO 2024'!$B:$B,A56,'PRESUPUESTO 2024'!$AV:$AV)</f>
        <v>0</v>
      </c>
      <c r="I56" s="1160">
        <f t="shared" si="6"/>
        <v>0</v>
      </c>
      <c r="J56" s="717">
        <f>SUMIF('PRESUPUESTO 2024'!$B:$B,A56,'PRESUPUESTO 2024'!$BD:$BD)</f>
        <v>0</v>
      </c>
      <c r="K56" s="446">
        <f t="shared" ref="K56:K61" si="11">+J56/$J$212</f>
        <v>0</v>
      </c>
    </row>
    <row r="57" spans="1:11" ht="15.9" customHeight="1" x14ac:dyDescent="0.4">
      <c r="A57" s="674" t="s">
        <v>437</v>
      </c>
      <c r="B57" s="717">
        <f t="shared" si="7"/>
        <v>42350000</v>
      </c>
      <c r="C57" s="1135">
        <f t="shared" si="8"/>
        <v>2.8229496095200264E-3</v>
      </c>
      <c r="D57" s="717">
        <f>SUMIF('PRESUPUESTO 2024'!$B:$B,A57,'PRESUPUESTO 2024'!$R:$R)</f>
        <v>0</v>
      </c>
      <c r="E57" s="1135">
        <f t="shared" si="9"/>
        <v>0</v>
      </c>
      <c r="F57" s="717">
        <f>SUMIF('PRESUPUESTO 2024'!$B:$B,A57,'PRESUPUESTO 2024'!T:T)</f>
        <v>0</v>
      </c>
      <c r="G57" s="1135">
        <f t="shared" si="10"/>
        <v>0</v>
      </c>
      <c r="H57" s="717">
        <f>SUMIF('PRESUPUESTO 2024'!$B:$B,A57,'PRESUPUESTO 2024'!$AV:$AV)</f>
        <v>0</v>
      </c>
      <c r="I57" s="1160">
        <f t="shared" si="6"/>
        <v>0</v>
      </c>
      <c r="J57" s="717">
        <f>SUMIF('PRESUPUESTO 2024'!$B:$B,A57,'PRESUPUESTO 2024'!$BD:$BD)</f>
        <v>42350000</v>
      </c>
      <c r="K57" s="446">
        <f t="shared" si="11"/>
        <v>7.5421684687136253E-2</v>
      </c>
    </row>
    <row r="58" spans="1:11" ht="15.9" customHeight="1" x14ac:dyDescent="0.4">
      <c r="A58" s="674" t="s">
        <v>438</v>
      </c>
      <c r="B58" s="717">
        <f t="shared" si="7"/>
        <v>10635000</v>
      </c>
      <c r="C58" s="1135">
        <f t="shared" si="8"/>
        <v>7.0890363865986966E-4</v>
      </c>
      <c r="D58" s="717">
        <f>SUMIF('PRESUPUESTO 2024'!$B:$B,A58,'PRESUPUESTO 2024'!$R:$R)</f>
        <v>810000</v>
      </c>
      <c r="E58" s="1135">
        <f t="shared" si="9"/>
        <v>1.2640426389051466E-4</v>
      </c>
      <c r="F58" s="717">
        <f>SUMIF('PRESUPUESTO 2024'!$B:$B,A58,'PRESUPUESTO 2024'!T:T)</f>
        <v>0</v>
      </c>
      <c r="G58" s="1135">
        <f t="shared" si="10"/>
        <v>0</v>
      </c>
      <c r="H58" s="717">
        <f>SUMIF('PRESUPUESTO 2024'!$B:$B,A58,'PRESUPUESTO 2024'!$AV:$AV)</f>
        <v>9825000</v>
      </c>
      <c r="I58" s="1160">
        <f t="shared" si="6"/>
        <v>0.92383638928067702</v>
      </c>
      <c r="J58" s="717">
        <f>SUMIF('PRESUPUESTO 2024'!$B:$B,A58,'PRESUPUESTO 2024'!$BD:$BD)</f>
        <v>0</v>
      </c>
      <c r="K58" s="446">
        <f t="shared" si="11"/>
        <v>0</v>
      </c>
    </row>
    <row r="59" spans="1:11" ht="15.9" customHeight="1" x14ac:dyDescent="0.4">
      <c r="A59" s="674" t="s">
        <v>439</v>
      </c>
      <c r="B59" s="717">
        <f t="shared" si="7"/>
        <v>9060000</v>
      </c>
      <c r="C59" s="1135">
        <f t="shared" si="8"/>
        <v>6.0391790938019922E-4</v>
      </c>
      <c r="D59" s="717">
        <f>SUMIF('PRESUPUESTO 2024'!$B:$B,A59,'PRESUPUESTO 2024'!$R:$R)</f>
        <v>250000</v>
      </c>
      <c r="E59" s="1135">
        <f t="shared" si="9"/>
        <v>3.9013661694603292E-5</v>
      </c>
      <c r="F59" s="717">
        <f>SUMIF('PRESUPUESTO 2024'!$B:$B,A59,'PRESUPUESTO 2024'!T:T)</f>
        <v>0</v>
      </c>
      <c r="G59" s="1135">
        <f t="shared" si="10"/>
        <v>0</v>
      </c>
      <c r="H59" s="717">
        <f>SUMIF('PRESUPUESTO 2024'!$B:$B,A59,'PRESUPUESTO 2024'!$AV:$AV)</f>
        <v>8810000</v>
      </c>
      <c r="I59" s="1160">
        <f t="shared" si="6"/>
        <v>0.97240618101545251</v>
      </c>
      <c r="J59" s="717">
        <f>SUMIF('PRESUPUESTO 2024'!$B:$B,A59,'PRESUPUESTO 2024'!$BD:$BD)</f>
        <v>0</v>
      </c>
      <c r="K59" s="446">
        <f t="shared" si="11"/>
        <v>0</v>
      </c>
    </row>
    <row r="60" spans="1:11" ht="15.9" customHeight="1" x14ac:dyDescent="0.4">
      <c r="A60" s="674" t="s">
        <v>452</v>
      </c>
      <c r="B60" s="717">
        <f t="shared" si="7"/>
        <v>36000000</v>
      </c>
      <c r="C60" s="1135">
        <f t="shared" si="8"/>
        <v>2.3996738121067522E-3</v>
      </c>
      <c r="D60" s="717">
        <f>SUMIF('PRESUPUESTO 2024'!$B:$B,A60,'PRESUPUESTO 2024'!$R:$R)</f>
        <v>36000000</v>
      </c>
      <c r="E60" s="1135">
        <f t="shared" si="9"/>
        <v>5.6179672840228744E-3</v>
      </c>
      <c r="F60" s="717">
        <f>SUMIF('PRESUPUESTO 2024'!$B:$B,A60,'PRESUPUESTO 2024'!T:T)</f>
        <v>0</v>
      </c>
      <c r="G60" s="1135">
        <f t="shared" si="10"/>
        <v>0</v>
      </c>
      <c r="H60" s="717">
        <f>SUMIF('PRESUPUESTO 2024'!$B:$B,A60,'PRESUPUESTO 2024'!$AV:$AV)</f>
        <v>0</v>
      </c>
      <c r="I60" s="1160">
        <f t="shared" si="6"/>
        <v>0</v>
      </c>
      <c r="J60" s="717">
        <f>SUMIF('PRESUPUESTO 2024'!$B:$B,A60,'PRESUPUESTO 2024'!$BD:$BD)</f>
        <v>0</v>
      </c>
      <c r="K60" s="446">
        <f t="shared" si="11"/>
        <v>0</v>
      </c>
    </row>
    <row r="61" spans="1:11" ht="15.9" customHeight="1" outlineLevel="2" x14ac:dyDescent="0.4">
      <c r="A61" s="674" t="s">
        <v>544</v>
      </c>
      <c r="B61" s="717">
        <f t="shared" si="7"/>
        <v>95980908</v>
      </c>
      <c r="C61" s="1135">
        <f t="shared" si="8"/>
        <v>6.3978575386063182E-3</v>
      </c>
      <c r="D61" s="717">
        <f>SUMIF('PRESUPUESTO 2024'!$B:$B,A61,'PRESUPUESTO 2024'!$R:$R)</f>
        <v>95680908</v>
      </c>
      <c r="E61" s="1135">
        <f t="shared" si="9"/>
        <v>1.4931450301377847E-2</v>
      </c>
      <c r="F61" s="717">
        <f>SUMIF('PRESUPUESTO 2024'!$B:$B,A61,'PRESUPUESTO 2024'!T:T)</f>
        <v>0</v>
      </c>
      <c r="G61" s="1135">
        <f t="shared" si="10"/>
        <v>0</v>
      </c>
      <c r="H61" s="717">
        <f>SUMIF('PRESUPUESTO 2024'!$B:$B,A61,'PRESUPUESTO 2024'!$AV:$AV)</f>
        <v>0</v>
      </c>
      <c r="I61" s="1160">
        <f t="shared" si="6"/>
        <v>0</v>
      </c>
      <c r="J61" s="717">
        <f>SUMIF('PRESUPUESTO 2024'!$B:$B,A61,'PRESUPUESTO 2024'!$BD:$BD)</f>
        <v>300000</v>
      </c>
      <c r="K61" s="446">
        <f t="shared" si="11"/>
        <v>5.3427403556412928E-4</v>
      </c>
    </row>
    <row r="62" spans="1:11" ht="9.9" customHeight="1" thickBot="1" x14ac:dyDescent="0.45">
      <c r="A62" s="722"/>
      <c r="B62" s="723"/>
      <c r="C62" s="1139"/>
      <c r="D62" s="723"/>
      <c r="E62" s="1139"/>
      <c r="F62" s="723"/>
      <c r="G62" s="1139"/>
      <c r="H62" s="723"/>
      <c r="I62" s="1162"/>
      <c r="J62" s="723"/>
      <c r="K62" s="1174"/>
    </row>
    <row r="63" spans="1:11" ht="15.9" customHeight="1" x14ac:dyDescent="0.4">
      <c r="A63" s="724" t="s">
        <v>140</v>
      </c>
      <c r="B63" s="725">
        <f>SUM(B65:B72)</f>
        <v>829519000</v>
      </c>
      <c r="C63" s="1140">
        <f>SUM(B63/$B$37)</f>
        <v>0.30113152346515842</v>
      </c>
      <c r="D63" s="725">
        <f>SUM(D65:D72)</f>
        <v>321774700</v>
      </c>
      <c r="E63" s="1152">
        <f>SUM(D63)/$B$37</f>
        <v>0.11681047163903939</v>
      </c>
      <c r="F63" s="725">
        <f>SUM(F65:F72)</f>
        <v>62996400</v>
      </c>
      <c r="G63" s="1152">
        <f>+F63/B63</f>
        <v>7.5943287616076299E-2</v>
      </c>
      <c r="H63" s="725">
        <f>SUM(H65:H72)</f>
        <v>362240600</v>
      </c>
      <c r="I63" s="1163">
        <f t="shared" si="6"/>
        <v>0.43668752614466938</v>
      </c>
      <c r="J63" s="725">
        <f>SUM(J65:J72)</f>
        <v>82507300</v>
      </c>
      <c r="K63" s="1175">
        <f>+J63/B63</f>
        <v>9.9464026743209019E-2</v>
      </c>
    </row>
    <row r="64" spans="1:11" ht="9.9" customHeight="1" x14ac:dyDescent="0.4">
      <c r="A64" s="674"/>
      <c r="B64" s="717"/>
      <c r="C64" s="1137"/>
      <c r="D64" s="726"/>
      <c r="E64" s="1137"/>
      <c r="F64" s="726"/>
      <c r="G64" s="1137"/>
      <c r="H64" s="726"/>
      <c r="I64" s="1160"/>
      <c r="J64" s="726"/>
      <c r="K64" s="1171"/>
    </row>
    <row r="65" spans="1:11" ht="15.9" customHeight="1" x14ac:dyDescent="0.4">
      <c r="A65" s="675" t="s">
        <v>641</v>
      </c>
      <c r="B65" s="717">
        <f t="shared" ref="B65:B72" si="12">+D65+F65+H65+J65</f>
        <v>100000</v>
      </c>
      <c r="C65" s="1135">
        <f t="shared" ref="C65:C71" si="13">+B65/$B$212</f>
        <v>6.6657605891854221E-6</v>
      </c>
      <c r="D65" s="717">
        <f>SUMIF('PRESUPUESTO 2024'!$B:$B,A65,'PRESUPUESTO 2024'!$R:$R)</f>
        <v>0</v>
      </c>
      <c r="E65" s="1135">
        <f t="shared" ref="E65:E72" si="14">+D65/$D$212</f>
        <v>0</v>
      </c>
      <c r="F65" s="717">
        <f>SUMIF('PRESUPUESTO 2024'!$B:$B,A65,'PRESUPUESTO 2024'!T:T)</f>
        <v>0</v>
      </c>
      <c r="G65" s="1135">
        <f t="shared" ref="G65:G71" si="15">+F65/$F$212</f>
        <v>0</v>
      </c>
      <c r="H65" s="717">
        <f>SUMIF('PRESUPUESTO 2024'!$B:$B,A65,'PRESUPUESTO 2024'!$AV:$AV)</f>
        <v>100000</v>
      </c>
      <c r="I65" s="1160">
        <f>+H65/B65</f>
        <v>1</v>
      </c>
      <c r="J65" s="717">
        <f>SUMIF('PRESUPUESTO 2024'!$B:$B,A65,'PRESUPUESTO 2024'!$BD:$BD)</f>
        <v>0</v>
      </c>
      <c r="K65" s="446">
        <f t="shared" ref="K65:K72" si="16">+J65/$J$212</f>
        <v>0</v>
      </c>
    </row>
    <row r="66" spans="1:11" ht="15.9" customHeight="1" x14ac:dyDescent="0.4">
      <c r="A66" s="675" t="s">
        <v>400</v>
      </c>
      <c r="B66" s="717">
        <f t="shared" si="12"/>
        <v>12500000</v>
      </c>
      <c r="C66" s="1135">
        <f t="shared" si="13"/>
        <v>8.332200736481778E-4</v>
      </c>
      <c r="D66" s="717">
        <f>SUMIF('PRESUPUESTO 2024'!$B:$B,A66,'PRESUPUESTO 2024'!$R:$R)</f>
        <v>12500000</v>
      </c>
      <c r="E66" s="1135">
        <f t="shared" si="14"/>
        <v>1.9506830847301647E-3</v>
      </c>
      <c r="F66" s="717">
        <f>SUMIF('PRESUPUESTO 2024'!$B:$B,A66,'PRESUPUESTO 2024'!T:T)</f>
        <v>0</v>
      </c>
      <c r="G66" s="1135">
        <f t="shared" si="15"/>
        <v>0</v>
      </c>
      <c r="H66" s="717">
        <f>SUMIF('PRESUPUESTO 2024'!$B:$B,A66,'PRESUPUESTO 2024'!$AV:$AV)</f>
        <v>0</v>
      </c>
      <c r="I66" s="1160">
        <f>+H66/B66</f>
        <v>0</v>
      </c>
      <c r="J66" s="717">
        <f>SUMIF('PRESUPUESTO 2024'!$B:$B,A66,'PRESUPUESTO 2024'!$BD:$BD)</f>
        <v>0</v>
      </c>
      <c r="K66" s="446">
        <f t="shared" si="16"/>
        <v>0</v>
      </c>
    </row>
    <row r="67" spans="1:11" ht="15.9" hidden="1" customHeight="1" x14ac:dyDescent="0.4">
      <c r="A67" s="675"/>
      <c r="B67" s="717">
        <f t="shared" si="12"/>
        <v>0</v>
      </c>
      <c r="C67" s="1135">
        <f t="shared" si="13"/>
        <v>0</v>
      </c>
      <c r="D67" s="717">
        <f>SUMIF('PRESUPUESTO 2024'!$B:$B,A67,'PRESUPUESTO 2024'!$R:$R)</f>
        <v>0</v>
      </c>
      <c r="E67" s="1135">
        <f t="shared" si="14"/>
        <v>0</v>
      </c>
      <c r="F67" s="717">
        <f>SUMIF('PRESUPUESTO 2024'!$B:$B,A67,'PRESUPUESTO 2024'!T:T)</f>
        <v>0</v>
      </c>
      <c r="G67" s="1135">
        <f t="shared" si="15"/>
        <v>0</v>
      </c>
      <c r="H67" s="717">
        <f>SUMIF('PRESUPUESTO 2024'!$B:$B,A67,'PRESUPUESTO 2024'!$AV:$AV)</f>
        <v>0</v>
      </c>
      <c r="I67" s="1160"/>
      <c r="J67" s="717">
        <f>SUMIF('PRESUPUESTO 2024'!$B:$B,A67,'PRESUPUESTO 2024'!$BD:$BD)</f>
        <v>0</v>
      </c>
      <c r="K67" s="446">
        <f t="shared" si="16"/>
        <v>0</v>
      </c>
    </row>
    <row r="68" spans="1:11" ht="15.9" hidden="1" customHeight="1" x14ac:dyDescent="0.4">
      <c r="A68" s="675" t="s">
        <v>344</v>
      </c>
      <c r="B68" s="717">
        <f t="shared" si="12"/>
        <v>0</v>
      </c>
      <c r="C68" s="1135">
        <f t="shared" si="13"/>
        <v>0</v>
      </c>
      <c r="D68" s="717">
        <f>SUMIF('PRESUPUESTO 2024'!$B:$B,A68,'PRESUPUESTO 2024'!$R:$R)</f>
        <v>0</v>
      </c>
      <c r="E68" s="1135">
        <f t="shared" si="14"/>
        <v>0</v>
      </c>
      <c r="F68" s="717">
        <f>SUMIF('PRESUPUESTO 2024'!$B:$B,A68,'PRESUPUESTO 2024'!T:T)</f>
        <v>0</v>
      </c>
      <c r="G68" s="1135">
        <f t="shared" si="15"/>
        <v>0</v>
      </c>
      <c r="H68" s="717">
        <f>SUMIF('PRESUPUESTO 2024'!$B:$B,A68,'PRESUPUESTO 2024'!$AV:$AV)</f>
        <v>0</v>
      </c>
      <c r="I68" s="1160" t="e">
        <f>+H68/B68</f>
        <v>#DIV/0!</v>
      </c>
      <c r="J68" s="717">
        <f>SUMIF('PRESUPUESTO 2024'!$B:$B,A68,'PRESUPUESTO 2024'!$BD:$BD)</f>
        <v>0</v>
      </c>
      <c r="K68" s="446">
        <f t="shared" si="16"/>
        <v>0</v>
      </c>
    </row>
    <row r="69" spans="1:11" ht="15.9" customHeight="1" x14ac:dyDescent="0.4">
      <c r="A69" s="674" t="s">
        <v>142</v>
      </c>
      <c r="B69" s="717">
        <f t="shared" si="12"/>
        <v>104000000</v>
      </c>
      <c r="C69" s="1135">
        <f t="shared" si="13"/>
        <v>6.9323910127528391E-3</v>
      </c>
      <c r="D69" s="717">
        <f>SUMIF('PRESUPUESTO 2024'!$B:$B,A69,'PRESUPUESTO 2024'!$R:$R)</f>
        <v>43000000</v>
      </c>
      <c r="E69" s="1135">
        <f t="shared" si="14"/>
        <v>6.7103498114717665E-3</v>
      </c>
      <c r="F69" s="717">
        <f>SUMIF('PRESUPUESTO 2024'!$B:$B,A69,'PRESUPUESTO 2024'!T:T)</f>
        <v>0</v>
      </c>
      <c r="G69" s="1135">
        <f t="shared" si="15"/>
        <v>0</v>
      </c>
      <c r="H69" s="717">
        <f>SUMIF('PRESUPUESTO 2024'!$B:$B,A69,'PRESUPUESTO 2024'!$AV:$AV)</f>
        <v>61000000</v>
      </c>
      <c r="I69" s="1160">
        <f t="shared" si="6"/>
        <v>0.58653846153846156</v>
      </c>
      <c r="J69" s="717">
        <f>SUMIF('PRESUPUESTO 2024'!$B:$B,A69,'PRESUPUESTO 2024'!$BD:$BD)</f>
        <v>0</v>
      </c>
      <c r="K69" s="446">
        <f t="shared" si="16"/>
        <v>0</v>
      </c>
    </row>
    <row r="70" spans="1:11" ht="15.9" hidden="1" customHeight="1" x14ac:dyDescent="0.4">
      <c r="A70" s="674" t="s">
        <v>332</v>
      </c>
      <c r="B70" s="717">
        <f t="shared" si="12"/>
        <v>0</v>
      </c>
      <c r="C70" s="1135">
        <f t="shared" si="13"/>
        <v>0</v>
      </c>
      <c r="D70" s="717">
        <f>SUMIF('PRESUPUESTO 2024'!$B:$B,A70,'PRESUPUESTO 2024'!$R:$R)</f>
        <v>0</v>
      </c>
      <c r="E70" s="1135">
        <f t="shared" si="14"/>
        <v>0</v>
      </c>
      <c r="F70" s="717">
        <f>SUMIF('PRESUPUESTO 2024'!$B:$B,A70,'PRESUPUESTO 2024'!T:T)</f>
        <v>0</v>
      </c>
      <c r="G70" s="1135">
        <f t="shared" si="15"/>
        <v>0</v>
      </c>
      <c r="H70" s="717">
        <f>SUMIF('PRESUPUESTO 2024'!$B:$B,A70,'PRESUPUESTO 2024'!$AV:$AV)</f>
        <v>0</v>
      </c>
      <c r="I70" s="1160" t="e">
        <f t="shared" si="6"/>
        <v>#DIV/0!</v>
      </c>
      <c r="J70" s="717">
        <f>SUMIF('PRESUPUESTO 2024'!$B:$B,A70,'PRESUPUESTO 2024'!$BD:$BD)</f>
        <v>0</v>
      </c>
      <c r="K70" s="446">
        <f t="shared" si="16"/>
        <v>0</v>
      </c>
    </row>
    <row r="71" spans="1:11" ht="15.9" customHeight="1" x14ac:dyDescent="0.4">
      <c r="A71" s="674" t="s">
        <v>146</v>
      </c>
      <c r="B71" s="717">
        <f t="shared" si="12"/>
        <v>87819000</v>
      </c>
      <c r="C71" s="1135">
        <f t="shared" si="13"/>
        <v>5.8538042918167459E-3</v>
      </c>
      <c r="D71" s="717">
        <f>SUMIF('PRESUPUESTO 2024'!$B:$B,A71,'PRESUPUESTO 2024'!$R:$R)</f>
        <v>34074700</v>
      </c>
      <c r="E71" s="1135">
        <f t="shared" si="14"/>
        <v>5.317515272580395E-3</v>
      </c>
      <c r="F71" s="717">
        <f>SUMIF('PRESUPUESTO 2024'!$B:$B,A71,'PRESUPUESTO 2024'!T:T)</f>
        <v>2196400</v>
      </c>
      <c r="G71" s="1135">
        <f t="shared" si="15"/>
        <v>3.9788463917837654E-3</v>
      </c>
      <c r="H71" s="717">
        <f>SUMIF('PRESUPUESTO 2024'!$B:$B,A71,'PRESUPUESTO 2024'!$AV:$AV)</f>
        <v>41140600</v>
      </c>
      <c r="I71" s="1160">
        <f t="shared" si="6"/>
        <v>0.46847037656999058</v>
      </c>
      <c r="J71" s="717">
        <f>SUMIF('PRESUPUESTO 2024'!$B:$B,A71,'PRESUPUESTO 2024'!$BD:$BD)</f>
        <v>10407300</v>
      </c>
      <c r="K71" s="446">
        <f t="shared" si="16"/>
        <v>1.853450056775521E-2</v>
      </c>
    </row>
    <row r="72" spans="1:11" ht="15.9" customHeight="1" outlineLevel="2" x14ac:dyDescent="0.4">
      <c r="A72" s="674" t="s">
        <v>148</v>
      </c>
      <c r="B72" s="717">
        <f t="shared" si="12"/>
        <v>625100000</v>
      </c>
      <c r="C72" s="1135">
        <f>+B72/$B$212</f>
        <v>4.1667669442998073E-2</v>
      </c>
      <c r="D72" s="717">
        <f>+'EST.ORIGEN Y APLICACION'!C120</f>
        <v>232200000</v>
      </c>
      <c r="E72" s="1135">
        <f t="shared" si="14"/>
        <v>3.6235888981947538E-2</v>
      </c>
      <c r="F72" s="717">
        <f>SUMIF('PRESUPUESTO 2024'!$B:$B,A72,'PRESUPUESTO 2024'!T:T)</f>
        <v>60800000</v>
      </c>
      <c r="G72" s="1135">
        <f>+F72/$F$212</f>
        <v>0.11014107658916998</v>
      </c>
      <c r="H72" s="717">
        <f>+'EST.ORIGEN Y APLICACION'!E120</f>
        <v>260000000</v>
      </c>
      <c r="I72" s="1160">
        <v>0</v>
      </c>
      <c r="J72" s="717">
        <f>SUMIF('PRESUPUESTO 2024'!$B:$B,A72,'PRESUPUESTO 2024'!$BD:$BD)</f>
        <v>72100000</v>
      </c>
      <c r="K72" s="446">
        <f t="shared" si="16"/>
        <v>0.12840385988057906</v>
      </c>
    </row>
    <row r="73" spans="1:11" ht="9.9" customHeight="1" x14ac:dyDescent="0.4">
      <c r="A73" s="674"/>
      <c r="B73" s="717"/>
      <c r="C73" s="1137"/>
      <c r="D73" s="717"/>
      <c r="E73" s="1137"/>
      <c r="F73" s="717"/>
      <c r="G73" s="1137"/>
      <c r="H73" s="717"/>
      <c r="I73" s="1160"/>
      <c r="J73" s="717"/>
      <c r="K73" s="1171"/>
    </row>
    <row r="74" spans="1:11" ht="15.9" customHeight="1" x14ac:dyDescent="0.4">
      <c r="A74" s="718" t="s">
        <v>150</v>
      </c>
      <c r="B74" s="719">
        <f>SUM(B76:B79)</f>
        <v>764648300</v>
      </c>
      <c r="C74" s="1136">
        <f>SUM(B74/$B$37)</f>
        <v>0.27758219823059327</v>
      </c>
      <c r="D74" s="719">
        <f>SUM(D76:D79)</f>
        <v>25883600</v>
      </c>
      <c r="E74" s="1136">
        <f>SUM(D74)/$B$37</f>
        <v>9.3962499963988477E-3</v>
      </c>
      <c r="F74" s="719">
        <f>SUM(F76:F79)</f>
        <v>3450000</v>
      </c>
      <c r="G74" s="1150">
        <f>+F74/B74</f>
        <v>4.5118782059673712E-3</v>
      </c>
      <c r="H74" s="719">
        <f>SUM(H76:H79)</f>
        <v>735164700</v>
      </c>
      <c r="I74" s="1153">
        <f t="shared" si="6"/>
        <v>0.96144161963088126</v>
      </c>
      <c r="J74" s="719">
        <f>SUM(J76:J79)</f>
        <v>150000</v>
      </c>
      <c r="K74" s="1172">
        <f>+J74/B74</f>
        <v>1.9616861765075526E-4</v>
      </c>
    </row>
    <row r="75" spans="1:11" ht="9.9" customHeight="1" x14ac:dyDescent="0.4">
      <c r="A75" s="674"/>
      <c r="B75" s="717"/>
      <c r="C75" s="1137"/>
      <c r="D75" s="717"/>
      <c r="E75" s="1137"/>
      <c r="F75" s="717"/>
      <c r="G75" s="1137"/>
      <c r="H75" s="717"/>
      <c r="I75" s="1160"/>
      <c r="J75" s="717"/>
      <c r="K75" s="1171"/>
    </row>
    <row r="76" spans="1:11" ht="15.9" customHeight="1" x14ac:dyDescent="0.4">
      <c r="A76" s="674" t="s">
        <v>545</v>
      </c>
      <c r="B76" s="717">
        <f>+D76+F76+H76+J76</f>
        <v>14377500</v>
      </c>
      <c r="C76" s="1135">
        <f>+B76/$B$212</f>
        <v>9.5836972871013405E-4</v>
      </c>
      <c r="D76" s="717">
        <f>SUMIF('PRESUPUESTO 2024'!$B:$B,A76,'PRESUPUESTO 2024'!$R:$R)</f>
        <v>830000</v>
      </c>
      <c r="E76" s="1135">
        <f>+D76/$D$212</f>
        <v>1.2952535682608294E-4</v>
      </c>
      <c r="F76" s="717">
        <f>SUMIF('PRESUPUESTO 2024'!$B:$B,A76,'PRESUPUESTO 2024'!T:T)</f>
        <v>0</v>
      </c>
      <c r="G76" s="1135">
        <f>+F76/$F$212</f>
        <v>0</v>
      </c>
      <c r="H76" s="717">
        <f>SUMIF('PRESUPUESTO 2024'!$B:$B,A76,'PRESUPUESTO 2024'!$AV:$AV)</f>
        <v>13547500</v>
      </c>
      <c r="I76" s="1160">
        <f t="shared" si="6"/>
        <v>0.9422709094070596</v>
      </c>
      <c r="J76" s="717">
        <f>SUMIF('PRESUPUESTO 2024'!$B:$B,A76,'PRESUPUESTO 2024'!$BD:$BD)</f>
        <v>0</v>
      </c>
      <c r="K76" s="446">
        <f>+J76/$J$212</f>
        <v>0</v>
      </c>
    </row>
    <row r="77" spans="1:11" ht="15.9" customHeight="1" x14ac:dyDescent="0.4">
      <c r="A77" s="674" t="s">
        <v>542</v>
      </c>
      <c r="B77" s="717">
        <f>+D77+F77+H77+J77</f>
        <v>707940800</v>
      </c>
      <c r="C77" s="1135">
        <f>+B77/$B$212</f>
        <v>4.7189638841163992E-2</v>
      </c>
      <c r="D77" s="717">
        <f>SUMIF('PRESUPUESTO 2024'!$B:$B,A77,'PRESUPUESTO 2024'!$R:$R)</f>
        <v>3353600</v>
      </c>
      <c r="E77" s="1135">
        <f>+D77/$D$212</f>
        <v>5.2334486343608643E-4</v>
      </c>
      <c r="F77" s="717">
        <f>SUMIF('PRESUPUESTO 2024'!$B:$B,A77,'PRESUPUESTO 2024'!T:T)</f>
        <v>0</v>
      </c>
      <c r="G77" s="1135">
        <f>+F77/$F$212</f>
        <v>0</v>
      </c>
      <c r="H77" s="717">
        <f>SUMIF('PRESUPUESTO 2024'!$B:$B,A77,'PRESUPUESTO 2024'!$AV:$AV)</f>
        <v>704437200</v>
      </c>
      <c r="I77" s="1160">
        <f t="shared" si="6"/>
        <v>0.99505099861457347</v>
      </c>
      <c r="J77" s="717">
        <f>SUMIF('PRESUPUESTO 2024'!$B:$B,A77,'PRESUPUESTO 2024'!$BD:$BD)</f>
        <v>150000</v>
      </c>
      <c r="K77" s="446">
        <f>+J77/$J$212</f>
        <v>2.6713701778206464E-4</v>
      </c>
    </row>
    <row r="78" spans="1:11" ht="15.9" customHeight="1" x14ac:dyDescent="0.4">
      <c r="A78" s="674" t="s">
        <v>156</v>
      </c>
      <c r="B78" s="717">
        <f>+D78+F78+H78+J78</f>
        <v>16750000</v>
      </c>
      <c r="C78" s="1135">
        <f>+B78/$B$212</f>
        <v>1.1165148986885583E-3</v>
      </c>
      <c r="D78" s="717">
        <f>SUMIF('PRESUPUESTO 2024'!$B:$B,A78,'PRESUPUESTO 2024'!$R:$R)</f>
        <v>10200000</v>
      </c>
      <c r="E78" s="1135">
        <f>+D78/$D$212</f>
        <v>1.5917573971398144E-3</v>
      </c>
      <c r="F78" s="717">
        <f>SUMIF('PRESUPUESTO 2024'!$B:$B,A78,'PRESUPUESTO 2024'!T:T)</f>
        <v>1750000</v>
      </c>
      <c r="G78" s="1135">
        <f>+F78/$F$212</f>
        <v>3.1701790136685437E-3</v>
      </c>
      <c r="H78" s="717">
        <f>SUMIF('PRESUPUESTO 2024'!$B:$B,A78,'PRESUPUESTO 2024'!$AV:$AV)</f>
        <v>4800000</v>
      </c>
      <c r="I78" s="1160">
        <f t="shared" si="6"/>
        <v>0.28656716417910449</v>
      </c>
      <c r="J78" s="717">
        <f>SUMIF('PRESUPUESTO 2024'!$B:$B,A78,'PRESUPUESTO 2024'!$BD:$BD)</f>
        <v>0</v>
      </c>
      <c r="K78" s="446">
        <f>+J78/$J$212</f>
        <v>0</v>
      </c>
    </row>
    <row r="79" spans="1:11" ht="15.9" customHeight="1" x14ac:dyDescent="0.4">
      <c r="A79" s="674" t="s">
        <v>440</v>
      </c>
      <c r="B79" s="717">
        <f>+D79+F79+H79+J79</f>
        <v>25580000</v>
      </c>
      <c r="C79" s="1135">
        <f>+B79/$B$212</f>
        <v>1.705101558713631E-3</v>
      </c>
      <c r="D79" s="717">
        <f>SUMIF('PRESUPUESTO 2024'!$B:$B,A79,'PRESUPUESTO 2024'!$R:$R)</f>
        <v>11500000</v>
      </c>
      <c r="E79" s="1135">
        <f>+D79/$D$212</f>
        <v>1.7946284379517514E-3</v>
      </c>
      <c r="F79" s="717">
        <f>SUMIF('PRESUPUESTO 2024'!$B:$B,A79,'PRESUPUESTO 2024'!T:T)</f>
        <v>1700000</v>
      </c>
      <c r="G79" s="1135">
        <f>+F79/$F$212</f>
        <v>3.079602470420871E-3</v>
      </c>
      <c r="H79" s="717">
        <f>SUMIF('PRESUPUESTO 2024'!$B:$B,A79,'PRESUPUESTO 2024'!$AV:$AV)</f>
        <v>12380000</v>
      </c>
      <c r="I79" s="1160">
        <f t="shared" si="6"/>
        <v>0.48397185301016421</v>
      </c>
      <c r="J79" s="717">
        <f>SUMIF('PRESUPUESTO 2024'!$B:$B,A79,'PRESUPUESTO 2024'!$BD:$BD)</f>
        <v>0</v>
      </c>
      <c r="K79" s="446">
        <f>+J79/$J$212</f>
        <v>0</v>
      </c>
    </row>
    <row r="80" spans="1:11" ht="9.9" customHeight="1" x14ac:dyDescent="0.4">
      <c r="A80" s="674"/>
      <c r="B80" s="717"/>
      <c r="C80" s="1137"/>
      <c r="D80" s="717"/>
      <c r="E80" s="1137"/>
      <c r="F80" s="717"/>
      <c r="G80" s="1137"/>
      <c r="H80" s="717"/>
      <c r="I80" s="1160"/>
      <c r="J80" s="717"/>
      <c r="K80" s="1171"/>
    </row>
    <row r="81" spans="1:11" ht="15.9" customHeight="1" x14ac:dyDescent="0.4">
      <c r="A81" s="718" t="s">
        <v>328</v>
      </c>
      <c r="B81" s="719">
        <f>SUM(B83)</f>
        <v>104106900</v>
      </c>
      <c r="C81" s="1136">
        <f>SUM(B81/$B$37)</f>
        <v>3.7792828615420389E-2</v>
      </c>
      <c r="D81" s="719">
        <f>SUM(D83)</f>
        <v>20951900</v>
      </c>
      <c r="E81" s="1136">
        <f>SUM(D81)/$B$37</f>
        <v>7.6059470204897697E-3</v>
      </c>
      <c r="F81" s="719">
        <f>SUM(F83)</f>
        <v>2500400</v>
      </c>
      <c r="G81" s="1150">
        <f>+F81/B81</f>
        <v>2.4017620349851932E-2</v>
      </c>
      <c r="H81" s="719">
        <f>SUM(H83)</f>
        <v>78656600</v>
      </c>
      <c r="I81" s="1153">
        <f t="shared" si="6"/>
        <v>0.75553685682697302</v>
      </c>
      <c r="J81" s="719">
        <f>SUM(J83)</f>
        <v>1998000</v>
      </c>
      <c r="K81" s="1172">
        <f>+J81/B81</f>
        <v>1.9191811493762662E-2</v>
      </c>
    </row>
    <row r="82" spans="1:11" ht="9.9" customHeight="1" x14ac:dyDescent="0.4">
      <c r="A82" s="674"/>
      <c r="B82" s="717"/>
      <c r="C82" s="1137"/>
      <c r="D82" s="717"/>
      <c r="E82" s="1137"/>
      <c r="F82" s="717"/>
      <c r="G82" s="1137"/>
      <c r="H82" s="717"/>
      <c r="I82" s="1160"/>
      <c r="J82" s="717"/>
      <c r="K82" s="1171"/>
    </row>
    <row r="83" spans="1:11" ht="15.9" customHeight="1" x14ac:dyDescent="0.4">
      <c r="A83" s="677" t="s">
        <v>1207</v>
      </c>
      <c r="B83" s="717">
        <f>+D83+F83+H83+J83</f>
        <v>104106900</v>
      </c>
      <c r="C83" s="1135">
        <f>+B83/$B$212</f>
        <v>6.9395167108226782E-3</v>
      </c>
      <c r="D83" s="717">
        <f>SUMIF('PRESUPUESTO 2024'!$B:$B,A83,'PRESUPUESTO 2024'!$R:$R)</f>
        <v>20951900</v>
      </c>
      <c r="E83" s="1135">
        <f>+D83/$D$212</f>
        <v>3.2696413538366347E-3</v>
      </c>
      <c r="F83" s="717">
        <f>SUMIF('PRESUPUESTO 2024'!$B:$B,A83,'PRESUPUESTO 2024'!T:T)</f>
        <v>2500400</v>
      </c>
      <c r="G83" s="1135">
        <f>+F83/$F$212</f>
        <v>4.5295517747296152E-3</v>
      </c>
      <c r="H83" s="717">
        <f>SUMIF('PRESUPUESTO 2024'!$B:$B,A83,'PRESUPUESTO 2024'!$AV:$AV)</f>
        <v>78656600</v>
      </c>
      <c r="I83" s="1160">
        <f t="shared" si="6"/>
        <v>0.75553685682697302</v>
      </c>
      <c r="J83" s="717">
        <f>SUMIF('PRESUPUESTO 2024'!$B:$B,A83,'PRESUPUESTO 2024'!$BD:$BD)</f>
        <v>1998000</v>
      </c>
      <c r="K83" s="446">
        <f>+J83/$J$212</f>
        <v>3.5582650768571011E-3</v>
      </c>
    </row>
    <row r="84" spans="1:11" ht="9.9" customHeight="1" x14ac:dyDescent="0.4">
      <c r="A84" s="677"/>
      <c r="B84" s="726"/>
      <c r="C84" s="1137"/>
      <c r="D84" s="726"/>
      <c r="E84" s="1137"/>
      <c r="F84" s="726"/>
      <c r="G84" s="1137"/>
      <c r="H84" s="726"/>
      <c r="I84" s="1160"/>
      <c r="J84" s="726"/>
      <c r="K84" s="1171"/>
    </row>
    <row r="85" spans="1:11" ht="15.9" customHeight="1" x14ac:dyDescent="0.4">
      <c r="A85" s="676" t="s">
        <v>163</v>
      </c>
      <c r="B85" s="727">
        <f>SUM(B87:B89)</f>
        <v>106120000</v>
      </c>
      <c r="C85" s="1136">
        <f>SUM(B85/$B$37)</f>
        <v>3.8523623051578824E-2</v>
      </c>
      <c r="D85" s="727">
        <f>SUM(D87:D89)</f>
        <v>81950000</v>
      </c>
      <c r="E85" s="1136">
        <f>+D85/B85</f>
        <v>0.77223897474557102</v>
      </c>
      <c r="F85" s="727">
        <f>SUM(F87:F89)</f>
        <v>1000000</v>
      </c>
      <c r="G85" s="1150">
        <f>+F85/B85</f>
        <v>9.4232943837165468E-3</v>
      </c>
      <c r="H85" s="727">
        <f>SUM(H87:H89)</f>
        <v>23170000</v>
      </c>
      <c r="I85" s="1153">
        <f t="shared" si="6"/>
        <v>0.2183377308707124</v>
      </c>
      <c r="J85" s="727">
        <f>SUM(J87:J89)</f>
        <v>0</v>
      </c>
      <c r="K85" s="1172">
        <f>+J85/B85</f>
        <v>0</v>
      </c>
    </row>
    <row r="86" spans="1:11" ht="9.9" customHeight="1" x14ac:dyDescent="0.4">
      <c r="A86" s="677"/>
      <c r="B86" s="726"/>
      <c r="C86" s="1137"/>
      <c r="D86" s="726"/>
      <c r="E86" s="1137"/>
      <c r="F86" s="726"/>
      <c r="G86" s="1137"/>
      <c r="H86" s="726"/>
      <c r="I86" s="1160"/>
      <c r="J86" s="726"/>
      <c r="K86" s="1171"/>
    </row>
    <row r="87" spans="1:11" ht="15.9" customHeight="1" x14ac:dyDescent="0.4">
      <c r="A87" s="677" t="s">
        <v>165</v>
      </c>
      <c r="B87" s="717">
        <f>+D87+F87+H87+J87</f>
        <v>105970000</v>
      </c>
      <c r="C87" s="1135">
        <f>+B87/$B$212</f>
        <v>7.0637064963597921E-3</v>
      </c>
      <c r="D87" s="717">
        <f>SUMIF('PRESUPUESTO 2024'!$B:$B,A87,'PRESUPUESTO 2024'!$R:$R)</f>
        <v>81800000</v>
      </c>
      <c r="E87" s="1135">
        <f>+D87/$D$212</f>
        <v>1.2765270106474198E-2</v>
      </c>
      <c r="F87" s="717">
        <f>SUMIF('PRESUPUESTO 2024'!$B:$B,A87,'PRESUPUESTO 2024'!T:T)</f>
        <v>1000000</v>
      </c>
      <c r="G87" s="1135">
        <f>+F87/$F$212</f>
        <v>1.8115308649534537E-3</v>
      </c>
      <c r="H87" s="717">
        <f>SUMIF('PRESUPUESTO 2024'!$B:$B,A87,'PRESUPUESTO 2024'!$AV:$AV)</f>
        <v>23170000</v>
      </c>
      <c r="I87" s="1160">
        <f t="shared" si="6"/>
        <v>0.21864678682646033</v>
      </c>
      <c r="J87" s="717">
        <f>SUMIF('PRESUPUESTO 2024'!$B:$B,A87,'PRESUPUESTO 2024'!$BD:$BD)</f>
        <v>0</v>
      </c>
      <c r="K87" s="446">
        <f>+J87/$J$212</f>
        <v>0</v>
      </c>
    </row>
    <row r="88" spans="1:11" ht="15.9" hidden="1" customHeight="1" x14ac:dyDescent="0.4">
      <c r="A88" s="677" t="s">
        <v>167</v>
      </c>
      <c r="B88" s="717">
        <f>+D88+F88+H88+J88</f>
        <v>0</v>
      </c>
      <c r="C88" s="1135">
        <f>+B88/$B$212</f>
        <v>0</v>
      </c>
      <c r="D88" s="717">
        <f>SUMIF('PRESUPUESTO 2024'!$B:$B,A88,'PRESUPUESTO 2024'!$R:$R)</f>
        <v>0</v>
      </c>
      <c r="E88" s="1135">
        <f>+D88/$D$212</f>
        <v>0</v>
      </c>
      <c r="F88" s="717">
        <f>SUMIF('PRESUPUESTO 2024'!$B:$B,A88,'PRESUPUESTO 2024'!T:T)</f>
        <v>0</v>
      </c>
      <c r="G88" s="1135">
        <f>+F88/$F$212</f>
        <v>0</v>
      </c>
      <c r="H88" s="717">
        <f>SUMIF('PRESUPUESTO 2024'!$B:$B,A88,'PRESUPUESTO 2024'!$AV:$AV)</f>
        <v>0</v>
      </c>
      <c r="I88" s="1160" t="e">
        <f t="shared" si="6"/>
        <v>#DIV/0!</v>
      </c>
      <c r="J88" s="717">
        <f>SUMIF('PRESUPUESTO 2024'!$B:$B,A88,'PRESUPUESTO 2024'!$BD:$BD)</f>
        <v>0</v>
      </c>
      <c r="K88" s="446">
        <f>+J88/$J$212</f>
        <v>0</v>
      </c>
    </row>
    <row r="89" spans="1:11" ht="15.9" customHeight="1" x14ac:dyDescent="0.4">
      <c r="A89" s="677" t="s">
        <v>169</v>
      </c>
      <c r="B89" s="717">
        <f>+D89+F89+H89+J89</f>
        <v>150000</v>
      </c>
      <c r="C89" s="1135">
        <f>+B89/$B$212</f>
        <v>9.9986408837781332E-6</v>
      </c>
      <c r="D89" s="717">
        <f>SUMIF('PRESUPUESTO 2024'!$B:$B,A89,'PRESUPUESTO 2024'!$R:$R)</f>
        <v>150000</v>
      </c>
      <c r="E89" s="1135">
        <f>+D89/$D$212</f>
        <v>2.3408197016761975E-5</v>
      </c>
      <c r="F89" s="717">
        <f>SUMIF('PRESUPUESTO 2024'!$B:$B,A89,'PRESUPUESTO 2024'!T:T)</f>
        <v>0</v>
      </c>
      <c r="G89" s="1135">
        <f>+F89/$F$212</f>
        <v>0</v>
      </c>
      <c r="H89" s="717">
        <f>SUMIF('PRESUPUESTO 2024'!$B:$B,A89,'PRESUPUESTO 2024'!$AV:$AV)</f>
        <v>0</v>
      </c>
      <c r="I89" s="1160">
        <f t="shared" si="6"/>
        <v>0</v>
      </c>
      <c r="J89" s="717">
        <f>SUMIF('PRESUPUESTO 2024'!$B:$B,A89,'PRESUPUESTO 2024'!$BD:$BD)</f>
        <v>0</v>
      </c>
      <c r="K89" s="446">
        <f>+J89/$J$212</f>
        <v>0</v>
      </c>
    </row>
    <row r="90" spans="1:11" ht="9.9" customHeight="1" x14ac:dyDescent="0.4">
      <c r="A90" s="677"/>
      <c r="B90" s="726"/>
      <c r="C90" s="1137"/>
      <c r="D90" s="726"/>
      <c r="E90" s="1137"/>
      <c r="F90" s="726"/>
      <c r="G90" s="1137"/>
      <c r="H90" s="726"/>
      <c r="I90" s="1160"/>
      <c r="J90" s="726"/>
      <c r="K90" s="1171"/>
    </row>
    <row r="91" spans="1:11" ht="15.9" customHeight="1" x14ac:dyDescent="0.4">
      <c r="A91" s="676" t="s">
        <v>171</v>
      </c>
      <c r="B91" s="727">
        <f>SUM(B93:B100)</f>
        <v>163900000</v>
      </c>
      <c r="C91" s="1136">
        <f>SUM(B91/$B$37)</f>
        <v>5.9498886337672155E-2</v>
      </c>
      <c r="D91" s="727">
        <f>SUM(D93:D100)</f>
        <v>91040000</v>
      </c>
      <c r="E91" s="1136">
        <f>+D91/B91</f>
        <v>0.55546064673581452</v>
      </c>
      <c r="F91" s="727">
        <f>SUM(F93:F100)</f>
        <v>0</v>
      </c>
      <c r="G91" s="1150">
        <f>+F91/B91</f>
        <v>0</v>
      </c>
      <c r="H91" s="727">
        <f>SUM(H93:H100)</f>
        <v>72860000</v>
      </c>
      <c r="I91" s="1153">
        <f t="shared" si="6"/>
        <v>0.44453935326418548</v>
      </c>
      <c r="J91" s="727">
        <f>SUM(J93:J100)</f>
        <v>0</v>
      </c>
      <c r="K91" s="1172">
        <f>+J91/B91</f>
        <v>0</v>
      </c>
    </row>
    <row r="92" spans="1:11" ht="9.9" customHeight="1" x14ac:dyDescent="0.4">
      <c r="A92" s="728"/>
      <c r="B92" s="729"/>
      <c r="C92" s="1141"/>
      <c r="D92" s="729"/>
      <c r="E92" s="1141"/>
      <c r="F92" s="729"/>
      <c r="G92" s="1141"/>
      <c r="H92" s="729"/>
      <c r="I92" s="1164"/>
      <c r="J92" s="729"/>
      <c r="K92" s="1176"/>
    </row>
    <row r="93" spans="1:11" ht="15.9" customHeight="1" x14ac:dyDescent="0.4">
      <c r="A93" s="677" t="s">
        <v>661</v>
      </c>
      <c r="B93" s="717">
        <f>+D93+F93+H93+J93</f>
        <v>500000</v>
      </c>
      <c r="C93" s="1135">
        <f t="shared" ref="C93:C100" si="17">+B93/$B$212</f>
        <v>3.3328802945927111E-5</v>
      </c>
      <c r="D93" s="717">
        <f>SUMIF('PRESUPUESTO 2024'!$B:$B,A93,'PRESUPUESTO 2024'!$R:$R)</f>
        <v>500000</v>
      </c>
      <c r="E93" s="1135">
        <f t="shared" ref="E93:E100" si="18">+D93/$D$212</f>
        <v>7.8027323389206585E-5</v>
      </c>
      <c r="F93" s="717">
        <f>SUMIF('PRESUPUESTO 2024'!$B:$B,A93,'PRESUPUESTO 2024'!T:T)</f>
        <v>0</v>
      </c>
      <c r="G93" s="1135">
        <f t="shared" ref="G93:G99" si="19">+F93/$F$212</f>
        <v>0</v>
      </c>
      <c r="H93" s="717">
        <f>SUMIF('PRESUPUESTO 2024'!$B:$B,A93,'PRESUPUESTO 2024'!$AV:$AV)</f>
        <v>0</v>
      </c>
      <c r="I93" s="1160">
        <f t="shared" si="6"/>
        <v>0</v>
      </c>
      <c r="J93" s="717">
        <f>SUMIF('PRESUPUESTO 2024'!$B:$B,A93,'PRESUPUESTO 2024'!$BD:$BD)</f>
        <v>0</v>
      </c>
      <c r="K93" s="446">
        <f t="shared" ref="K93:K100" si="20">+J93/$J$212</f>
        <v>0</v>
      </c>
    </row>
    <row r="94" spans="1:11" ht="15.9" hidden="1" customHeight="1" x14ac:dyDescent="0.4">
      <c r="A94" s="677" t="s">
        <v>175</v>
      </c>
      <c r="B94" s="717">
        <f t="shared" ref="B94:B100" si="21">+D94+F94+H94+J94</f>
        <v>0</v>
      </c>
      <c r="C94" s="1135">
        <f t="shared" si="17"/>
        <v>0</v>
      </c>
      <c r="D94" s="717">
        <f>SUMIF('PRESUPUESTO 2024'!$B:$B,A94,'PRESUPUESTO 2024'!$R:$R)</f>
        <v>0</v>
      </c>
      <c r="E94" s="1135">
        <f t="shared" si="18"/>
        <v>0</v>
      </c>
      <c r="F94" s="717">
        <f>SUMIF('PRESUPUESTO 2024'!$B:$B,A94,'PRESUPUESTO 2024'!T:T)</f>
        <v>0</v>
      </c>
      <c r="G94" s="1135">
        <f t="shared" si="19"/>
        <v>0</v>
      </c>
      <c r="H94" s="717">
        <f>SUMIF('PRESUPUESTO 2024'!$B:$B,A94,'PRESUPUESTO 2024'!$AV:$AV)</f>
        <v>0</v>
      </c>
      <c r="I94" s="1160">
        <v>0</v>
      </c>
      <c r="J94" s="717">
        <f>SUMIF('PRESUPUESTO 2024'!$B:$B,A94,'PRESUPUESTO 2024'!$BD:$BD)</f>
        <v>0</v>
      </c>
      <c r="K94" s="446">
        <f t="shared" si="20"/>
        <v>0</v>
      </c>
    </row>
    <row r="95" spans="1:11" ht="15.9" hidden="1" customHeight="1" x14ac:dyDescent="0.4">
      <c r="A95" s="730" t="s">
        <v>419</v>
      </c>
      <c r="B95" s="717">
        <f>+D95+F95+H95+J95</f>
        <v>0</v>
      </c>
      <c r="C95" s="1135">
        <f t="shared" si="17"/>
        <v>0</v>
      </c>
      <c r="D95" s="717">
        <f>SUMIF('PRESUPUESTO 2024'!$B:$B,A95,'PRESUPUESTO 2024'!$R:$R)</f>
        <v>0</v>
      </c>
      <c r="E95" s="1135">
        <f t="shared" si="18"/>
        <v>0</v>
      </c>
      <c r="F95" s="717">
        <f>SUMIF('PRESUPUESTO 2024'!$B:$B,A95,'PRESUPUESTO 2024'!T:T)</f>
        <v>0</v>
      </c>
      <c r="G95" s="1135">
        <f t="shared" si="19"/>
        <v>0</v>
      </c>
      <c r="H95" s="717">
        <f>SUMIF('PRESUPUESTO 2024'!$B:$B,A95,'PRESUPUESTO 2024'!$AV:$AV)</f>
        <v>0</v>
      </c>
      <c r="I95" s="1160">
        <v>0</v>
      </c>
      <c r="J95" s="717">
        <f>SUMIF('PRESUPUESTO 2024'!$B:$B,A95,'PRESUPUESTO 2024'!$BD:$BD)</f>
        <v>0</v>
      </c>
      <c r="K95" s="446">
        <f t="shared" si="20"/>
        <v>0</v>
      </c>
    </row>
    <row r="96" spans="1:11" ht="15.9" customHeight="1" x14ac:dyDescent="0.4">
      <c r="A96" s="677" t="s">
        <v>1210</v>
      </c>
      <c r="B96" s="717">
        <f>+D96+F96+H96+J96</f>
        <v>74200000</v>
      </c>
      <c r="C96" s="1135">
        <f t="shared" si="17"/>
        <v>4.9459943571755838E-3</v>
      </c>
      <c r="D96" s="717">
        <f>SUMIF('PRESUPUESTO 2024'!$B:$B,A96,'PRESUPUESTO 2024'!$R:$R)</f>
        <v>1340000</v>
      </c>
      <c r="E96" s="1135">
        <f t="shared" si="18"/>
        <v>2.0911322668307365E-4</v>
      </c>
      <c r="F96" s="717">
        <f>SUMIF('PRESUPUESTO 2024'!$B:$B,A96,'PRESUPUESTO 2024'!T:T)</f>
        <v>0</v>
      </c>
      <c r="G96" s="1135">
        <f t="shared" si="19"/>
        <v>0</v>
      </c>
      <c r="H96" s="717">
        <f>SUMIF('PRESUPUESTO 2024'!$B:$B,A96,'PRESUPUESTO 2024'!$AV:$AV)</f>
        <v>72860000</v>
      </c>
      <c r="I96" s="1160">
        <v>0</v>
      </c>
      <c r="J96" s="717">
        <f>SUMIF('PRESUPUESTO 2024'!$B:$B,A96,'PRESUPUESTO 2024'!$BD:$BD)</f>
        <v>0</v>
      </c>
      <c r="K96" s="446">
        <f t="shared" si="20"/>
        <v>0</v>
      </c>
    </row>
    <row r="97" spans="1:11" ht="15.9" customHeight="1" x14ac:dyDescent="0.4">
      <c r="A97" s="677" t="s">
        <v>1211</v>
      </c>
      <c r="B97" s="717">
        <f t="shared" si="21"/>
        <v>44100000</v>
      </c>
      <c r="C97" s="1135">
        <f t="shared" si="17"/>
        <v>2.9396004198307714E-3</v>
      </c>
      <c r="D97" s="717">
        <f>SUMIF('PRESUPUESTO 2024'!$B:$B,A97,'PRESUPUESTO 2024'!$R:$R)</f>
        <v>44100000</v>
      </c>
      <c r="E97" s="1135">
        <f t="shared" si="18"/>
        <v>6.882009922928021E-3</v>
      </c>
      <c r="F97" s="717">
        <f>SUMIF('PRESUPUESTO 2024'!$B:$B,A97,'PRESUPUESTO 2024'!T:T)</f>
        <v>0</v>
      </c>
      <c r="G97" s="1135">
        <f t="shared" si="19"/>
        <v>0</v>
      </c>
      <c r="H97" s="717">
        <f>SUMIF('PRESUPUESTO 2024'!$B:$B,A97,'PRESUPUESTO 2024'!$AV:$AV)</f>
        <v>0</v>
      </c>
      <c r="I97" s="1160">
        <v>0</v>
      </c>
      <c r="J97" s="717">
        <f>SUMIF('PRESUPUESTO 2024'!$B:$B,A97,'PRESUPUESTO 2024'!$BD:$BD)</f>
        <v>0</v>
      </c>
      <c r="K97" s="446">
        <f t="shared" si="20"/>
        <v>0</v>
      </c>
    </row>
    <row r="98" spans="1:11" ht="15.9" customHeight="1" x14ac:dyDescent="0.4">
      <c r="A98" s="677" t="s">
        <v>1212</v>
      </c>
      <c r="B98" s="717">
        <f t="shared" si="21"/>
        <v>5800000</v>
      </c>
      <c r="C98" s="1135">
        <f t="shared" si="17"/>
        <v>3.866141141727545E-4</v>
      </c>
      <c r="D98" s="717">
        <f>SUMIF('PRESUPUESTO 2024'!$B:$B,A98,'PRESUPUESTO 2024'!$R:$R)</f>
        <v>5800000</v>
      </c>
      <c r="E98" s="1135">
        <f t="shared" si="18"/>
        <v>9.0511695131479633E-4</v>
      </c>
      <c r="F98" s="717">
        <f>SUMIF('PRESUPUESTO 2024'!$B:$B,A98,'PRESUPUESTO 2024'!T:T)</f>
        <v>0</v>
      </c>
      <c r="G98" s="1135">
        <f t="shared" si="19"/>
        <v>0</v>
      </c>
      <c r="H98" s="717">
        <f>SUMIF('PRESUPUESTO 2024'!$B:$B,A98,'PRESUPUESTO 2024'!$AV:$AV)</f>
        <v>0</v>
      </c>
      <c r="I98" s="1160">
        <f>+H98/B98</f>
        <v>0</v>
      </c>
      <c r="J98" s="717">
        <f>SUMIF('PRESUPUESTO 2024'!$B:$B,A98,'PRESUPUESTO 2024'!$BD:$BD)</f>
        <v>0</v>
      </c>
      <c r="K98" s="446">
        <f t="shared" si="20"/>
        <v>0</v>
      </c>
    </row>
    <row r="99" spans="1:11" ht="15.9" customHeight="1" x14ac:dyDescent="0.4">
      <c r="A99" s="677" t="s">
        <v>1213</v>
      </c>
      <c r="B99" s="717">
        <f t="shared" si="21"/>
        <v>39000000</v>
      </c>
      <c r="C99" s="1135">
        <f t="shared" si="17"/>
        <v>2.5996466297823146E-3</v>
      </c>
      <c r="D99" s="717">
        <f>SUMIF('PRESUPUESTO 2024'!$B:$B,A99,'PRESUPUESTO 2024'!$R:$R)</f>
        <v>39000000</v>
      </c>
      <c r="E99" s="1135">
        <f t="shared" si="18"/>
        <v>6.0861312243581135E-3</v>
      </c>
      <c r="F99" s="717">
        <f>SUMIF('PRESUPUESTO 2024'!$B:$B,A99,'PRESUPUESTO 2024'!T:T)</f>
        <v>0</v>
      </c>
      <c r="G99" s="1135">
        <f t="shared" si="19"/>
        <v>0</v>
      </c>
      <c r="H99" s="717">
        <f>SUMIF('PRESUPUESTO 2024'!$B:$B,A99,'PRESUPUESTO 2024'!$AV:$AV)</f>
        <v>0</v>
      </c>
      <c r="I99" s="1160">
        <f>+H99/B99</f>
        <v>0</v>
      </c>
      <c r="J99" s="717">
        <f>SUMIF('PRESUPUESTO 2024'!$B:$B,A99,'PRESUPUESTO 2024'!$BD:$BD)</f>
        <v>0</v>
      </c>
      <c r="K99" s="446">
        <f t="shared" si="20"/>
        <v>0</v>
      </c>
    </row>
    <row r="100" spans="1:11" ht="15.9" customHeight="1" outlineLevel="1" x14ac:dyDescent="0.4">
      <c r="A100" s="677" t="s">
        <v>1267</v>
      </c>
      <c r="B100" s="717">
        <f t="shared" si="21"/>
        <v>300000</v>
      </c>
      <c r="C100" s="1135">
        <f t="shared" si="17"/>
        <v>1.9997281767556266E-5</v>
      </c>
      <c r="D100" s="717">
        <f>SUMIF('PRESUPUESTO 2024'!$B:$B,A100,'PRESUPUESTO 2024'!$R:$R)</f>
        <v>300000</v>
      </c>
      <c r="E100" s="1135">
        <f t="shared" si="18"/>
        <v>4.6816394033523949E-5</v>
      </c>
      <c r="F100" s="717">
        <f>SUMIF('PRESUPUESTO 2024'!$B:$B,A100,'PRESUPUESTO 2024'!T:T)</f>
        <v>0</v>
      </c>
      <c r="G100" s="1135">
        <f>+F100/$F$212</f>
        <v>0</v>
      </c>
      <c r="H100" s="717">
        <f>SUMIF('PRESUPUESTO 2024'!$B:$B,A100,'PRESUPUESTO 2024'!$AV:$AV)</f>
        <v>0</v>
      </c>
      <c r="I100" s="1160">
        <v>0</v>
      </c>
      <c r="J100" s="717">
        <f>SUMIF('PRESUPUESTO 2024'!$B:$B,A100,'PRESUPUESTO 2024'!$BD:$BD)</f>
        <v>0</v>
      </c>
      <c r="K100" s="446">
        <f t="shared" si="20"/>
        <v>0</v>
      </c>
    </row>
    <row r="101" spans="1:11" ht="9.9" customHeight="1" outlineLevel="1" x14ac:dyDescent="0.4">
      <c r="A101" s="677"/>
      <c r="B101" s="717"/>
      <c r="C101" s="1137"/>
      <c r="D101" s="726"/>
      <c r="E101" s="1137"/>
      <c r="F101" s="726"/>
      <c r="G101" s="1137"/>
      <c r="H101" s="726"/>
      <c r="I101" s="1160"/>
      <c r="J101" s="726"/>
      <c r="K101" s="1171"/>
    </row>
    <row r="102" spans="1:11" ht="15.9" customHeight="1" x14ac:dyDescent="0.4">
      <c r="A102" s="676" t="s">
        <v>405</v>
      </c>
      <c r="B102" s="727">
        <f>+B104</f>
        <v>2160000</v>
      </c>
      <c r="C102" s="1136">
        <f>SUM(B102/$B$37)</f>
        <v>7.8412199200348905E-4</v>
      </c>
      <c r="D102" s="727">
        <f>+D104</f>
        <v>2160000</v>
      </c>
      <c r="E102" s="1136">
        <f>+D102/B102</f>
        <v>1</v>
      </c>
      <c r="F102" s="727">
        <f>+F104</f>
        <v>0</v>
      </c>
      <c r="G102" s="1150">
        <f>+F102/B102</f>
        <v>0</v>
      </c>
      <c r="H102" s="727">
        <f>+H104</f>
        <v>0</v>
      </c>
      <c r="I102" s="1153">
        <f>+H102/B102</f>
        <v>0</v>
      </c>
      <c r="J102" s="727">
        <f>+J104</f>
        <v>0</v>
      </c>
      <c r="K102" s="1172">
        <f>+J102/B102</f>
        <v>0</v>
      </c>
    </row>
    <row r="103" spans="1:11" ht="9.9" customHeight="1" x14ac:dyDescent="0.4">
      <c r="A103" s="677"/>
      <c r="B103" s="726"/>
      <c r="C103" s="1137"/>
      <c r="D103" s="726"/>
      <c r="E103" s="1137"/>
      <c r="F103" s="726"/>
      <c r="G103" s="1137"/>
      <c r="H103" s="726"/>
      <c r="I103" s="1160"/>
      <c r="J103" s="726"/>
      <c r="K103" s="1171"/>
    </row>
    <row r="104" spans="1:11" ht="15.9" customHeight="1" x14ac:dyDescent="0.4">
      <c r="A104" s="677" t="s">
        <v>407</v>
      </c>
      <c r="B104" s="717">
        <f>+D104+F104+H104+J104</f>
        <v>2160000</v>
      </c>
      <c r="C104" s="1135">
        <f>+B104/$B$212</f>
        <v>1.4398042872640511E-4</v>
      </c>
      <c r="D104" s="717">
        <f>SUMIF('PRESUPUESTO 2024'!$B:$B,A104,'PRESUPUESTO 2024'!$R:$R)</f>
        <v>2160000</v>
      </c>
      <c r="E104" s="1135">
        <f>+D104/$D$212</f>
        <v>3.3707803704137245E-4</v>
      </c>
      <c r="F104" s="717">
        <f>SUMIF('PRESUPUESTO 2024'!$B:$B,A104,'PRESUPUESTO 2024'!T:T)</f>
        <v>0</v>
      </c>
      <c r="G104" s="1135">
        <f>+F104/$F$212</f>
        <v>0</v>
      </c>
      <c r="H104" s="717">
        <f>SUMIF('PRESUPUESTO 2024'!$B:$B,A104,'PRESUPUESTO 2024'!$AV:$AV)</f>
        <v>0</v>
      </c>
      <c r="I104" s="1160">
        <f>+H104/B104</f>
        <v>0</v>
      </c>
      <c r="J104" s="717">
        <f>SUMIF('PRESUPUESTO 2024'!$B:$B,A104,'PRESUPUESTO 2024'!$BD:$BD)</f>
        <v>0</v>
      </c>
      <c r="K104" s="446">
        <f>+J104/$J$212</f>
        <v>0</v>
      </c>
    </row>
    <row r="105" spans="1:11" ht="9.9" customHeight="1" x14ac:dyDescent="0.4">
      <c r="A105" s="677"/>
      <c r="B105" s="717"/>
      <c r="C105" s="1137"/>
      <c r="D105" s="726"/>
      <c r="E105" s="1137"/>
      <c r="F105" s="726"/>
      <c r="G105" s="1137"/>
      <c r="H105" s="726"/>
      <c r="I105" s="1160"/>
      <c r="J105" s="726"/>
      <c r="K105" s="1171"/>
    </row>
    <row r="106" spans="1:11" ht="15.9" customHeight="1" x14ac:dyDescent="0.4">
      <c r="A106" s="676" t="s">
        <v>186</v>
      </c>
      <c r="B106" s="727">
        <f>SUM(B108:B110)</f>
        <v>4250000</v>
      </c>
      <c r="C106" s="1136">
        <f>SUM(B106/$B$37)</f>
        <v>1.5428326231550133E-3</v>
      </c>
      <c r="D106" s="727">
        <f>SUM(D108:D110)</f>
        <v>4250000</v>
      </c>
      <c r="E106" s="1136">
        <f>+D106/B106</f>
        <v>1</v>
      </c>
      <c r="F106" s="727">
        <f>SUM(F108:F110)</f>
        <v>0</v>
      </c>
      <c r="G106" s="1150">
        <f>+F106/B106</f>
        <v>0</v>
      </c>
      <c r="H106" s="727">
        <f>SUM(H108:H110)</f>
        <v>0</v>
      </c>
      <c r="I106" s="1153">
        <f>+H106/B106</f>
        <v>0</v>
      </c>
      <c r="J106" s="727">
        <f>SUM(J108:J110)</f>
        <v>0</v>
      </c>
      <c r="K106" s="1172">
        <f>+J106/B106</f>
        <v>0</v>
      </c>
    </row>
    <row r="107" spans="1:11" ht="9.9" customHeight="1" x14ac:dyDescent="0.4">
      <c r="A107" s="677"/>
      <c r="B107" s="726"/>
      <c r="C107" s="1137"/>
      <c r="D107" s="726"/>
      <c r="E107" s="1137"/>
      <c r="F107" s="726"/>
      <c r="G107" s="1137"/>
      <c r="H107" s="726"/>
      <c r="I107" s="1160"/>
      <c r="J107" s="726"/>
      <c r="K107" s="1171"/>
    </row>
    <row r="108" spans="1:11" ht="15.9" customHeight="1" x14ac:dyDescent="0.4">
      <c r="A108" s="677" t="s">
        <v>420</v>
      </c>
      <c r="B108" s="717">
        <f>+D108+F108+H108+J108</f>
        <v>500000</v>
      </c>
      <c r="C108" s="1135">
        <f>+B108/$B$212</f>
        <v>3.3328802945927111E-5</v>
      </c>
      <c r="D108" s="717">
        <f>SUMIF('PRESUPUESTO 2024'!$B:$B,A108,'PRESUPUESTO 2024'!$R:$R)</f>
        <v>500000</v>
      </c>
      <c r="E108" s="1135">
        <f>+D108/$D$212</f>
        <v>7.8027323389206585E-5</v>
      </c>
      <c r="F108" s="717">
        <f>SUMIF('PRESUPUESTO 2024'!$B:$B,A108,'PRESUPUESTO 2024'!T:T)</f>
        <v>0</v>
      </c>
      <c r="G108" s="1135">
        <f>+F108/$F$212</f>
        <v>0</v>
      </c>
      <c r="H108" s="717">
        <f>SUMIF('PRESUPUESTO 2024'!$B:$B,A108,'PRESUPUESTO 2024'!$AV:$AV)</f>
        <v>0</v>
      </c>
      <c r="I108" s="1160">
        <f>+H108/B108</f>
        <v>0</v>
      </c>
      <c r="J108" s="717">
        <f>SUMIF('PRESUPUESTO 2024'!$B:$B,A108,'PRESUPUESTO 2024'!$BD:$BD)</f>
        <v>0</v>
      </c>
      <c r="K108" s="446">
        <f>+J108/$J$212</f>
        <v>0</v>
      </c>
    </row>
    <row r="109" spans="1:11" ht="15.9" customHeight="1" x14ac:dyDescent="0.4">
      <c r="A109" s="677" t="s">
        <v>188</v>
      </c>
      <c r="B109" s="717">
        <f>+D109+F109+H109+J109</f>
        <v>3600000</v>
      </c>
      <c r="C109" s="1135">
        <f>+B109/$B$212</f>
        <v>2.399673812106752E-4</v>
      </c>
      <c r="D109" s="717">
        <f>SUMIF('PRESUPUESTO 2024'!$B:$B,A109,'PRESUPUESTO 2024'!$R:$R)</f>
        <v>3600000</v>
      </c>
      <c r="E109" s="1135">
        <f>+D109/$D$212</f>
        <v>5.6179672840228742E-4</v>
      </c>
      <c r="F109" s="717">
        <f>SUMIF('PRESUPUESTO 2024'!$B:$B,A109,'PRESUPUESTO 2024'!T:T)</f>
        <v>0</v>
      </c>
      <c r="G109" s="1135">
        <f>+F109/$F$212</f>
        <v>0</v>
      </c>
      <c r="H109" s="717">
        <f>SUMIF('PRESUPUESTO 2024'!$B:$B,A109,'PRESUPUESTO 2024'!$AV:$AV)</f>
        <v>0</v>
      </c>
      <c r="I109" s="1160">
        <f>+H109/B109</f>
        <v>0</v>
      </c>
      <c r="J109" s="717">
        <f>SUMIF('PRESUPUESTO 2024'!$B:$B,A109,'PRESUPUESTO 2024'!$BD:$BD)</f>
        <v>0</v>
      </c>
      <c r="K109" s="446">
        <f>+J109/$J$212</f>
        <v>0</v>
      </c>
    </row>
    <row r="110" spans="1:11" ht="15.9" customHeight="1" x14ac:dyDescent="0.4">
      <c r="A110" s="677" t="s">
        <v>190</v>
      </c>
      <c r="B110" s="717">
        <f>+D110+F110+H110+J110</f>
        <v>150000</v>
      </c>
      <c r="C110" s="1135">
        <f>+B110/$B$212</f>
        <v>9.9986408837781332E-6</v>
      </c>
      <c r="D110" s="717">
        <f>SUMIF('PRESUPUESTO 2024'!$B:$B,A110,'PRESUPUESTO 2024'!$R:$R)</f>
        <v>150000</v>
      </c>
      <c r="E110" s="1135">
        <f>+D110/$D$212</f>
        <v>2.3408197016761975E-5</v>
      </c>
      <c r="F110" s="717">
        <f>SUMIF('PRESUPUESTO 2024'!$B:$B,A110,'PRESUPUESTO 2024'!T:T)</f>
        <v>0</v>
      </c>
      <c r="G110" s="1135">
        <f>+F110/$F$212</f>
        <v>0</v>
      </c>
      <c r="H110" s="717">
        <f>SUMIF('PRESUPUESTO 2024'!$B:$B,A110,'PRESUPUESTO 2024'!$AV:$AV)</f>
        <v>0</v>
      </c>
      <c r="I110" s="1160">
        <f>+H110/B110</f>
        <v>0</v>
      </c>
      <c r="J110" s="717">
        <f>SUMIF('PRESUPUESTO 2024'!$B:$B,A110,'PRESUPUESTO 2024'!$BD:$BD)</f>
        <v>0</v>
      </c>
      <c r="K110" s="446">
        <f>+J110/$J$212</f>
        <v>0</v>
      </c>
    </row>
    <row r="111" spans="1:11" ht="9.9" customHeight="1" x14ac:dyDescent="0.4">
      <c r="A111" s="720"/>
      <c r="B111" s="1190"/>
      <c r="C111" s="1138"/>
      <c r="D111" s="721"/>
      <c r="E111" s="1138"/>
      <c r="F111" s="721"/>
      <c r="G111" s="1138"/>
      <c r="H111" s="721"/>
      <c r="I111" s="1161"/>
      <c r="J111" s="721"/>
      <c r="K111" s="1173"/>
    </row>
    <row r="112" spans="1:11" ht="15.9" customHeight="1" x14ac:dyDescent="0.4">
      <c r="A112" s="731" t="s">
        <v>22</v>
      </c>
      <c r="B112" s="714">
        <f>+B114+B125+B134+B121+B139</f>
        <v>190587961.80000001</v>
      </c>
      <c r="C112" s="715">
        <f>+B112/$B$212</f>
        <v>1.2704137245396168E-2</v>
      </c>
      <c r="D112" s="714">
        <f>+D114+D125+D134+D121+D139</f>
        <v>29106731</v>
      </c>
      <c r="E112" s="715">
        <f>+D112/$D$212</f>
        <v>4.542240625079289E-3</v>
      </c>
      <c r="F112" s="714">
        <f>+F114+F125+F134+F121+F139</f>
        <v>0</v>
      </c>
      <c r="G112" s="715">
        <f>+F112/$F$212</f>
        <v>0</v>
      </c>
      <c r="H112" s="714">
        <f>+H114+H125+H134+H121+H139</f>
        <v>161131230.80000001</v>
      </c>
      <c r="I112" s="715">
        <f>+H112/$H$212</f>
        <v>2.1540173247698812E-2</v>
      </c>
      <c r="J112" s="714">
        <f>+J114+J125+J134+J121+J139</f>
        <v>350000</v>
      </c>
      <c r="K112" s="716">
        <f>+J112/$J$212</f>
        <v>6.2331970815815083E-4</v>
      </c>
    </row>
    <row r="113" spans="1:11" ht="9.9" customHeight="1" x14ac:dyDescent="0.4">
      <c r="A113" s="674"/>
      <c r="B113" s="717"/>
      <c r="C113" s="1137"/>
      <c r="D113" s="717"/>
      <c r="E113" s="1137"/>
      <c r="F113" s="717"/>
      <c r="G113" s="1137"/>
      <c r="H113" s="717"/>
      <c r="I113" s="1160"/>
      <c r="J113" s="717"/>
      <c r="K113" s="1171"/>
    </row>
    <row r="114" spans="1:11" ht="15.9" customHeight="1" x14ac:dyDescent="0.4">
      <c r="A114" s="718" t="s">
        <v>192</v>
      </c>
      <c r="B114" s="719">
        <f>SUM(B116:B119)</f>
        <v>134673220.80000001</v>
      </c>
      <c r="C114" s="1136">
        <f>SUM(B114/$B$112)</f>
        <v>0.70661976511047409</v>
      </c>
      <c r="D114" s="719">
        <f>SUM(D116:D119)</f>
        <v>9880380</v>
      </c>
      <c r="E114" s="1153">
        <f>+D114/B114</f>
        <v>7.3365587763532567E-2</v>
      </c>
      <c r="F114" s="719">
        <f>SUM(F116:F119)</f>
        <v>0</v>
      </c>
      <c r="G114" s="1153">
        <f>+F114/B114</f>
        <v>0</v>
      </c>
      <c r="H114" s="719">
        <f>SUM(H116:H119)</f>
        <v>124792840.8</v>
      </c>
      <c r="I114" s="1153">
        <f>+H114/B114</f>
        <v>0.92663441223646736</v>
      </c>
      <c r="J114" s="719">
        <f>SUM(J116:J119)</f>
        <v>0</v>
      </c>
      <c r="K114" s="1172">
        <f>+J114/B114</f>
        <v>0</v>
      </c>
    </row>
    <row r="115" spans="1:11" ht="9.9" customHeight="1" x14ac:dyDescent="0.4">
      <c r="A115" s="674"/>
      <c r="B115" s="717"/>
      <c r="C115" s="1137"/>
      <c r="D115" s="717"/>
      <c r="E115" s="1137"/>
      <c r="F115" s="717"/>
      <c r="G115" s="1137"/>
      <c r="H115" s="717"/>
      <c r="I115" s="1160"/>
      <c r="J115" s="717"/>
      <c r="K115" s="1171"/>
    </row>
    <row r="116" spans="1:11" ht="15.9" customHeight="1" collapsed="1" x14ac:dyDescent="0.4">
      <c r="A116" s="674" t="s">
        <v>194</v>
      </c>
      <c r="B116" s="717">
        <f>+D116+F116+H116+J116</f>
        <v>123500820.8</v>
      </c>
      <c r="C116" s="1135">
        <f>+B116/$B$212</f>
        <v>8.2322690402069128E-3</v>
      </c>
      <c r="D116" s="717">
        <f>SUMIF('PRESUPUESTO 2024'!$B:$B,A116,'PRESUPUESTO 2024'!$R:$R)</f>
        <v>3000480</v>
      </c>
      <c r="E116" s="1135">
        <f>+D116/$D$212</f>
        <v>4.6823884656569314E-4</v>
      </c>
      <c r="F116" s="717">
        <f>SUMIF('PRESUPUESTO 2024'!$B:$B,A116,'PRESUPUESTO 2024'!T:T)</f>
        <v>0</v>
      </c>
      <c r="G116" s="1135">
        <f>+F116/$F$212</f>
        <v>0</v>
      </c>
      <c r="H116" s="717">
        <f>SUMIF('PRESUPUESTO 2024'!$B:$B,A116,'PRESUPUESTO 2024'!$AV:$AV)</f>
        <v>120500340.8</v>
      </c>
      <c r="I116" s="1160">
        <f>+H116/B116</f>
        <v>0.97570477685440615</v>
      </c>
      <c r="J116" s="717">
        <f>SUMIF('PRESUPUESTO 2024'!$B:$B,A116,'PRESUPUESTO 2024'!$BD:$BD)</f>
        <v>0</v>
      </c>
      <c r="K116" s="446">
        <f>+J116/$J$212</f>
        <v>0</v>
      </c>
    </row>
    <row r="117" spans="1:11" ht="15.9" customHeight="1" x14ac:dyDescent="0.4">
      <c r="A117" s="674" t="s">
        <v>196</v>
      </c>
      <c r="B117" s="717">
        <f>+D117+F117+H117+J117</f>
        <v>4558400</v>
      </c>
      <c r="C117" s="1135">
        <f>+B117/$B$212</f>
        <v>3.0385203069742829E-4</v>
      </c>
      <c r="D117" s="717">
        <f>SUMIF('PRESUPUESTO 2024'!$B:$B,A117,'PRESUPUESTO 2024'!$R:$R)</f>
        <v>905900</v>
      </c>
      <c r="E117" s="1135">
        <f>+D117/$D$212</f>
        <v>1.4136990451656448E-4</v>
      </c>
      <c r="F117" s="717">
        <f>SUMIF('PRESUPUESTO 2024'!$B:$B,A117,'PRESUPUESTO 2024'!T:T)</f>
        <v>0</v>
      </c>
      <c r="G117" s="1135">
        <f>+F117/$F$212</f>
        <v>0</v>
      </c>
      <c r="H117" s="717">
        <f>SUMIF('PRESUPUESTO 2024'!$B:$B,A117,'PRESUPUESTO 2024'!$AV:$AV)</f>
        <v>3652500</v>
      </c>
      <c r="I117" s="1160">
        <f>+H117/B117</f>
        <v>0.80126798876798877</v>
      </c>
      <c r="J117" s="717">
        <f>SUMIF('PRESUPUESTO 2024'!$B:$B,A117,'PRESUPUESTO 2024'!$BD:$BD)</f>
        <v>0</v>
      </c>
      <c r="K117" s="446">
        <f>+J117/$J$212</f>
        <v>0</v>
      </c>
    </row>
    <row r="118" spans="1:11" ht="15.9" customHeight="1" x14ac:dyDescent="0.4">
      <c r="A118" s="674" t="s">
        <v>198</v>
      </c>
      <c r="B118" s="717">
        <f>+D118+F118+H118+J118</f>
        <v>6614000</v>
      </c>
      <c r="C118" s="1135">
        <f>+B118/$B$212</f>
        <v>4.4087340536872382E-4</v>
      </c>
      <c r="D118" s="717">
        <f>SUMIF('PRESUPUESTO 2024'!$B:$B,A118,'PRESUPUESTO 2024'!$R:$R)</f>
        <v>5974000</v>
      </c>
      <c r="E118" s="1135">
        <f>+D118/$D$212</f>
        <v>9.3227045985424032E-4</v>
      </c>
      <c r="F118" s="717">
        <f>SUMIF('PRESUPUESTO 2024'!$B:$B,A118,'PRESUPUESTO 2024'!T:T)</f>
        <v>0</v>
      </c>
      <c r="G118" s="1135">
        <f>+F118/$F$212</f>
        <v>0</v>
      </c>
      <c r="H118" s="717">
        <f>SUMIF('PRESUPUESTO 2024'!$B:$B,A118,'PRESUPUESTO 2024'!$AV:$AV)</f>
        <v>640000</v>
      </c>
      <c r="I118" s="1160">
        <f>+H118/B118</f>
        <v>9.676443906864228E-2</v>
      </c>
      <c r="J118" s="717">
        <f>SUMIF('PRESUPUESTO 2024'!$B:$B,A118,'PRESUPUESTO 2024'!$BD:$BD)</f>
        <v>0</v>
      </c>
      <c r="K118" s="446">
        <f>+J118/$J$212</f>
        <v>0</v>
      </c>
    </row>
    <row r="119" spans="1:11" ht="15.9" hidden="1" customHeight="1" outlineLevel="1" x14ac:dyDescent="0.4">
      <c r="A119" s="674" t="s">
        <v>200</v>
      </c>
      <c r="B119" s="717">
        <f>+D119+F119+H119+J119</f>
        <v>0</v>
      </c>
      <c r="C119" s="1135">
        <f>+B119/$B$212</f>
        <v>0</v>
      </c>
      <c r="D119" s="717">
        <v>0</v>
      </c>
      <c r="E119" s="1135">
        <f>+D119/$D$212</f>
        <v>0</v>
      </c>
      <c r="F119" s="717">
        <v>0</v>
      </c>
      <c r="G119" s="1135">
        <f>+F119/$F$212</f>
        <v>0</v>
      </c>
      <c r="H119" s="717">
        <v>0</v>
      </c>
      <c r="I119" s="1160">
        <v>0</v>
      </c>
      <c r="J119" s="717">
        <v>0</v>
      </c>
      <c r="K119" s="446">
        <f>+J119/$J$212</f>
        <v>0</v>
      </c>
    </row>
    <row r="120" spans="1:11" ht="15.9" hidden="1" customHeight="1" collapsed="1" x14ac:dyDescent="0.4">
      <c r="A120" s="674"/>
      <c r="B120" s="717"/>
      <c r="C120" s="1137"/>
      <c r="D120" s="717"/>
      <c r="E120" s="1137"/>
      <c r="F120" s="717"/>
      <c r="G120" s="1137"/>
      <c r="H120" s="717"/>
      <c r="I120" s="1160"/>
      <c r="J120" s="717"/>
      <c r="K120" s="1171"/>
    </row>
    <row r="121" spans="1:11" ht="15.9" hidden="1" customHeight="1" x14ac:dyDescent="0.4">
      <c r="A121" s="718" t="s">
        <v>350</v>
      </c>
      <c r="B121" s="719">
        <f>SUM(B123)</f>
        <v>0</v>
      </c>
      <c r="C121" s="1136">
        <f>SUM(B121/$B$14)</f>
        <v>0</v>
      </c>
      <c r="D121" s="719">
        <f>SUM(D123)</f>
        <v>0</v>
      </c>
      <c r="E121" s="1136" t="e">
        <f>+D121/B121</f>
        <v>#DIV/0!</v>
      </c>
      <c r="F121" s="719">
        <f>SUM(F123)</f>
        <v>0</v>
      </c>
      <c r="G121" s="1150" t="e">
        <f>+F121/B121</f>
        <v>#DIV/0!</v>
      </c>
      <c r="H121" s="719">
        <f>SUM(H123)</f>
        <v>0</v>
      </c>
      <c r="I121" s="1153" t="e">
        <f>+H121/B121</f>
        <v>#DIV/0!</v>
      </c>
      <c r="J121" s="719">
        <f>SUM(J123)</f>
        <v>0</v>
      </c>
      <c r="K121" s="1172" t="e">
        <f>+J121/B121</f>
        <v>#DIV/0!</v>
      </c>
    </row>
    <row r="122" spans="1:11" ht="15.9" hidden="1" customHeight="1" x14ac:dyDescent="0.4">
      <c r="A122" s="674"/>
      <c r="B122" s="717"/>
      <c r="C122" s="1137"/>
      <c r="D122" s="717"/>
      <c r="E122" s="1137"/>
      <c r="F122" s="717"/>
      <c r="G122" s="1137"/>
      <c r="H122" s="717"/>
      <c r="I122" s="1160"/>
      <c r="J122" s="717"/>
      <c r="K122" s="1171"/>
    </row>
    <row r="123" spans="1:11" ht="15.9" hidden="1" customHeight="1" x14ac:dyDescent="0.4">
      <c r="A123" s="674" t="s">
        <v>362</v>
      </c>
      <c r="B123" s="717">
        <f>+D123+F123+H123+J123</f>
        <v>0</v>
      </c>
      <c r="C123" s="1135">
        <f>+B123/$B$212</f>
        <v>0</v>
      </c>
      <c r="D123" s="717">
        <v>0</v>
      </c>
      <c r="E123" s="1135">
        <f>+D123/$D$212</f>
        <v>0</v>
      </c>
      <c r="F123" s="717">
        <v>0</v>
      </c>
      <c r="G123" s="1135">
        <f>+F123/$F$212</f>
        <v>0</v>
      </c>
      <c r="H123" s="717">
        <v>0</v>
      </c>
      <c r="I123" s="1160">
        <v>0</v>
      </c>
      <c r="J123" s="717">
        <v>0</v>
      </c>
      <c r="K123" s="446">
        <f>+J123/$J$212</f>
        <v>0</v>
      </c>
    </row>
    <row r="124" spans="1:11" ht="9.9" customHeight="1" thickBot="1" x14ac:dyDescent="0.45">
      <c r="A124" s="722"/>
      <c r="B124" s="723"/>
      <c r="C124" s="1139"/>
      <c r="D124" s="723"/>
      <c r="E124" s="1139"/>
      <c r="F124" s="723"/>
      <c r="G124" s="1139"/>
      <c r="H124" s="723"/>
      <c r="I124" s="1162"/>
      <c r="J124" s="723"/>
      <c r="K124" s="1174"/>
    </row>
    <row r="125" spans="1:11" ht="15.9" customHeight="1" x14ac:dyDescent="0.4">
      <c r="A125" s="724" t="s">
        <v>329</v>
      </c>
      <c r="B125" s="725">
        <f>SUM(B127:B132)</f>
        <v>8860000</v>
      </c>
      <c r="C125" s="1140">
        <f>SUM(B125/$B$14)</f>
        <v>1.06387925115552E-3</v>
      </c>
      <c r="D125" s="725">
        <f>SUM(D127:D132)</f>
        <v>0</v>
      </c>
      <c r="E125" s="1140">
        <f>+D125/B125</f>
        <v>0</v>
      </c>
      <c r="F125" s="725">
        <f>SUM(F127:F132)</f>
        <v>0</v>
      </c>
      <c r="G125" s="1152">
        <f>+F125/B125</f>
        <v>0</v>
      </c>
      <c r="H125" s="725">
        <f>SUM(H127:H132)</f>
        <v>8510000</v>
      </c>
      <c r="I125" s="1163">
        <f>+H125/B125</f>
        <v>0.96049661399548536</v>
      </c>
      <c r="J125" s="725">
        <f>SUM(J127:J132)</f>
        <v>350000</v>
      </c>
      <c r="K125" s="1175">
        <f>+J125/B125</f>
        <v>3.9503386004514675E-2</v>
      </c>
    </row>
    <row r="126" spans="1:11" ht="9.9" customHeight="1" x14ac:dyDescent="0.4">
      <c r="A126" s="674"/>
      <c r="B126" s="717"/>
      <c r="C126" s="1137"/>
      <c r="D126" s="717"/>
      <c r="E126" s="1137"/>
      <c r="F126" s="717"/>
      <c r="G126" s="1137"/>
      <c r="H126" s="717"/>
      <c r="I126" s="1160"/>
      <c r="J126" s="717"/>
      <c r="K126" s="1171"/>
    </row>
    <row r="127" spans="1:11" ht="15.9" hidden="1" customHeight="1" collapsed="1" x14ac:dyDescent="0.4">
      <c r="A127" s="674" t="s">
        <v>203</v>
      </c>
      <c r="B127" s="717">
        <f t="shared" ref="B127:B132" si="22">+D127+F127+H127+J127</f>
        <v>0</v>
      </c>
      <c r="C127" s="1135">
        <f t="shared" ref="C127:C132" si="23">+B127/$B$212</f>
        <v>0</v>
      </c>
      <c r="D127" s="717">
        <v>0</v>
      </c>
      <c r="E127" s="1135">
        <f t="shared" ref="E127:E132" si="24">+D127/$D$212</f>
        <v>0</v>
      </c>
      <c r="F127" s="717">
        <v>0</v>
      </c>
      <c r="G127" s="1135">
        <f t="shared" ref="G127:G132" si="25">+F127/$F$212</f>
        <v>0</v>
      </c>
      <c r="H127" s="717">
        <v>0</v>
      </c>
      <c r="I127" s="1160" t="e">
        <f t="shared" ref="I127:I132" si="26">+H127/B127</f>
        <v>#DIV/0!</v>
      </c>
      <c r="J127" s="717">
        <v>0</v>
      </c>
      <c r="K127" s="446">
        <f t="shared" ref="K127:K132" si="27">+J127/$J$212</f>
        <v>0</v>
      </c>
    </row>
    <row r="128" spans="1:11" ht="15.9" hidden="1" customHeight="1" x14ac:dyDescent="0.4">
      <c r="A128" s="674" t="s">
        <v>205</v>
      </c>
      <c r="B128" s="717">
        <f t="shared" si="22"/>
        <v>0</v>
      </c>
      <c r="C128" s="1135">
        <f t="shared" si="23"/>
        <v>0</v>
      </c>
      <c r="D128" s="717">
        <v>0</v>
      </c>
      <c r="E128" s="1135">
        <f t="shared" si="24"/>
        <v>0</v>
      </c>
      <c r="F128" s="717">
        <v>0</v>
      </c>
      <c r="G128" s="1135">
        <f t="shared" si="25"/>
        <v>0</v>
      </c>
      <c r="H128" s="717">
        <v>0</v>
      </c>
      <c r="I128" s="1160" t="e">
        <f t="shared" si="26"/>
        <v>#DIV/0!</v>
      </c>
      <c r="J128" s="717">
        <v>0</v>
      </c>
      <c r="K128" s="446">
        <f t="shared" si="27"/>
        <v>0</v>
      </c>
    </row>
    <row r="129" spans="1:11" ht="15.9" customHeight="1" x14ac:dyDescent="0.4">
      <c r="A129" s="720" t="s">
        <v>207</v>
      </c>
      <c r="B129" s="721">
        <f t="shared" si="22"/>
        <v>8860000</v>
      </c>
      <c r="C129" s="1142">
        <f t="shared" si="23"/>
        <v>5.9058638820182847E-4</v>
      </c>
      <c r="D129" s="721">
        <f>SUMIF('PRESUPUESTO 2024'!$B:$B,A129,'PRESUPUESTO 2024'!$R:$R)</f>
        <v>0</v>
      </c>
      <c r="E129" s="1142">
        <f t="shared" si="24"/>
        <v>0</v>
      </c>
      <c r="F129" s="721">
        <f>SUMIF('PRESUPUESTO 2024'!$B:$B,A129,'PRESUPUESTO 2024'!T:T)</f>
        <v>0</v>
      </c>
      <c r="G129" s="1142">
        <f t="shared" si="25"/>
        <v>0</v>
      </c>
      <c r="H129" s="721">
        <f>SUMIF('PRESUPUESTO 2024'!$B:$B,A129,'PRESUPUESTO 2024'!$AV:$AV)</f>
        <v>8510000</v>
      </c>
      <c r="I129" s="1161">
        <f t="shared" si="26"/>
        <v>0.96049661399548536</v>
      </c>
      <c r="J129" s="721">
        <f>SUMIF('PRESUPUESTO 2024'!$B:$B,A129,'PRESUPUESTO 2024'!$BD:$BD)</f>
        <v>350000</v>
      </c>
      <c r="K129" s="1177">
        <f t="shared" si="27"/>
        <v>6.2331970815815083E-4</v>
      </c>
    </row>
    <row r="130" spans="1:11" ht="15.9" hidden="1" customHeight="1" x14ac:dyDescent="0.4">
      <c r="A130" s="674" t="s">
        <v>209</v>
      </c>
      <c r="B130" s="717">
        <f t="shared" si="22"/>
        <v>0</v>
      </c>
      <c r="C130" s="1135">
        <f t="shared" si="23"/>
        <v>0</v>
      </c>
      <c r="D130" s="717">
        <v>0</v>
      </c>
      <c r="E130" s="1135">
        <f t="shared" si="24"/>
        <v>0</v>
      </c>
      <c r="F130" s="717">
        <v>0</v>
      </c>
      <c r="G130" s="1135">
        <f t="shared" si="25"/>
        <v>0</v>
      </c>
      <c r="H130" s="717">
        <v>0</v>
      </c>
      <c r="I130" s="1160" t="e">
        <f t="shared" si="26"/>
        <v>#DIV/0!</v>
      </c>
      <c r="J130" s="717">
        <v>0</v>
      </c>
      <c r="K130" s="446">
        <f t="shared" si="27"/>
        <v>0</v>
      </c>
    </row>
    <row r="131" spans="1:11" ht="15.9" hidden="1" customHeight="1" x14ac:dyDescent="0.4">
      <c r="A131" s="720" t="s">
        <v>211</v>
      </c>
      <c r="B131" s="721">
        <f t="shared" si="22"/>
        <v>0</v>
      </c>
      <c r="C131" s="1142">
        <f t="shared" si="23"/>
        <v>0</v>
      </c>
      <c r="D131" s="721">
        <v>0</v>
      </c>
      <c r="E131" s="1142">
        <f t="shared" si="24"/>
        <v>0</v>
      </c>
      <c r="F131" s="721">
        <v>0</v>
      </c>
      <c r="G131" s="1142">
        <f t="shared" si="25"/>
        <v>0</v>
      </c>
      <c r="H131" s="721">
        <v>0</v>
      </c>
      <c r="I131" s="1161" t="e">
        <f t="shared" si="26"/>
        <v>#DIV/0!</v>
      </c>
      <c r="J131" s="721">
        <v>0</v>
      </c>
      <c r="K131" s="1177">
        <f t="shared" si="27"/>
        <v>0</v>
      </c>
    </row>
    <row r="132" spans="1:11" ht="15.9" hidden="1" customHeight="1" collapsed="1" x14ac:dyDescent="0.4">
      <c r="A132" s="674" t="s">
        <v>213</v>
      </c>
      <c r="B132" s="717">
        <f t="shared" si="22"/>
        <v>0</v>
      </c>
      <c r="C132" s="1135">
        <f t="shared" si="23"/>
        <v>0</v>
      </c>
      <c r="D132" s="717">
        <v>0</v>
      </c>
      <c r="E132" s="1135">
        <f t="shared" si="24"/>
        <v>0</v>
      </c>
      <c r="F132" s="717">
        <v>0</v>
      </c>
      <c r="G132" s="1135">
        <f t="shared" si="25"/>
        <v>0</v>
      </c>
      <c r="H132" s="717">
        <v>0</v>
      </c>
      <c r="I132" s="1160" t="e">
        <f t="shared" si="26"/>
        <v>#DIV/0!</v>
      </c>
      <c r="J132" s="717">
        <v>0</v>
      </c>
      <c r="K132" s="446">
        <f t="shared" si="27"/>
        <v>0</v>
      </c>
    </row>
    <row r="133" spans="1:11" ht="9.9" customHeight="1" x14ac:dyDescent="0.4">
      <c r="A133" s="674"/>
      <c r="B133" s="717"/>
      <c r="C133" s="1137"/>
      <c r="D133" s="717"/>
      <c r="E133" s="1137"/>
      <c r="F133" s="717"/>
      <c r="G133" s="1137"/>
      <c r="H133" s="717"/>
      <c r="I133" s="1160"/>
      <c r="J133" s="717"/>
      <c r="K133" s="1171"/>
    </row>
    <row r="134" spans="1:11" ht="15.9" customHeight="1" x14ac:dyDescent="0.4">
      <c r="A134" s="718" t="s">
        <v>330</v>
      </c>
      <c r="B134" s="719">
        <f>SUM(B136:B137)</f>
        <v>18804500</v>
      </c>
      <c r="C134" s="1136">
        <f>SUM(B134/$B$14)</f>
        <v>2.2579816454124124E-3</v>
      </c>
      <c r="D134" s="719">
        <f>SUM(D136:D137)</f>
        <v>4285500</v>
      </c>
      <c r="E134" s="1136">
        <f>+D134/B134</f>
        <v>0.22789757770746363</v>
      </c>
      <c r="F134" s="719">
        <f>SUM(F136:F137)</f>
        <v>0</v>
      </c>
      <c r="G134" s="1150">
        <f>+F134/B134</f>
        <v>0</v>
      </c>
      <c r="H134" s="719">
        <f>SUM(H136:H137)</f>
        <v>14519000</v>
      </c>
      <c r="I134" s="1153">
        <f>+H134/B134</f>
        <v>0.77210242229253634</v>
      </c>
      <c r="J134" s="719">
        <f>SUM(J136:J137)</f>
        <v>0</v>
      </c>
      <c r="K134" s="1172">
        <f>+J134/B134</f>
        <v>0</v>
      </c>
    </row>
    <row r="135" spans="1:11" ht="9.9" customHeight="1" x14ac:dyDescent="0.4">
      <c r="A135" s="732"/>
      <c r="B135" s="733"/>
      <c r="C135" s="1141"/>
      <c r="D135" s="733"/>
      <c r="E135" s="1141"/>
      <c r="F135" s="733"/>
      <c r="G135" s="1141"/>
      <c r="H135" s="733"/>
      <c r="I135" s="1164"/>
      <c r="J135" s="733"/>
      <c r="K135" s="1176"/>
    </row>
    <row r="136" spans="1:11" ht="15.9" hidden="1" customHeight="1" collapsed="1" x14ac:dyDescent="0.4">
      <c r="A136" s="720" t="s">
        <v>217</v>
      </c>
      <c r="B136" s="721">
        <f>+D136+F136+H136+J136</f>
        <v>0</v>
      </c>
      <c r="C136" s="1142">
        <f>+B136/$B$212</f>
        <v>0</v>
      </c>
      <c r="D136" s="721">
        <v>0</v>
      </c>
      <c r="E136" s="1142">
        <f>+D136/$D$212</f>
        <v>0</v>
      </c>
      <c r="F136" s="721">
        <v>0</v>
      </c>
      <c r="G136" s="1142">
        <f>+F136/$F$212</f>
        <v>0</v>
      </c>
      <c r="H136" s="721">
        <v>0</v>
      </c>
      <c r="I136" s="1161" t="e">
        <f>+H136/B136</f>
        <v>#DIV/0!</v>
      </c>
      <c r="J136" s="721">
        <v>0</v>
      </c>
      <c r="K136" s="1177">
        <f>+J136/$J$212</f>
        <v>0</v>
      </c>
    </row>
    <row r="137" spans="1:11" ht="15.9" customHeight="1" x14ac:dyDescent="0.4">
      <c r="A137" s="674" t="s">
        <v>219</v>
      </c>
      <c r="B137" s="717">
        <f>+D137+F137+H137+J137</f>
        <v>18804500</v>
      </c>
      <c r="C137" s="1135">
        <f>+B137/$B$212</f>
        <v>1.2534629499933727E-3</v>
      </c>
      <c r="D137" s="717">
        <f>SUMIF('PRESUPUESTO 2024'!$B:$B,A137,'PRESUPUESTO 2024'!$R:$R)</f>
        <v>4285500</v>
      </c>
      <c r="E137" s="1135">
        <f>+D137/$D$212</f>
        <v>6.6877218876888961E-4</v>
      </c>
      <c r="F137" s="717">
        <f>SUMIF('PRESUPUESTO 2024'!$B:$B,A137,'PRESUPUESTO 2024'!T:T)</f>
        <v>0</v>
      </c>
      <c r="G137" s="1135">
        <f>+F137/$F$212</f>
        <v>0</v>
      </c>
      <c r="H137" s="717">
        <f>SUMIF('PRESUPUESTO 2024'!$B:$B,A137,'PRESUPUESTO 2024'!$AV:$AV)</f>
        <v>14519000</v>
      </c>
      <c r="I137" s="1160">
        <f>+H137/B137</f>
        <v>0.77210242229253634</v>
      </c>
      <c r="J137" s="717">
        <f>SUMIF('PRESUPUESTO 2024'!$B:$B,A137,'PRESUPUESTO 2024'!$BD:$BD)</f>
        <v>0</v>
      </c>
      <c r="K137" s="446">
        <f>+J137/$J$212</f>
        <v>0</v>
      </c>
    </row>
    <row r="138" spans="1:11" ht="9.9" customHeight="1" x14ac:dyDescent="0.4">
      <c r="A138" s="674"/>
      <c r="B138" s="717"/>
      <c r="C138" s="1137"/>
      <c r="D138" s="717"/>
      <c r="E138" s="1137"/>
      <c r="F138" s="717"/>
      <c r="G138" s="1137"/>
      <c r="H138" s="717"/>
      <c r="I138" s="1160"/>
      <c r="J138" s="717"/>
      <c r="K138" s="1171"/>
    </row>
    <row r="139" spans="1:11" ht="15.9" customHeight="1" x14ac:dyDescent="0.4">
      <c r="A139" s="718" t="s">
        <v>337</v>
      </c>
      <c r="B139" s="719">
        <f>SUM(B141:B148)</f>
        <v>28250241</v>
      </c>
      <c r="C139" s="1136">
        <f>SUM(B139/$B$14)</f>
        <v>3.3921947223524793E-3</v>
      </c>
      <c r="D139" s="719">
        <f>SUM(D141:D148)</f>
        <v>14940851</v>
      </c>
      <c r="E139" s="1136">
        <f>+D139/B139</f>
        <v>0.52887516959589831</v>
      </c>
      <c r="F139" s="719">
        <f>SUM(F141:F148)</f>
        <v>0</v>
      </c>
      <c r="G139" s="1150">
        <f>+F139/B139</f>
        <v>0</v>
      </c>
      <c r="H139" s="719">
        <f>SUM(H141:H148)</f>
        <v>13309390</v>
      </c>
      <c r="I139" s="1153">
        <f>+H139/B139</f>
        <v>0.47112483040410169</v>
      </c>
      <c r="J139" s="719">
        <f>SUM(J141:J148)</f>
        <v>0</v>
      </c>
      <c r="K139" s="1172">
        <f>+J139/B139</f>
        <v>0</v>
      </c>
    </row>
    <row r="140" spans="1:11" ht="9.9" customHeight="1" x14ac:dyDescent="0.4">
      <c r="A140" s="674"/>
      <c r="B140" s="717"/>
      <c r="C140" s="1137"/>
      <c r="D140" s="717"/>
      <c r="E140" s="1137"/>
      <c r="F140" s="717"/>
      <c r="G140" s="1137"/>
      <c r="H140" s="717"/>
      <c r="I140" s="1160"/>
      <c r="J140" s="717"/>
      <c r="K140" s="1171"/>
    </row>
    <row r="141" spans="1:11" ht="15.9" customHeight="1" collapsed="1" x14ac:dyDescent="0.4">
      <c r="A141" s="674" t="s">
        <v>222</v>
      </c>
      <c r="B141" s="717">
        <f t="shared" ref="B141:B148" si="28">+D141+F141+H141+J141</f>
        <v>3966302</v>
      </c>
      <c r="C141" s="1135">
        <f t="shared" ref="C141:C148" si="29">+B141/$B$212</f>
        <v>2.6438419556407318E-4</v>
      </c>
      <c r="D141" s="717">
        <f>SUMIF('PRESUPUESTO 2024'!$B:$B,A141,'PRESUPUESTO 2024'!$R:$R)</f>
        <v>3285252</v>
      </c>
      <c r="E141" s="1135">
        <f t="shared" ref="E141:E148" si="30">+D141/$D$212</f>
        <v>5.1267884043807539E-4</v>
      </c>
      <c r="F141" s="717">
        <f>SUMIF('PRESUPUESTO 2024'!$B:$B,A141,'PRESUPUESTO 2024'!T:T)</f>
        <v>0</v>
      </c>
      <c r="G141" s="1135">
        <f t="shared" ref="G141:G148" si="31">+F141/$F$212</f>
        <v>0</v>
      </c>
      <c r="H141" s="717">
        <f>SUMIF('PRESUPUESTO 2024'!$B:$B,A141,'PRESUPUESTO 2024'!$AV:$AV)</f>
        <v>681050</v>
      </c>
      <c r="I141" s="1160">
        <f t="shared" ref="I141:I148" si="32">+H141/B141</f>
        <v>0.17170906300125408</v>
      </c>
      <c r="J141" s="717">
        <f>SUMIF('PRESUPUESTO 2024'!$B:$B,A141,'PRESUPUESTO 2024'!$BD:$BD)</f>
        <v>0</v>
      </c>
      <c r="K141" s="446">
        <f t="shared" ref="K141:K147" si="33">+J141/$J$212</f>
        <v>0</v>
      </c>
    </row>
    <row r="142" spans="1:11" ht="15.9" customHeight="1" x14ac:dyDescent="0.4">
      <c r="A142" s="674" t="s">
        <v>279</v>
      </c>
      <c r="B142" s="717">
        <f t="shared" si="28"/>
        <v>1038250</v>
      </c>
      <c r="C142" s="1135">
        <f t="shared" si="29"/>
        <v>6.9207259317217645E-5</v>
      </c>
      <c r="D142" s="717">
        <f>SUMIF('PRESUPUESTO 2024'!$B:$B,A142,'PRESUPUESTO 2024'!$R:$R)</f>
        <v>1038250</v>
      </c>
      <c r="E142" s="1135">
        <f t="shared" si="30"/>
        <v>1.6202373701768748E-4</v>
      </c>
      <c r="F142" s="717">
        <f>SUMIF('PRESUPUESTO 2024'!$B:$B,A142,'PRESUPUESTO 2024'!T:T)</f>
        <v>0</v>
      </c>
      <c r="G142" s="1135">
        <f t="shared" si="31"/>
        <v>0</v>
      </c>
      <c r="H142" s="717">
        <f>SUMIF('PRESUPUESTO 2024'!$B:$B,A142,'PRESUPUESTO 2024'!$AV:$AV)</f>
        <v>0</v>
      </c>
      <c r="I142" s="1160">
        <f t="shared" si="32"/>
        <v>0</v>
      </c>
      <c r="J142" s="717">
        <f>SUMIF('PRESUPUESTO 2024'!$B:$B,A142,'PRESUPUESTO 2024'!$BD:$BD)</f>
        <v>0</v>
      </c>
      <c r="K142" s="446">
        <f t="shared" si="33"/>
        <v>0</v>
      </c>
    </row>
    <row r="143" spans="1:11" ht="15.9" customHeight="1" collapsed="1" x14ac:dyDescent="0.4">
      <c r="A143" s="674" t="s">
        <v>225</v>
      </c>
      <c r="B143" s="717">
        <f t="shared" si="28"/>
        <v>3656740</v>
      </c>
      <c r="C143" s="1135">
        <f t="shared" si="29"/>
        <v>2.4374953376897902E-4</v>
      </c>
      <c r="D143" s="717">
        <f>SUMIF('PRESUPUESTO 2024'!$B:$B,A143,'PRESUPUESTO 2024'!$R:$R)</f>
        <v>3261240</v>
      </c>
      <c r="E143" s="1135">
        <f t="shared" si="30"/>
        <v>5.0893165625963215E-4</v>
      </c>
      <c r="F143" s="717">
        <f>SUMIF('PRESUPUESTO 2024'!$B:$B,A143,'PRESUPUESTO 2024'!T:T)</f>
        <v>0</v>
      </c>
      <c r="G143" s="1135">
        <f t="shared" si="31"/>
        <v>0</v>
      </c>
      <c r="H143" s="717">
        <f>SUMIF('PRESUPUESTO 2024'!$B:$B,A143,'PRESUPUESTO 2024'!$AV:$AV)</f>
        <v>395500</v>
      </c>
      <c r="I143" s="1160">
        <f t="shared" si="32"/>
        <v>0.10815644535843401</v>
      </c>
      <c r="J143" s="717">
        <f>SUMIF('PRESUPUESTO 2024'!$B:$B,A143,'PRESUPUESTO 2024'!$BD:$BD)</f>
        <v>0</v>
      </c>
      <c r="K143" s="446">
        <f t="shared" si="33"/>
        <v>0</v>
      </c>
    </row>
    <row r="144" spans="1:11" ht="15.9" customHeight="1" x14ac:dyDescent="0.4">
      <c r="A144" s="674" t="s">
        <v>1222</v>
      </c>
      <c r="B144" s="717">
        <f t="shared" si="28"/>
        <v>15430332</v>
      </c>
      <c r="C144" s="1135">
        <f t="shared" si="29"/>
        <v>1.0285489892364668E-3</v>
      </c>
      <c r="D144" s="717">
        <f>SUMIF('PRESUPUESTO 2024'!$B:$B,A144,'PRESUPUESTO 2024'!$R:$R)</f>
        <v>4068032</v>
      </c>
      <c r="E144" s="1135">
        <f t="shared" si="30"/>
        <v>6.3483529684328166E-4</v>
      </c>
      <c r="F144" s="717">
        <f>SUMIF('PRESUPUESTO 2024'!$B:$B,A144,'PRESUPUESTO 2024'!T:T)</f>
        <v>0</v>
      </c>
      <c r="G144" s="1135">
        <f t="shared" si="31"/>
        <v>0</v>
      </c>
      <c r="H144" s="717">
        <f>SUMIF('PRESUPUESTO 2024'!$B:$B,A144,'PRESUPUESTO 2024'!$AV:$AV)</f>
        <v>11362300</v>
      </c>
      <c r="I144" s="1160">
        <f t="shared" si="32"/>
        <v>0.73636134335930037</v>
      </c>
      <c r="J144" s="717">
        <f>SUMIF('PRESUPUESTO 2024'!$B:$B,A144,'PRESUPUESTO 2024'!$BD:$BD)</f>
        <v>0</v>
      </c>
      <c r="K144" s="446">
        <f t="shared" si="33"/>
        <v>0</v>
      </c>
    </row>
    <row r="145" spans="1:11" ht="15.9" customHeight="1" x14ac:dyDescent="0.4">
      <c r="A145" s="674" t="s">
        <v>229</v>
      </c>
      <c r="B145" s="717">
        <f t="shared" si="28"/>
        <v>2912617</v>
      </c>
      <c r="C145" s="1135">
        <f t="shared" si="29"/>
        <v>1.9414807609991478E-4</v>
      </c>
      <c r="D145" s="717">
        <f>SUMIF('PRESUPUESTO 2024'!$B:$B,A145,'PRESUPUESTO 2024'!$R:$R)</f>
        <v>2462077</v>
      </c>
      <c r="E145" s="1135">
        <f t="shared" si="30"/>
        <v>3.8421855657625516E-4</v>
      </c>
      <c r="F145" s="717">
        <f>SUMIF('PRESUPUESTO 2024'!$B:$B,A145,'PRESUPUESTO 2024'!T:T)</f>
        <v>0</v>
      </c>
      <c r="G145" s="1135">
        <f t="shared" si="31"/>
        <v>0</v>
      </c>
      <c r="H145" s="717">
        <f>SUMIF('PRESUPUESTO 2024'!$B:$B,A145,'PRESUPUESTO 2024'!$AV:$AV)</f>
        <v>450540</v>
      </c>
      <c r="I145" s="1160">
        <f t="shared" si="32"/>
        <v>0.15468563151282849</v>
      </c>
      <c r="J145" s="717">
        <f>SUMIF('PRESUPUESTO 2024'!$B:$B,A145,'PRESUPUESTO 2024'!$BD:$BD)</f>
        <v>0</v>
      </c>
      <c r="K145" s="446">
        <f t="shared" si="33"/>
        <v>0</v>
      </c>
    </row>
    <row r="146" spans="1:11" ht="15.9" customHeight="1" x14ac:dyDescent="0.4">
      <c r="A146" s="674" t="s">
        <v>231</v>
      </c>
      <c r="B146" s="717">
        <f t="shared" si="28"/>
        <v>74500</v>
      </c>
      <c r="C146" s="1135">
        <f t="shared" si="29"/>
        <v>4.9659916389431398E-6</v>
      </c>
      <c r="D146" s="717">
        <f>SUMIF('PRESUPUESTO 2024'!$B:$B,A146,'PRESUPUESTO 2024'!$R:$R)</f>
        <v>74500</v>
      </c>
      <c r="E146" s="1135">
        <f t="shared" si="30"/>
        <v>1.1626071184991782E-5</v>
      </c>
      <c r="F146" s="717">
        <f>SUMIF('PRESUPUESTO 2024'!$B:$B,A146,'PRESUPUESTO 2024'!T:T)</f>
        <v>0</v>
      </c>
      <c r="G146" s="1135">
        <f t="shared" si="31"/>
        <v>0</v>
      </c>
      <c r="H146" s="717">
        <f>SUMIF('PRESUPUESTO 2024'!$B:$B,A146,'PRESUPUESTO 2024'!$AV:$AV)</f>
        <v>0</v>
      </c>
      <c r="I146" s="1160">
        <f t="shared" si="32"/>
        <v>0</v>
      </c>
      <c r="J146" s="717">
        <f>SUMIF('PRESUPUESTO 2024'!$B:$B,A146,'PRESUPUESTO 2024'!$BD:$BD)</f>
        <v>0</v>
      </c>
      <c r="K146" s="446">
        <f t="shared" si="33"/>
        <v>0</v>
      </c>
    </row>
    <row r="147" spans="1:11" ht="15.9" hidden="1" customHeight="1" outlineLevel="1" x14ac:dyDescent="0.4">
      <c r="A147" s="674" t="s">
        <v>372</v>
      </c>
      <c r="B147" s="717">
        <f t="shared" si="28"/>
        <v>0</v>
      </c>
      <c r="C147" s="1135">
        <f t="shared" si="29"/>
        <v>0</v>
      </c>
      <c r="D147" s="717">
        <f>SUMIF('PRESUPUESTO 2024'!$B:$B,A147,'PRESUPUESTO 2024'!$R:$R)</f>
        <v>0</v>
      </c>
      <c r="E147" s="1135">
        <f t="shared" si="30"/>
        <v>0</v>
      </c>
      <c r="F147" s="717">
        <f>SUMIF('PRESUPUESTO 2024'!$B:$B,A147,'PRESUPUESTO 2024'!T:T)</f>
        <v>0</v>
      </c>
      <c r="G147" s="1135">
        <f t="shared" si="31"/>
        <v>0</v>
      </c>
      <c r="H147" s="717">
        <f>SUMIF('PRESUPUESTO 2024'!$B:$B,A147,'PRESUPUESTO 2024'!$AV:$AV)</f>
        <v>0</v>
      </c>
      <c r="I147" s="1160" t="e">
        <f t="shared" si="32"/>
        <v>#DIV/0!</v>
      </c>
      <c r="J147" s="717">
        <f>SUMIF('PRESUPUESTO 2024'!$B:$B,A147,'PRESUPUESTO 2024'!$BD:$BD)</f>
        <v>0</v>
      </c>
      <c r="K147" s="446">
        <f t="shared" si="33"/>
        <v>0</v>
      </c>
    </row>
    <row r="148" spans="1:11" ht="16.2" customHeight="1" outlineLevel="1" x14ac:dyDescent="0.4">
      <c r="A148" s="674" t="s">
        <v>1223</v>
      </c>
      <c r="B148" s="717">
        <f t="shared" si="28"/>
        <v>1171500</v>
      </c>
      <c r="C148" s="1135">
        <f t="shared" si="29"/>
        <v>7.8089385302307221E-5</v>
      </c>
      <c r="D148" s="717">
        <f>SUMIF('PRESUPUESTO 2024'!$B:$B,A148,'PRESUPUESTO 2024'!$R:$R)</f>
        <v>751500</v>
      </c>
      <c r="E148" s="1135">
        <f t="shared" si="30"/>
        <v>1.172750670539775E-4</v>
      </c>
      <c r="F148" s="717">
        <f>SUMIF('PRESUPUESTO 2024'!$B:$B,A148,'PRESUPUESTO 2024'!T:T)</f>
        <v>0</v>
      </c>
      <c r="G148" s="1135">
        <f t="shared" si="31"/>
        <v>0</v>
      </c>
      <c r="H148" s="717">
        <f>SUMIF('PRESUPUESTO 2024'!$B:$B,A148,'PRESUPUESTO 2024'!$AV:$AV)</f>
        <v>420000</v>
      </c>
      <c r="I148" s="1160">
        <f t="shared" si="32"/>
        <v>0.35851472471190782</v>
      </c>
      <c r="J148" s="717">
        <f>SUMIF('PRESUPUESTO 2024'!$B:$B,A148,'PRESUPUESTO 2024'!$BD:$BD)</f>
        <v>0</v>
      </c>
      <c r="K148" s="446">
        <f>+J148/$J$212</f>
        <v>0</v>
      </c>
    </row>
    <row r="149" spans="1:11" ht="15.9" hidden="1" customHeight="1" x14ac:dyDescent="0.4">
      <c r="A149" s="674"/>
      <c r="B149" s="1190"/>
      <c r="C149" s="1138"/>
      <c r="D149" s="721"/>
      <c r="E149" s="1138"/>
      <c r="F149" s="721"/>
      <c r="G149" s="1138"/>
      <c r="H149" s="721"/>
      <c r="I149" s="1161"/>
      <c r="J149" s="721"/>
      <c r="K149" s="1173"/>
    </row>
    <row r="150" spans="1:11" ht="9.9" customHeight="1" x14ac:dyDescent="0.4">
      <c r="A150" s="720"/>
      <c r="B150" s="1190"/>
      <c r="C150" s="1138"/>
      <c r="D150" s="721"/>
      <c r="E150" s="1138"/>
      <c r="F150" s="721"/>
      <c r="G150" s="1138"/>
      <c r="H150" s="721"/>
      <c r="I150" s="1161"/>
      <c r="J150" s="721"/>
      <c r="K150" s="1173"/>
    </row>
    <row r="151" spans="1:11" ht="15.9" customHeight="1" x14ac:dyDescent="0.4">
      <c r="A151" s="731" t="s">
        <v>950</v>
      </c>
      <c r="B151" s="714">
        <f>+B153</f>
        <v>2546194511.6500001</v>
      </c>
      <c r="C151" s="715">
        <f>+B151/$B$212</f>
        <v>0.16972323028156794</v>
      </c>
      <c r="D151" s="714">
        <f>+D153</f>
        <v>2546194511.6500001</v>
      </c>
      <c r="E151" s="715">
        <f>+D151/B151</f>
        <v>1</v>
      </c>
      <c r="F151" s="714">
        <f>+F153</f>
        <v>0</v>
      </c>
      <c r="G151" s="715">
        <f>F151/B151</f>
        <v>0</v>
      </c>
      <c r="H151" s="714">
        <f>+H153</f>
        <v>0</v>
      </c>
      <c r="I151" s="715">
        <f>H151/B151</f>
        <v>0</v>
      </c>
      <c r="J151" s="714">
        <f>+J153</f>
        <v>0</v>
      </c>
      <c r="K151" s="716">
        <f>+J151/B151</f>
        <v>0</v>
      </c>
    </row>
    <row r="152" spans="1:11" ht="9.9" customHeight="1" x14ac:dyDescent="0.45">
      <c r="A152" s="670"/>
      <c r="B152" s="673"/>
      <c r="C152" s="622"/>
      <c r="D152" s="631"/>
      <c r="E152" s="622"/>
      <c r="F152" s="631"/>
      <c r="G152" s="622"/>
      <c r="H152" s="631"/>
      <c r="I152" s="622"/>
      <c r="J152" s="631"/>
      <c r="K152" s="1178"/>
    </row>
    <row r="153" spans="1:11" ht="15.9" customHeight="1" x14ac:dyDescent="0.45">
      <c r="A153" s="668" t="s">
        <v>1244</v>
      </c>
      <c r="B153" s="669">
        <f>+B155</f>
        <v>2546194511.6500001</v>
      </c>
      <c r="C153" s="1136">
        <f>SUM(B153/$B$14)</f>
        <v>0.30573854518628635</v>
      </c>
      <c r="D153" s="669">
        <f>+D155</f>
        <v>2546194511.6500001</v>
      </c>
      <c r="E153" s="744">
        <f>+D153/B153</f>
        <v>1</v>
      </c>
      <c r="F153" s="669">
        <f>+F155</f>
        <v>0</v>
      </c>
      <c r="G153" s="744">
        <f>F153/B153</f>
        <v>0</v>
      </c>
      <c r="H153" s="669">
        <f>+H155</f>
        <v>0</v>
      </c>
      <c r="I153" s="744">
        <f>H153/B153</f>
        <v>0</v>
      </c>
      <c r="J153" s="669">
        <f>+J155</f>
        <v>0</v>
      </c>
      <c r="K153" s="745">
        <f>+J153/B153</f>
        <v>0</v>
      </c>
    </row>
    <row r="154" spans="1:11" ht="9.9" customHeight="1" x14ac:dyDescent="0.45">
      <c r="A154" s="670"/>
      <c r="B154" s="673"/>
      <c r="C154" s="622"/>
      <c r="D154" s="631"/>
      <c r="E154" s="622"/>
      <c r="F154" s="631"/>
      <c r="G154" s="622"/>
      <c r="H154" s="631"/>
      <c r="I154" s="622"/>
      <c r="J154" s="631"/>
      <c r="K154" s="1178"/>
    </row>
    <row r="155" spans="1:11" ht="15.9" customHeight="1" x14ac:dyDescent="0.45">
      <c r="A155" s="670" t="s">
        <v>1035</v>
      </c>
      <c r="B155" s="673">
        <f>SUM(D155+F155+H155+J155)</f>
        <v>2546194511.6500001</v>
      </c>
      <c r="C155" s="622">
        <f>SUM(E155+G155+I155+K155)</f>
        <v>1</v>
      </c>
      <c r="D155" s="717">
        <f>+'EST.ORIGEN Y APLICACION'!C202</f>
        <v>2546194511.6500001</v>
      </c>
      <c r="E155" s="622">
        <f>+D155/B155</f>
        <v>1</v>
      </c>
      <c r="F155" s="717">
        <f>SUMIF('PRESUPUESTO 2024'!$B:$B,A155,'PRESUPUESTO 2024'!T:T)</f>
        <v>0</v>
      </c>
      <c r="G155" s="622">
        <f>F155/B155</f>
        <v>0</v>
      </c>
      <c r="H155" s="717">
        <f>SUMIF('PRESUPUESTO 2024'!$B:$B,A155,'PRESUPUESTO 2024'!$AV:$AV)</f>
        <v>0</v>
      </c>
      <c r="I155" s="622">
        <f>H155/B155</f>
        <v>0</v>
      </c>
      <c r="J155" s="717">
        <f>SUMIF('PRESUPUESTO 2024'!$B:$B,A155,'PRESUPUESTO 2024'!$BD:$BD)</f>
        <v>0</v>
      </c>
      <c r="K155" s="1178">
        <f>+J155/B155</f>
        <v>0</v>
      </c>
    </row>
    <row r="156" spans="1:11" ht="9.9" customHeight="1" x14ac:dyDescent="0.45">
      <c r="A156" s="670"/>
      <c r="B156" s="673"/>
      <c r="C156" s="622"/>
      <c r="D156" s="631"/>
      <c r="E156" s="622"/>
      <c r="F156" s="631"/>
      <c r="G156" s="622"/>
      <c r="H156" s="631"/>
      <c r="I156" s="622"/>
      <c r="J156" s="631"/>
      <c r="K156" s="1178"/>
    </row>
    <row r="157" spans="1:11" ht="15.9" customHeight="1" x14ac:dyDescent="0.4">
      <c r="A157" s="731" t="s">
        <v>57</v>
      </c>
      <c r="B157" s="714">
        <f>+B159+B170+B176</f>
        <v>679593018</v>
      </c>
      <c r="C157" s="715">
        <f>+B157/$B$212</f>
        <v>4.530004356069979E-2</v>
      </c>
      <c r="D157" s="714">
        <f>+D159+D170+D176</f>
        <v>669687754</v>
      </c>
      <c r="E157" s="715">
        <f>+D157/$D$212</f>
        <v>0.10450788590229886</v>
      </c>
      <c r="F157" s="714">
        <f>+F159+F170+F176</f>
        <v>0</v>
      </c>
      <c r="G157" s="715">
        <f>+F157/$F$212</f>
        <v>0</v>
      </c>
      <c r="H157" s="714">
        <f>+H159+H170+H176</f>
        <v>9905264</v>
      </c>
      <c r="I157" s="715">
        <f>+H157/$H$212</f>
        <v>1.3241449318352387E-3</v>
      </c>
      <c r="J157" s="714">
        <f>+J159+J170+J176</f>
        <v>0</v>
      </c>
      <c r="K157" s="716">
        <f>+J157/$J$212</f>
        <v>0</v>
      </c>
    </row>
    <row r="158" spans="1:11" ht="9.9" customHeight="1" x14ac:dyDescent="0.4">
      <c r="A158" s="447"/>
      <c r="B158" s="717"/>
      <c r="C158" s="1137"/>
      <c r="D158" s="717"/>
      <c r="E158" s="1137"/>
      <c r="F158" s="717"/>
      <c r="G158" s="1137"/>
      <c r="H158" s="717"/>
      <c r="I158" s="1160"/>
      <c r="J158" s="717"/>
      <c r="K158" s="1171"/>
    </row>
    <row r="159" spans="1:11" ht="15.9" customHeight="1" x14ac:dyDescent="0.4">
      <c r="A159" s="718" t="s">
        <v>235</v>
      </c>
      <c r="B159" s="719">
        <f>SUM(B161:B168)</f>
        <v>255900000</v>
      </c>
      <c r="C159" s="1136">
        <f>SUM(B159/$B$14)</f>
        <v>3.0727618551997467E-2</v>
      </c>
      <c r="D159" s="719">
        <f>SUM(D161:D168)</f>
        <v>255900000</v>
      </c>
      <c r="E159" s="1136">
        <f>+D159/B159</f>
        <v>1</v>
      </c>
      <c r="F159" s="719">
        <f>SUM(F161:F168)</f>
        <v>0</v>
      </c>
      <c r="G159" s="1150">
        <f>+F159/B159</f>
        <v>0</v>
      </c>
      <c r="H159" s="719">
        <f>SUM(H161:H168)</f>
        <v>0</v>
      </c>
      <c r="I159" s="1153">
        <f>+H159/B159</f>
        <v>0</v>
      </c>
      <c r="J159" s="719">
        <f>SUM(J161:J168)</f>
        <v>0</v>
      </c>
      <c r="K159" s="1172">
        <f>+J159/B159</f>
        <v>0</v>
      </c>
    </row>
    <row r="160" spans="1:11" ht="9.9" customHeight="1" collapsed="1" x14ac:dyDescent="0.4">
      <c r="A160" s="447"/>
      <c r="B160" s="717"/>
      <c r="C160" s="1137"/>
      <c r="D160" s="717"/>
      <c r="E160" s="1137"/>
      <c r="F160" s="717"/>
      <c r="G160" s="1137"/>
      <c r="H160" s="717"/>
      <c r="I160" s="1160"/>
      <c r="J160" s="717"/>
      <c r="K160" s="1171"/>
    </row>
    <row r="161" spans="1:11" ht="15.9" hidden="1" customHeight="1" x14ac:dyDescent="0.4">
      <c r="A161" s="447" t="s">
        <v>431</v>
      </c>
      <c r="B161" s="717">
        <f>+D161+F161+H161+J161</f>
        <v>0</v>
      </c>
      <c r="C161" s="1135">
        <f t="shared" ref="C161:C167" si="34">+B161/$B$212</f>
        <v>0</v>
      </c>
      <c r="D161" s="717">
        <v>0</v>
      </c>
      <c r="E161" s="1135">
        <f t="shared" ref="E161:E167" si="35">+D161/$D$212</f>
        <v>0</v>
      </c>
      <c r="F161" s="717">
        <v>0</v>
      </c>
      <c r="G161" s="1135">
        <f t="shared" ref="G161:G167" si="36">+F161/$F$212</f>
        <v>0</v>
      </c>
      <c r="H161" s="717">
        <v>0</v>
      </c>
      <c r="I161" s="1137">
        <f>SUM(H161/$B$14)</f>
        <v>0</v>
      </c>
      <c r="J161" s="717">
        <v>0</v>
      </c>
      <c r="K161" s="446">
        <f t="shared" ref="K161:K168" si="37">+J161/$J$212</f>
        <v>0</v>
      </c>
    </row>
    <row r="162" spans="1:11" ht="15.9" customHeight="1" outlineLevel="1" x14ac:dyDescent="0.4">
      <c r="A162" s="674" t="s">
        <v>237</v>
      </c>
      <c r="B162" s="717">
        <f>+D162+F162+H162+J162</f>
        <v>150000000</v>
      </c>
      <c r="C162" s="1135">
        <f t="shared" si="34"/>
        <v>9.9986408837781336E-3</v>
      </c>
      <c r="D162" s="717">
        <f>SUMIF('PRESUPUESTO 2024'!$B:$B,A162,'PRESUPUESTO 2024'!$R:$R)</f>
        <v>150000000</v>
      </c>
      <c r="E162" s="1135">
        <f t="shared" si="35"/>
        <v>2.3408197016761976E-2</v>
      </c>
      <c r="F162" s="717">
        <f>SUMIF('PRESUPUESTO 2024'!$B:$B,A162,'PRESUPUESTO 2024'!T:T)</f>
        <v>0</v>
      </c>
      <c r="G162" s="1135">
        <f t="shared" si="36"/>
        <v>0</v>
      </c>
      <c r="H162" s="717">
        <f>SUMIF('PRESUPUESTO 2024'!$B:$B,A162,'PRESUPUESTO 2024'!$AV:$AV)</f>
        <v>0</v>
      </c>
      <c r="I162" s="1137">
        <f t="shared" ref="I162:I168" si="38">SUM(H162/$B$14)</f>
        <v>0</v>
      </c>
      <c r="J162" s="717">
        <f>SUMIF('PRESUPUESTO 2024'!$B:$B,A162,'PRESUPUESTO 2024'!$BD:$BD)</f>
        <v>0</v>
      </c>
      <c r="K162" s="446">
        <f t="shared" si="37"/>
        <v>0</v>
      </c>
    </row>
    <row r="163" spans="1:11" ht="15.9" customHeight="1" x14ac:dyDescent="0.4">
      <c r="A163" s="674" t="s">
        <v>239</v>
      </c>
      <c r="B163" s="717">
        <f t="shared" ref="B163:B168" si="39">+D163+F163+H163+J163</f>
        <v>3400000</v>
      </c>
      <c r="C163" s="1135">
        <f t="shared" si="34"/>
        <v>2.2663586003230437E-4</v>
      </c>
      <c r="D163" s="717">
        <f>SUMIF('PRESUPUESTO 2024'!$B:$B,A163,'PRESUPUESTO 2024'!$R:$R)</f>
        <v>3400000</v>
      </c>
      <c r="E163" s="1135">
        <f t="shared" si="35"/>
        <v>5.3058579904660479E-4</v>
      </c>
      <c r="F163" s="717">
        <f>SUMIF('PRESUPUESTO 2024'!$B:$B,A163,'PRESUPUESTO 2024'!T:T)</f>
        <v>0</v>
      </c>
      <c r="G163" s="1135">
        <f t="shared" si="36"/>
        <v>0</v>
      </c>
      <c r="H163" s="717">
        <f>SUMIF('PRESUPUESTO 2024'!$B:$B,A163,'PRESUPUESTO 2024'!$AV:$AV)</f>
        <v>0</v>
      </c>
      <c r="I163" s="1137">
        <f t="shared" si="38"/>
        <v>0</v>
      </c>
      <c r="J163" s="717">
        <f>SUMIF('PRESUPUESTO 2024'!$B:$B,A163,'PRESUPUESTO 2024'!$BD:$BD)</f>
        <v>0</v>
      </c>
      <c r="K163" s="446">
        <f t="shared" si="37"/>
        <v>0</v>
      </c>
    </row>
    <row r="164" spans="1:11" ht="15.9" hidden="1" customHeight="1" collapsed="1" x14ac:dyDescent="0.4">
      <c r="A164" s="674" t="s">
        <v>241</v>
      </c>
      <c r="B164" s="717">
        <f t="shared" si="39"/>
        <v>0</v>
      </c>
      <c r="C164" s="1135">
        <f t="shared" si="34"/>
        <v>0</v>
      </c>
      <c r="D164" s="717">
        <f>SUMIF('PRESUPUESTO 2024'!$B:$B,A164,'PRESUPUESTO 2024'!$R:$R)</f>
        <v>0</v>
      </c>
      <c r="E164" s="1135">
        <f t="shared" si="35"/>
        <v>0</v>
      </c>
      <c r="F164" s="717">
        <f>SUMIF('PRESUPUESTO 2024'!$B:$B,A164,'PRESUPUESTO 2024'!T:T)</f>
        <v>0</v>
      </c>
      <c r="G164" s="1135">
        <f t="shared" si="36"/>
        <v>0</v>
      </c>
      <c r="H164" s="717">
        <f>SUMIF('PRESUPUESTO 2024'!$B:$B,A164,'PRESUPUESTO 2024'!$AV:$AV)</f>
        <v>0</v>
      </c>
      <c r="I164" s="1137">
        <f t="shared" si="38"/>
        <v>0</v>
      </c>
      <c r="J164" s="717">
        <f>SUMIF('PRESUPUESTO 2024'!$B:$B,A164,'PRESUPUESTO 2024'!$BD:$BD)</f>
        <v>0</v>
      </c>
      <c r="K164" s="446">
        <f t="shared" si="37"/>
        <v>0</v>
      </c>
    </row>
    <row r="165" spans="1:11" ht="15.9" customHeight="1" x14ac:dyDescent="0.4">
      <c r="A165" s="674" t="s">
        <v>1336</v>
      </c>
      <c r="B165" s="717">
        <f t="shared" si="39"/>
        <v>100000000</v>
      </c>
      <c r="C165" s="1135">
        <f t="shared" si="34"/>
        <v>6.6657605891854224E-3</v>
      </c>
      <c r="D165" s="717">
        <f>SUMIF('PRESUPUESTO 2024'!$B:$B,A165,'PRESUPUESTO 2024'!$R:$R)</f>
        <v>100000000</v>
      </c>
      <c r="E165" s="1135">
        <f t="shared" si="35"/>
        <v>1.5605464677841317E-2</v>
      </c>
      <c r="F165" s="717">
        <f>SUMIF('PRESUPUESTO 2024'!$B:$B,A165,'PRESUPUESTO 2024'!T:T)</f>
        <v>0</v>
      </c>
      <c r="G165" s="1135">
        <f t="shared" si="36"/>
        <v>0</v>
      </c>
      <c r="H165" s="717">
        <f>SUMIF('PRESUPUESTO 2024'!$B:$B,A165,'PRESUPUESTO 2024'!$AV:$AV)</f>
        <v>0</v>
      </c>
      <c r="I165" s="1137">
        <f t="shared" si="38"/>
        <v>0</v>
      </c>
      <c r="J165" s="717">
        <f>SUMIF('PRESUPUESTO 2024'!$B:$B,A165,'PRESUPUESTO 2024'!$BD:$BD)</f>
        <v>0</v>
      </c>
      <c r="K165" s="446">
        <f t="shared" si="37"/>
        <v>0</v>
      </c>
    </row>
    <row r="166" spans="1:11" ht="15.9" customHeight="1" outlineLevel="1" x14ac:dyDescent="0.4">
      <c r="A166" s="674" t="s">
        <v>245</v>
      </c>
      <c r="B166" s="717">
        <f t="shared" si="39"/>
        <v>2500000</v>
      </c>
      <c r="C166" s="1135">
        <f t="shared" si="34"/>
        <v>1.6664401472963556E-4</v>
      </c>
      <c r="D166" s="717">
        <f>SUMIF('PRESUPUESTO 2024'!$B:$B,A166,'PRESUPUESTO 2024'!$R:$R)</f>
        <v>2500000</v>
      </c>
      <c r="E166" s="1135">
        <f t="shared" si="35"/>
        <v>3.9013661694603291E-4</v>
      </c>
      <c r="F166" s="717">
        <f>SUMIF('PRESUPUESTO 2024'!$B:$B,A166,'PRESUPUESTO 2024'!T:T)</f>
        <v>0</v>
      </c>
      <c r="G166" s="1135">
        <f t="shared" si="36"/>
        <v>0</v>
      </c>
      <c r="H166" s="717">
        <f>SUMIF('PRESUPUESTO 2024'!$B:$B,A166,'PRESUPUESTO 2024'!$AV:$AV)</f>
        <v>0</v>
      </c>
      <c r="I166" s="1137">
        <f t="shared" si="38"/>
        <v>0</v>
      </c>
      <c r="J166" s="717">
        <f>SUMIF('PRESUPUESTO 2024'!$B:$B,A166,'PRESUPUESTO 2024'!$BD:$BD)</f>
        <v>0</v>
      </c>
      <c r="K166" s="446">
        <f t="shared" si="37"/>
        <v>0</v>
      </c>
    </row>
    <row r="167" spans="1:11" ht="15.9" hidden="1" customHeight="1" outlineLevel="1" x14ac:dyDescent="0.4">
      <c r="A167" s="674" t="s">
        <v>331</v>
      </c>
      <c r="B167" s="717">
        <f t="shared" si="39"/>
        <v>0</v>
      </c>
      <c r="C167" s="1135">
        <f t="shared" si="34"/>
        <v>0</v>
      </c>
      <c r="D167" s="717">
        <v>0</v>
      </c>
      <c r="E167" s="1135">
        <f t="shared" si="35"/>
        <v>0</v>
      </c>
      <c r="F167" s="717">
        <v>0</v>
      </c>
      <c r="G167" s="1135">
        <f t="shared" si="36"/>
        <v>0</v>
      </c>
      <c r="H167" s="717">
        <v>0</v>
      </c>
      <c r="I167" s="1137">
        <f t="shared" si="38"/>
        <v>0</v>
      </c>
      <c r="J167" s="717">
        <v>0</v>
      </c>
      <c r="K167" s="446">
        <f t="shared" si="37"/>
        <v>0</v>
      </c>
    </row>
    <row r="168" spans="1:11" ht="15.9" hidden="1" customHeight="1" x14ac:dyDescent="0.4">
      <c r="A168" s="683" t="s">
        <v>249</v>
      </c>
      <c r="B168" s="717">
        <f t="shared" si="39"/>
        <v>0</v>
      </c>
      <c r="C168" s="1135">
        <f>+B168/$B$212</f>
        <v>0</v>
      </c>
      <c r="D168" s="717">
        <v>0</v>
      </c>
      <c r="E168" s="1135">
        <f>+D168/$D$212</f>
        <v>0</v>
      </c>
      <c r="F168" s="717">
        <v>0</v>
      </c>
      <c r="G168" s="1135">
        <f>+F168/$F$212</f>
        <v>0</v>
      </c>
      <c r="H168" s="717">
        <v>0</v>
      </c>
      <c r="I168" s="1137">
        <f t="shared" si="38"/>
        <v>0</v>
      </c>
      <c r="J168" s="717">
        <v>0</v>
      </c>
      <c r="K168" s="446">
        <f t="shared" si="37"/>
        <v>0</v>
      </c>
    </row>
    <row r="169" spans="1:11" ht="15.9" hidden="1" customHeight="1" x14ac:dyDescent="0.4">
      <c r="A169" s="683"/>
      <c r="B169" s="717"/>
      <c r="C169" s="1137"/>
      <c r="D169" s="717"/>
      <c r="E169" s="1137"/>
      <c r="F169" s="717"/>
      <c r="G169" s="1137"/>
      <c r="H169" s="717"/>
      <c r="I169" s="1160"/>
      <c r="J169" s="717"/>
      <c r="K169" s="1171"/>
    </row>
    <row r="170" spans="1:11" ht="15.9" hidden="1" customHeight="1" x14ac:dyDescent="0.4">
      <c r="A170" s="718" t="s">
        <v>338</v>
      </c>
      <c r="B170" s="719">
        <f>SUM(B172:B174)</f>
        <v>0</v>
      </c>
      <c r="C170" s="1136">
        <f>SUM(B170/$B$14)</f>
        <v>0</v>
      </c>
      <c r="D170" s="719">
        <f>SUM(D172:D174)</f>
        <v>0</v>
      </c>
      <c r="E170" s="1136" t="e">
        <f>+D170/B170</f>
        <v>#DIV/0!</v>
      </c>
      <c r="F170" s="719">
        <f>SUM(F172:F174)</f>
        <v>0</v>
      </c>
      <c r="G170" s="1150" t="e">
        <f>+F170/B170</f>
        <v>#DIV/0!</v>
      </c>
      <c r="H170" s="719">
        <f>SUM(H172:H174)</f>
        <v>0</v>
      </c>
      <c r="I170" s="1153" t="e">
        <f>+H170/B170</f>
        <v>#DIV/0!</v>
      </c>
      <c r="J170" s="719">
        <f>SUM(J172:J174)</f>
        <v>0</v>
      </c>
      <c r="K170" s="1172" t="e">
        <f>+J170/B170</f>
        <v>#DIV/0!</v>
      </c>
    </row>
    <row r="171" spans="1:11" ht="15.9" hidden="1" customHeight="1" x14ac:dyDescent="0.4">
      <c r="A171" s="683"/>
      <c r="B171" s="717"/>
      <c r="C171" s="1137"/>
      <c r="D171" s="717"/>
      <c r="E171" s="1137"/>
      <c r="F171" s="717"/>
      <c r="G171" s="1137"/>
      <c r="H171" s="717"/>
      <c r="I171" s="1160"/>
      <c r="J171" s="717"/>
      <c r="K171" s="1171"/>
    </row>
    <row r="172" spans="1:11" ht="15.9" hidden="1" customHeight="1" outlineLevel="1" x14ac:dyDescent="0.4">
      <c r="A172" s="674" t="s">
        <v>253</v>
      </c>
      <c r="B172" s="717">
        <f>+D172+F172+H172+J172</f>
        <v>0</v>
      </c>
      <c r="C172" s="1135">
        <f>+B172/$B$212</f>
        <v>0</v>
      </c>
      <c r="D172" s="717">
        <v>0</v>
      </c>
      <c r="E172" s="1135">
        <f>+D172/$D$212</f>
        <v>0</v>
      </c>
      <c r="F172" s="717">
        <v>0</v>
      </c>
      <c r="G172" s="1135">
        <f>+F172/$F$212</f>
        <v>0</v>
      </c>
      <c r="H172" s="717">
        <v>0</v>
      </c>
      <c r="I172" s="1160">
        <v>0</v>
      </c>
      <c r="J172" s="717">
        <v>0</v>
      </c>
      <c r="K172" s="446">
        <f>+J172/$J$212</f>
        <v>0</v>
      </c>
    </row>
    <row r="173" spans="1:11" ht="15.9" hidden="1" customHeight="1" collapsed="1" x14ac:dyDescent="0.4">
      <c r="A173" s="674" t="s">
        <v>255</v>
      </c>
      <c r="B173" s="717">
        <f>+D173+F173+H173+J173</f>
        <v>0</v>
      </c>
      <c r="C173" s="1135">
        <f>+B173/$B$212</f>
        <v>0</v>
      </c>
      <c r="D173" s="717">
        <v>0</v>
      </c>
      <c r="E173" s="1135">
        <f>+D173/$D$212</f>
        <v>0</v>
      </c>
      <c r="F173" s="717">
        <v>0</v>
      </c>
      <c r="G173" s="1135">
        <f>+F173/$F$212</f>
        <v>0</v>
      </c>
      <c r="H173" s="717">
        <v>0</v>
      </c>
      <c r="I173" s="1160" t="e">
        <f>+H173/B173</f>
        <v>#DIV/0!</v>
      </c>
      <c r="J173" s="717">
        <v>0</v>
      </c>
      <c r="K173" s="446">
        <f>+J173/$J$212</f>
        <v>0</v>
      </c>
    </row>
    <row r="174" spans="1:11" ht="15.9" hidden="1" customHeight="1" outlineLevel="1" x14ac:dyDescent="0.4">
      <c r="A174" s="674" t="s">
        <v>257</v>
      </c>
      <c r="B174" s="717">
        <f>+D174+F174+H174+J174</f>
        <v>0</v>
      </c>
      <c r="C174" s="1135">
        <f>+B174/$B$212</f>
        <v>0</v>
      </c>
      <c r="D174" s="717">
        <v>0</v>
      </c>
      <c r="E174" s="1135">
        <f>+D174/$D$212</f>
        <v>0</v>
      </c>
      <c r="F174" s="717">
        <v>0</v>
      </c>
      <c r="G174" s="1135">
        <f>+F174/$F$212</f>
        <v>0</v>
      </c>
      <c r="H174" s="717">
        <v>0</v>
      </c>
      <c r="I174" s="1160">
        <v>0</v>
      </c>
      <c r="J174" s="717">
        <v>0</v>
      </c>
      <c r="K174" s="446">
        <f>+J174/$J$212</f>
        <v>0</v>
      </c>
    </row>
    <row r="175" spans="1:11" ht="9.9" customHeight="1" outlineLevel="1" thickBot="1" x14ac:dyDescent="0.45">
      <c r="A175" s="722"/>
      <c r="B175" s="723"/>
      <c r="C175" s="1139"/>
      <c r="D175" s="723"/>
      <c r="E175" s="1139"/>
      <c r="F175" s="723"/>
      <c r="G175" s="1139"/>
      <c r="H175" s="723"/>
      <c r="I175" s="1162"/>
      <c r="J175" s="723"/>
      <c r="K175" s="1174"/>
    </row>
    <row r="176" spans="1:11" ht="15.9" customHeight="1" outlineLevel="1" x14ac:dyDescent="0.4">
      <c r="A176" s="724" t="s">
        <v>338</v>
      </c>
      <c r="B176" s="725">
        <f>SUM(B177:B179)</f>
        <v>423693018</v>
      </c>
      <c r="C176" s="1140">
        <f>SUM(B176/$B$14)</f>
        <v>5.0875644549623275E-2</v>
      </c>
      <c r="D176" s="725">
        <f>SUM(D177:D179)</f>
        <v>413787754</v>
      </c>
      <c r="E176" s="1140">
        <f>+D176/B176</f>
        <v>0.9766216020109163</v>
      </c>
      <c r="F176" s="725">
        <f>SUM(F177:F179)</f>
        <v>0</v>
      </c>
      <c r="G176" s="1152">
        <f>+F176/B176</f>
        <v>0</v>
      </c>
      <c r="H176" s="725">
        <f>SUM(H177:H179)</f>
        <v>9905264</v>
      </c>
      <c r="I176" s="1163">
        <v>0</v>
      </c>
      <c r="J176" s="725">
        <f>SUM(J177:J179)</f>
        <v>0</v>
      </c>
      <c r="K176" s="1175">
        <f>+J176/B176</f>
        <v>0</v>
      </c>
    </row>
    <row r="177" spans="1:11" ht="9.9" customHeight="1" outlineLevel="1" x14ac:dyDescent="0.4">
      <c r="A177" s="674"/>
      <c r="B177" s="717"/>
      <c r="C177" s="1137"/>
      <c r="D177" s="717"/>
      <c r="E177" s="1137"/>
      <c r="F177" s="717"/>
      <c r="G177" s="1137"/>
      <c r="H177" s="717"/>
      <c r="I177" s="1160"/>
      <c r="J177" s="717"/>
      <c r="K177" s="1171"/>
    </row>
    <row r="178" spans="1:11" ht="15.9" customHeight="1" outlineLevel="1" x14ac:dyDescent="0.4">
      <c r="A178" s="674" t="s">
        <v>1228</v>
      </c>
      <c r="B178" s="717">
        <f>+D178+F178+H178+J178</f>
        <v>423693018</v>
      </c>
      <c r="C178" s="1135">
        <f>+B178/$B$212</f>
        <v>2.8242362212974298E-2</v>
      </c>
      <c r="D178" s="717">
        <f>SUMIF('PRESUPUESTO 2024'!$B:$B,A178,'PRESUPUESTO 2024'!$R:$R)</f>
        <v>413787754</v>
      </c>
      <c r="E178" s="1135">
        <f>+D178/$D$212</f>
        <v>6.4573501791702917E-2</v>
      </c>
      <c r="F178" s="717">
        <f>SUMIF('PRESUPUESTO 2024'!$B:$B,A178,'PRESUPUESTO 2024'!T:T)</f>
        <v>0</v>
      </c>
      <c r="G178" s="1135">
        <f>+F178/$F$212</f>
        <v>0</v>
      </c>
      <c r="H178" s="717">
        <f>SUMIF('PRESUPUESTO 2024'!$B:$B,A178,'PRESUPUESTO 2024'!$AV:$AV)</f>
        <v>9905264</v>
      </c>
      <c r="I178" s="1160">
        <v>0</v>
      </c>
      <c r="J178" s="717">
        <f>SUMIF('PRESUPUESTO 2024'!$B:$B,A178,'PRESUPUESTO 2024'!$BD:$BD)</f>
        <v>0</v>
      </c>
      <c r="K178" s="446">
        <f>+J178/$J$212</f>
        <v>0</v>
      </c>
    </row>
    <row r="179" spans="1:11" ht="15.9" customHeight="1" outlineLevel="1" x14ac:dyDescent="0.4">
      <c r="A179" s="674" t="s">
        <v>260</v>
      </c>
      <c r="B179" s="717">
        <v>0</v>
      </c>
      <c r="C179" s="1135">
        <f>+B179/$B$212</f>
        <v>0</v>
      </c>
      <c r="D179" s="717">
        <v>0</v>
      </c>
      <c r="E179" s="1135">
        <f>+D179/$D$212</f>
        <v>0</v>
      </c>
      <c r="F179" s="717">
        <v>0</v>
      </c>
      <c r="G179" s="1135">
        <f>+F179/$F$212</f>
        <v>0</v>
      </c>
      <c r="H179" s="717">
        <v>0</v>
      </c>
      <c r="I179" s="1160">
        <v>0</v>
      </c>
      <c r="J179" s="717">
        <v>0</v>
      </c>
      <c r="K179" s="446">
        <f>+J179/$J$212</f>
        <v>0</v>
      </c>
    </row>
    <row r="180" spans="1:11" ht="9.9" customHeight="1" x14ac:dyDescent="0.4">
      <c r="A180" s="720"/>
      <c r="B180" s="1190"/>
      <c r="C180" s="1138"/>
      <c r="D180" s="721"/>
      <c r="E180" s="1138"/>
      <c r="F180" s="721"/>
      <c r="G180" s="1138"/>
      <c r="H180" s="721"/>
      <c r="I180" s="1161"/>
      <c r="J180" s="721"/>
      <c r="K180" s="1173"/>
    </row>
    <row r="181" spans="1:11" ht="15.9" customHeight="1" x14ac:dyDescent="0.4">
      <c r="A181" s="731" t="s">
        <v>261</v>
      </c>
      <c r="B181" s="714">
        <f>+B183+B192+B200+B196+B188</f>
        <v>502977272</v>
      </c>
      <c r="C181" s="715">
        <f>+B181/$B$212</f>
        <v>3.3527260769535966E-2</v>
      </c>
      <c r="D181" s="714">
        <f>+D183+D192+D200+D196+D188</f>
        <v>87780000</v>
      </c>
      <c r="E181" s="715">
        <f>+D181/$D$212</f>
        <v>1.3698476894209107E-2</v>
      </c>
      <c r="F181" s="714">
        <f>+F183+F192+F200+F196+F188</f>
        <v>0</v>
      </c>
      <c r="G181" s="715">
        <f>+F181/$F$212</f>
        <v>0</v>
      </c>
      <c r="H181" s="714">
        <f>+H183+H192+H200+H196+H188</f>
        <v>413997272</v>
      </c>
      <c r="I181" s="715">
        <f>+H181/$H$212</f>
        <v>5.5343541526244502E-2</v>
      </c>
      <c r="J181" s="714">
        <f>+J183+J192+J200+J196+J188</f>
        <v>1200000</v>
      </c>
      <c r="K181" s="716">
        <f>+J181/$J$212</f>
        <v>2.1370961422565171E-3</v>
      </c>
    </row>
    <row r="182" spans="1:11" ht="9.9" customHeight="1" x14ac:dyDescent="0.4">
      <c r="A182" s="447"/>
      <c r="B182" s="717"/>
      <c r="C182" s="1143"/>
      <c r="D182" s="717"/>
      <c r="E182" s="1137"/>
      <c r="F182" s="717"/>
      <c r="G182" s="1137"/>
      <c r="H182" s="717"/>
      <c r="I182" s="1160"/>
      <c r="J182" s="717"/>
      <c r="K182" s="1171"/>
    </row>
    <row r="183" spans="1:11" ht="15.9" customHeight="1" x14ac:dyDescent="0.4">
      <c r="A183" s="718" t="s">
        <v>336</v>
      </c>
      <c r="B183" s="719">
        <f>SUM(B185:B186)</f>
        <v>441894272</v>
      </c>
      <c r="C183" s="1136">
        <f>SUM(B183/$B$14)</f>
        <v>5.3061190427231786E-2</v>
      </c>
      <c r="D183" s="719">
        <f>SUM(D185:D186)</f>
        <v>30000000</v>
      </c>
      <c r="E183" s="1136">
        <f>+D183/B183</f>
        <v>6.7889542591762761E-2</v>
      </c>
      <c r="F183" s="719">
        <f>SUM(F185:F186)</f>
        <v>0</v>
      </c>
      <c r="G183" s="1150">
        <f>+F183/B183</f>
        <v>0</v>
      </c>
      <c r="H183" s="719">
        <f>SUM(H185:H186)</f>
        <v>411894272</v>
      </c>
      <c r="I183" s="1153">
        <f>+H183/B183</f>
        <v>0.93211045740823728</v>
      </c>
      <c r="J183" s="719">
        <f>SUM(J185:J186)</f>
        <v>0</v>
      </c>
      <c r="K183" s="1172">
        <f>+J183/B183</f>
        <v>0</v>
      </c>
    </row>
    <row r="184" spans="1:11" ht="9.9" customHeight="1" collapsed="1" x14ac:dyDescent="0.4">
      <c r="A184" s="447"/>
      <c r="B184" s="717"/>
      <c r="C184" s="1137"/>
      <c r="D184" s="717"/>
      <c r="E184" s="1137"/>
      <c r="F184" s="717"/>
      <c r="G184" s="1137"/>
      <c r="H184" s="717"/>
      <c r="I184" s="1160"/>
      <c r="J184" s="717"/>
      <c r="K184" s="1171"/>
    </row>
    <row r="185" spans="1:11" ht="15.9" customHeight="1" x14ac:dyDescent="0.4">
      <c r="A185" s="447" t="s">
        <v>413</v>
      </c>
      <c r="B185" s="717">
        <f>+D185+F185+H185+J185</f>
        <v>441894272</v>
      </c>
      <c r="C185" s="1135">
        <f>+B185/$B$212</f>
        <v>2.9455614228843834E-2</v>
      </c>
      <c r="D185" s="717">
        <f>SUMIF('PRESUPUESTO 2024'!$B:$B,A185,'PRESUPUESTO 2024'!$R:$R)</f>
        <v>30000000</v>
      </c>
      <c r="E185" s="1135">
        <f>+D185/$D$212</f>
        <v>4.6816394033523953E-3</v>
      </c>
      <c r="F185" s="717">
        <f>SUMIF('PRESUPUESTO 2024'!$B:$B,A185,'PRESUPUESTO 2024'!T:T)</f>
        <v>0</v>
      </c>
      <c r="G185" s="1135">
        <f>+F185/$F$212</f>
        <v>0</v>
      </c>
      <c r="H185" s="717">
        <f>SUMIF('PRESUPUESTO 2024'!$B:$B,A185,'PRESUPUESTO 2024'!$AV:$AV)</f>
        <v>411894272</v>
      </c>
      <c r="I185" s="1137">
        <f>SUM(H185/$B$14)</f>
        <v>4.9458890479752604E-2</v>
      </c>
      <c r="J185" s="717">
        <f>SUMIF('PRESUPUESTO 2024'!$B:$B,A185,'PRESUPUESTO 2024'!$BD:$BD)</f>
        <v>0</v>
      </c>
      <c r="K185" s="446">
        <f>+J185/$J$212</f>
        <v>0</v>
      </c>
    </row>
    <row r="186" spans="1:11" ht="15.9" hidden="1" customHeight="1" x14ac:dyDescent="0.4">
      <c r="A186" s="447" t="s">
        <v>59</v>
      </c>
      <c r="B186" s="717">
        <f>+D186+F186+H186+J186</f>
        <v>0</v>
      </c>
      <c r="C186" s="1135">
        <f>+B186/$B$212</f>
        <v>0</v>
      </c>
      <c r="D186" s="717">
        <v>0</v>
      </c>
      <c r="E186" s="1135">
        <f>+D186/$D$212</f>
        <v>0</v>
      </c>
      <c r="F186" s="717">
        <v>0</v>
      </c>
      <c r="G186" s="1135">
        <f>+F186/$F$212</f>
        <v>0</v>
      </c>
      <c r="H186" s="717">
        <v>0</v>
      </c>
      <c r="I186" s="1160" t="e">
        <f>+H186/B186</f>
        <v>#DIV/0!</v>
      </c>
      <c r="J186" s="717">
        <v>0</v>
      </c>
      <c r="K186" s="446">
        <f>+J186/$J$212</f>
        <v>0</v>
      </c>
    </row>
    <row r="187" spans="1:11" ht="9.9" customHeight="1" x14ac:dyDescent="0.4">
      <c r="A187" s="447"/>
      <c r="B187" s="717"/>
      <c r="C187" s="1135"/>
      <c r="D187" s="717"/>
      <c r="E187" s="1135"/>
      <c r="F187" s="717"/>
      <c r="G187" s="1135"/>
      <c r="H187" s="717"/>
      <c r="I187" s="1160"/>
      <c r="J187" s="717"/>
      <c r="K187" s="446"/>
    </row>
    <row r="188" spans="1:11" ht="15.9" customHeight="1" x14ac:dyDescent="0.4">
      <c r="A188" s="718" t="s">
        <v>806</v>
      </c>
      <c r="B188" s="719">
        <f>SUM(B190:B190)</f>
        <v>7780000</v>
      </c>
      <c r="C188" s="1136">
        <f>SUM(B188/$B$14)</f>
        <v>9.3419645304626921E-4</v>
      </c>
      <c r="D188" s="719">
        <f>SUM(D190:D190)</f>
        <v>7780000</v>
      </c>
      <c r="E188" s="1136">
        <f>+D188/B188</f>
        <v>1</v>
      </c>
      <c r="F188" s="719">
        <f>SUM(F190:F190)</f>
        <v>0</v>
      </c>
      <c r="G188" s="1150">
        <f>+F188/B188</f>
        <v>0</v>
      </c>
      <c r="H188" s="719">
        <f>SUM(H190:H190)</f>
        <v>0</v>
      </c>
      <c r="I188" s="1153">
        <f>+H188/B188</f>
        <v>0</v>
      </c>
      <c r="J188" s="719">
        <f>SUM(J190:J190)</f>
        <v>0</v>
      </c>
      <c r="K188" s="1172">
        <f>+J188/B188</f>
        <v>0</v>
      </c>
    </row>
    <row r="189" spans="1:11" ht="9.9" customHeight="1" x14ac:dyDescent="0.4">
      <c r="A189" s="625"/>
      <c r="B189" s="717"/>
      <c r="C189" s="1135"/>
      <c r="D189" s="717"/>
      <c r="E189" s="1135"/>
      <c r="F189" s="717"/>
      <c r="G189" s="1135"/>
      <c r="H189" s="717"/>
      <c r="I189" s="1160"/>
      <c r="J189" s="717"/>
      <c r="K189" s="446"/>
    </row>
    <row r="190" spans="1:11" ht="15.9" customHeight="1" x14ac:dyDescent="0.4">
      <c r="A190" s="625" t="s">
        <v>810</v>
      </c>
      <c r="B190" s="717">
        <f>+D190+F190+H190+J190</f>
        <v>7780000</v>
      </c>
      <c r="C190" s="1135">
        <f>+B190/$B$212</f>
        <v>5.1859617383862586E-4</v>
      </c>
      <c r="D190" s="717">
        <f>SUMIF('PRESUPUESTO 2024'!$B:$B,A190,'PRESUPUESTO 2024'!$R:$R)</f>
        <v>7780000</v>
      </c>
      <c r="E190" s="1135">
        <f>+D190/$D$212</f>
        <v>1.2141051519360545E-3</v>
      </c>
      <c r="F190" s="717">
        <f>SUMIF('PRESUPUESTO 2024'!$B:$B,A190,'PRESUPUESTO 2024'!T:T)</f>
        <v>0</v>
      </c>
      <c r="G190" s="1135">
        <f>+F190/$F$212</f>
        <v>0</v>
      </c>
      <c r="H190" s="717">
        <f>SUMIF('PRESUPUESTO 2024'!$B:$B,A190,'PRESUPUESTO 2024'!$AV:$AV)</f>
        <v>0</v>
      </c>
      <c r="I190" s="1160">
        <f>+H190/B190</f>
        <v>0</v>
      </c>
      <c r="J190" s="717">
        <f>SUMIF('PRESUPUESTO 2024'!$B:$B,A190,'PRESUPUESTO 2024'!$BD:$BD)</f>
        <v>0</v>
      </c>
      <c r="K190" s="446">
        <f>+J190/$J$212</f>
        <v>0</v>
      </c>
    </row>
    <row r="191" spans="1:11" ht="9.9" customHeight="1" thickBot="1" x14ac:dyDescent="0.45">
      <c r="A191" s="734"/>
      <c r="B191" s="723"/>
      <c r="C191" s="1139"/>
      <c r="D191" s="723"/>
      <c r="E191" s="1139"/>
      <c r="F191" s="723"/>
      <c r="G191" s="1139"/>
      <c r="H191" s="723"/>
      <c r="I191" s="1162"/>
      <c r="J191" s="723"/>
      <c r="K191" s="1174"/>
    </row>
    <row r="192" spans="1:11" ht="15.9" customHeight="1" x14ac:dyDescent="0.4">
      <c r="A192" s="724" t="s">
        <v>265</v>
      </c>
      <c r="B192" s="725">
        <f>SUM(B194)</f>
        <v>52103000</v>
      </c>
      <c r="C192" s="1140">
        <f>SUM(B192/$B$14)</f>
        <v>6.2563544721169363E-3</v>
      </c>
      <c r="D192" s="725">
        <f>SUM(D194)</f>
        <v>50000000</v>
      </c>
      <c r="E192" s="1140">
        <f>+D192/B192</f>
        <v>0.95963764082682379</v>
      </c>
      <c r="F192" s="725">
        <f>SUM(F194)</f>
        <v>0</v>
      </c>
      <c r="G192" s="1152">
        <f>+F192/B192</f>
        <v>0</v>
      </c>
      <c r="H192" s="725">
        <f>SUM(H194)</f>
        <v>2103000</v>
      </c>
      <c r="I192" s="1163">
        <f>+H192/B192</f>
        <v>4.036235917317621E-2</v>
      </c>
      <c r="J192" s="725">
        <f>SUM(J194)</f>
        <v>0</v>
      </c>
      <c r="K192" s="1175">
        <f>+J192/B192</f>
        <v>0</v>
      </c>
    </row>
    <row r="193" spans="1:11" ht="9.9" customHeight="1" x14ac:dyDescent="0.4">
      <c r="A193" s="447"/>
      <c r="B193" s="717"/>
      <c r="C193" s="1137"/>
      <c r="D193" s="717"/>
      <c r="E193" s="1137"/>
      <c r="F193" s="717"/>
      <c r="G193" s="1137"/>
      <c r="H193" s="717"/>
      <c r="I193" s="1160"/>
      <c r="J193" s="717"/>
      <c r="K193" s="1171"/>
    </row>
    <row r="194" spans="1:11" ht="15.9" customHeight="1" collapsed="1" x14ac:dyDescent="0.4">
      <c r="A194" s="736" t="s">
        <v>36</v>
      </c>
      <c r="B194" s="721">
        <f>+D194+F194+H194+J194</f>
        <v>52103000</v>
      </c>
      <c r="C194" s="1142">
        <f>+B194/$B$212</f>
        <v>3.4730612397832804E-3</v>
      </c>
      <c r="D194" s="721">
        <f>SUMIF('PRESUPUESTO 2024'!$B:$B,A194,'PRESUPUESTO 2024'!$R:$R)</f>
        <v>50000000</v>
      </c>
      <c r="E194" s="1142">
        <f>+D194/$D$212</f>
        <v>7.8027323389206586E-3</v>
      </c>
      <c r="F194" s="721">
        <f>SUMIF('PRESUPUESTO 2024'!$B:$B,A194,'PRESUPUESTO 2024'!T:T)</f>
        <v>0</v>
      </c>
      <c r="G194" s="1142">
        <f>+F194/$F$212</f>
        <v>0</v>
      </c>
      <c r="H194" s="721">
        <f>SUMIF('PRESUPUESTO 2024'!$B:$B,A194,'PRESUPUESTO 2024'!$AV:$AV)</f>
        <v>2103000</v>
      </c>
      <c r="I194" s="1161">
        <f>+H194/B194</f>
        <v>4.036235917317621E-2</v>
      </c>
      <c r="J194" s="721">
        <f>SUMIF('PRESUPUESTO 2024'!$B:$B,A194,'PRESUPUESTO 2024'!$BD:$BD)</f>
        <v>0</v>
      </c>
      <c r="K194" s="1177">
        <f>+J194/$J$212</f>
        <v>0</v>
      </c>
    </row>
    <row r="195" spans="1:11" ht="15.9" hidden="1" customHeight="1" x14ac:dyDescent="0.4">
      <c r="A195" s="447"/>
      <c r="B195" s="717"/>
      <c r="C195" s="1143"/>
      <c r="D195" s="717"/>
      <c r="E195" s="1137"/>
      <c r="F195" s="717"/>
      <c r="G195" s="1137"/>
      <c r="H195" s="717"/>
      <c r="I195" s="1160"/>
      <c r="J195" s="717"/>
      <c r="K195" s="1171"/>
    </row>
    <row r="196" spans="1:11" ht="15.9" hidden="1" customHeight="1" x14ac:dyDescent="0.4">
      <c r="A196" s="718" t="s">
        <v>414</v>
      </c>
      <c r="B196" s="719">
        <f>+B198</f>
        <v>0</v>
      </c>
      <c r="C196" s="1136">
        <f>SUM(B196/$B$14)</f>
        <v>0</v>
      </c>
      <c r="D196" s="719">
        <f>SUM(D198)</f>
        <v>0</v>
      </c>
      <c r="E196" s="1136" t="e">
        <f>+D196/B196</f>
        <v>#DIV/0!</v>
      </c>
      <c r="F196" s="719">
        <f>SUM(F198)</f>
        <v>0</v>
      </c>
      <c r="G196" s="1150" t="e">
        <f>+F196/B196</f>
        <v>#DIV/0!</v>
      </c>
      <c r="H196" s="719">
        <f>SUM(H198)</f>
        <v>0</v>
      </c>
      <c r="I196" s="1153" t="e">
        <f>+H196/B196</f>
        <v>#DIV/0!</v>
      </c>
      <c r="J196" s="719">
        <f>SUM(J198)</f>
        <v>0</v>
      </c>
      <c r="K196" s="1172" t="e">
        <f>+J196/B196</f>
        <v>#DIV/0!</v>
      </c>
    </row>
    <row r="197" spans="1:11" ht="15.9" hidden="1" customHeight="1" x14ac:dyDescent="0.4">
      <c r="A197" s="735"/>
      <c r="B197" s="733"/>
      <c r="C197" s="1141"/>
      <c r="D197" s="733"/>
      <c r="E197" s="1141"/>
      <c r="F197" s="733"/>
      <c r="G197" s="1141"/>
      <c r="H197" s="733"/>
      <c r="I197" s="1164"/>
      <c r="J197" s="733"/>
      <c r="K197" s="1176"/>
    </row>
    <row r="198" spans="1:11" ht="15.9" hidden="1" customHeight="1" collapsed="1" x14ac:dyDescent="0.4">
      <c r="A198" s="736" t="s">
        <v>385</v>
      </c>
      <c r="B198" s="721">
        <f>+D198+F198+H198+J198</f>
        <v>0</v>
      </c>
      <c r="C198" s="1142">
        <f>+B198/$B$212</f>
        <v>0</v>
      </c>
      <c r="D198" s="721">
        <v>0</v>
      </c>
      <c r="E198" s="1142">
        <f>+D198/$D$212</f>
        <v>0</v>
      </c>
      <c r="F198" s="721">
        <v>0</v>
      </c>
      <c r="G198" s="1142">
        <f>+F198/$F$212</f>
        <v>0</v>
      </c>
      <c r="H198" s="721">
        <v>0</v>
      </c>
      <c r="I198" s="1161" t="e">
        <f>+H198/B198</f>
        <v>#DIV/0!</v>
      </c>
      <c r="J198" s="721">
        <v>0</v>
      </c>
      <c r="K198" s="1177">
        <f>+J198/$J$212</f>
        <v>0</v>
      </c>
    </row>
    <row r="199" spans="1:11" ht="9.9" customHeight="1" x14ac:dyDescent="0.4">
      <c r="A199" s="447"/>
      <c r="B199" s="717"/>
      <c r="C199" s="1143"/>
      <c r="D199" s="717"/>
      <c r="E199" s="1137"/>
      <c r="F199" s="717"/>
      <c r="G199" s="1137"/>
      <c r="H199" s="717"/>
      <c r="I199" s="1160"/>
      <c r="J199" s="717"/>
      <c r="K199" s="1171"/>
    </row>
    <row r="200" spans="1:11" ht="15.9" customHeight="1" x14ac:dyDescent="0.4">
      <c r="A200" s="718" t="s">
        <v>335</v>
      </c>
      <c r="B200" s="719">
        <f>SUM(B202:B203)</f>
        <v>1200000</v>
      </c>
      <c r="C200" s="1136">
        <f>SUM(B200/$B$14)</f>
        <v>1.4409199789916749E-4</v>
      </c>
      <c r="D200" s="719">
        <f>SUM(D202:D203)</f>
        <v>0</v>
      </c>
      <c r="E200" s="1136">
        <f>+D200/B200</f>
        <v>0</v>
      </c>
      <c r="F200" s="719">
        <f>SUM(F202:F203)</f>
        <v>0</v>
      </c>
      <c r="G200" s="1150">
        <f>+F200/B200</f>
        <v>0</v>
      </c>
      <c r="H200" s="719">
        <f>SUM(H202:H203)</f>
        <v>0</v>
      </c>
      <c r="I200" s="1153">
        <f>+H200/B200</f>
        <v>0</v>
      </c>
      <c r="J200" s="719">
        <f>SUM(J202:J203)</f>
        <v>1200000</v>
      </c>
      <c r="K200" s="1172">
        <f>+J200/B200</f>
        <v>1</v>
      </c>
    </row>
    <row r="201" spans="1:11" ht="9.9" customHeight="1" x14ac:dyDescent="0.4">
      <c r="A201" s="735"/>
      <c r="B201" s="733"/>
      <c r="C201" s="1141"/>
      <c r="D201" s="733"/>
      <c r="E201" s="1141"/>
      <c r="F201" s="733"/>
      <c r="G201" s="1141"/>
      <c r="H201" s="733"/>
      <c r="I201" s="1164"/>
      <c r="J201" s="733"/>
      <c r="K201" s="1176"/>
    </row>
    <row r="202" spans="1:11" ht="15.9" customHeight="1" collapsed="1" x14ac:dyDescent="0.4">
      <c r="A202" s="674" t="s">
        <v>1234</v>
      </c>
      <c r="B202" s="717">
        <f>+D202+F202+H202+J202</f>
        <v>1200000</v>
      </c>
      <c r="C202" s="1135">
        <f>+B202/$B$212</f>
        <v>7.9989127070225066E-5</v>
      </c>
      <c r="D202" s="717">
        <f>SUMIF('PRESUPUESTO 2024'!$B:$B,A202,'PRESUPUESTO 2024'!$R:$R)</f>
        <v>0</v>
      </c>
      <c r="E202" s="1135">
        <f>+D202/$D$212</f>
        <v>0</v>
      </c>
      <c r="F202" s="717">
        <f>SUMIF('PRESUPUESTO 2024'!$B:$B,A202,'PRESUPUESTO 2024'!T:T)</f>
        <v>0</v>
      </c>
      <c r="G202" s="1135">
        <f>+F202/$F$212</f>
        <v>0</v>
      </c>
      <c r="H202" s="717">
        <f>SUMIF('PRESUPUESTO 2024'!$B:$B,A202,'PRESUPUESTO 2024'!$AV:$AV)</f>
        <v>0</v>
      </c>
      <c r="I202" s="1160">
        <f>+H202/B202</f>
        <v>0</v>
      </c>
      <c r="J202" s="717">
        <f>SUMIF('PRESUPUESTO 2024'!$B:$B,A202,'PRESUPUESTO 2024'!$BD:$BD)</f>
        <v>1200000</v>
      </c>
      <c r="K202" s="446">
        <f>+J202/$J$212</f>
        <v>2.1370961422565171E-3</v>
      </c>
    </row>
    <row r="203" spans="1:11" ht="16.2" hidden="1" x14ac:dyDescent="0.4">
      <c r="A203" s="720" t="s">
        <v>368</v>
      </c>
      <c r="B203" s="721">
        <f>+D203+F203+H203+J203</f>
        <v>0</v>
      </c>
      <c r="C203" s="1142">
        <f>+B203/$B$212</f>
        <v>0</v>
      </c>
      <c r="D203" s="721">
        <v>0</v>
      </c>
      <c r="E203" s="1142">
        <f>+D203/$D$212</f>
        <v>0</v>
      </c>
      <c r="F203" s="721">
        <v>0</v>
      </c>
      <c r="G203" s="1142">
        <f>+F203/$F$212</f>
        <v>0</v>
      </c>
      <c r="H203" s="721">
        <v>0</v>
      </c>
      <c r="I203" s="1161" t="e">
        <f>+H203/B203</f>
        <v>#DIV/0!</v>
      </c>
      <c r="J203" s="721">
        <v>0</v>
      </c>
      <c r="K203" s="1177">
        <f>+J203/$J$212</f>
        <v>0</v>
      </c>
    </row>
    <row r="204" spans="1:11" ht="7.5" hidden="1" customHeight="1" collapsed="1" x14ac:dyDescent="0.4">
      <c r="A204" s="720"/>
      <c r="B204" s="1190"/>
      <c r="C204" s="1138"/>
      <c r="D204" s="721"/>
      <c r="E204" s="1138"/>
      <c r="F204" s="721"/>
      <c r="G204" s="1138"/>
      <c r="H204" s="721"/>
      <c r="I204" s="1161"/>
      <c r="J204" s="721"/>
      <c r="K204" s="1173"/>
    </row>
    <row r="205" spans="1:11" ht="15.75" hidden="1" customHeight="1" x14ac:dyDescent="0.4">
      <c r="A205" s="731" t="s">
        <v>58</v>
      </c>
      <c r="B205" s="714">
        <f>+B207</f>
        <v>0</v>
      </c>
      <c r="C205" s="715">
        <f>+B205/B212</f>
        <v>0</v>
      </c>
      <c r="D205" s="714">
        <f>+D207</f>
        <v>0</v>
      </c>
      <c r="E205" s="715">
        <f>+D205/$D$212</f>
        <v>0</v>
      </c>
      <c r="F205" s="714">
        <f>+F207</f>
        <v>0</v>
      </c>
      <c r="G205" s="715">
        <f>+F205/$F$212</f>
        <v>0</v>
      </c>
      <c r="H205" s="714">
        <f>+H207</f>
        <v>0</v>
      </c>
      <c r="I205" s="1165">
        <f>+H205/H212</f>
        <v>0</v>
      </c>
      <c r="J205" s="714">
        <f>+J207</f>
        <v>0</v>
      </c>
      <c r="K205" s="716">
        <f>+J205/$J$212</f>
        <v>0</v>
      </c>
    </row>
    <row r="206" spans="1:11" ht="16.2" hidden="1" x14ac:dyDescent="0.4">
      <c r="A206" s="447"/>
      <c r="B206" s="717"/>
      <c r="C206" s="1137"/>
      <c r="D206" s="717"/>
      <c r="E206" s="1137"/>
      <c r="F206" s="717"/>
      <c r="G206" s="1137"/>
      <c r="H206" s="717"/>
      <c r="I206" s="1160"/>
      <c r="J206" s="717"/>
      <c r="K206" s="1171"/>
    </row>
    <row r="207" spans="1:11" ht="16.2" hidden="1" x14ac:dyDescent="0.4">
      <c r="A207" s="718" t="s">
        <v>334</v>
      </c>
      <c r="B207" s="719">
        <f>SUM(B209:B210)</f>
        <v>0</v>
      </c>
      <c r="C207" s="1136">
        <f>SUM(B207/$B$14)</f>
        <v>0</v>
      </c>
      <c r="D207" s="719">
        <f>SUM(D209:D210)</f>
        <v>0</v>
      </c>
      <c r="E207" s="1136" t="e">
        <f>+D207/B207</f>
        <v>#DIV/0!</v>
      </c>
      <c r="F207" s="719">
        <f>SUM(F209:F210)</f>
        <v>0</v>
      </c>
      <c r="G207" s="1150" t="e">
        <f>+F207/B207</f>
        <v>#DIV/0!</v>
      </c>
      <c r="H207" s="719">
        <f>SUM(H209:H210)</f>
        <v>0</v>
      </c>
      <c r="I207" s="1153">
        <f>+H207/H212</f>
        <v>0</v>
      </c>
      <c r="J207" s="719">
        <f>SUM(J209:J210)</f>
        <v>0</v>
      </c>
      <c r="K207" s="1172" t="e">
        <f>+J207/B207</f>
        <v>#DIV/0!</v>
      </c>
    </row>
    <row r="208" spans="1:11" ht="16.2" hidden="1" x14ac:dyDescent="0.4">
      <c r="A208" s="447"/>
      <c r="B208" s="717"/>
      <c r="C208" s="1137"/>
      <c r="D208" s="717"/>
      <c r="E208" s="1137"/>
      <c r="F208" s="717"/>
      <c r="G208" s="1137"/>
      <c r="H208" s="717"/>
      <c r="I208" s="1160"/>
      <c r="J208" s="717"/>
      <c r="K208" s="1171"/>
    </row>
    <row r="209" spans="1:11" ht="16.2" hidden="1" outlineLevel="1" x14ac:dyDescent="0.4">
      <c r="A209" s="447" t="s">
        <v>60</v>
      </c>
      <c r="B209" s="717">
        <f>+D209+F209+H209+J209</f>
        <v>0</v>
      </c>
      <c r="C209" s="1135">
        <f>+B209/$B$212</f>
        <v>0</v>
      </c>
      <c r="D209" s="717">
        <v>0</v>
      </c>
      <c r="E209" s="1135">
        <f>+D209/$D$212</f>
        <v>0</v>
      </c>
      <c r="F209" s="717">
        <v>0</v>
      </c>
      <c r="G209" s="1135">
        <f>+F209/$F$212</f>
        <v>0</v>
      </c>
      <c r="H209" s="717">
        <v>0</v>
      </c>
      <c r="I209" s="1137">
        <f>SUM(H209/$B$14)</f>
        <v>0</v>
      </c>
      <c r="J209" s="717">
        <v>0</v>
      </c>
      <c r="K209" s="446">
        <f>+J209/$J$212</f>
        <v>0</v>
      </c>
    </row>
    <row r="210" spans="1:11" ht="12.75" hidden="1" customHeight="1" collapsed="1" x14ac:dyDescent="0.4">
      <c r="A210" s="674" t="s">
        <v>333</v>
      </c>
      <c r="B210" s="717">
        <f>+D210+F210+H210+J210</f>
        <v>0</v>
      </c>
      <c r="C210" s="1135">
        <f>+B210/$B$212</f>
        <v>0</v>
      </c>
      <c r="D210" s="717">
        <v>0</v>
      </c>
      <c r="E210" s="1135">
        <f>+D210/$D$212</f>
        <v>0</v>
      </c>
      <c r="F210" s="717">
        <v>0</v>
      </c>
      <c r="G210" s="1135">
        <f>+F210/$F$212</f>
        <v>0</v>
      </c>
      <c r="H210" s="717">
        <v>0</v>
      </c>
      <c r="I210" s="1160">
        <v>0</v>
      </c>
      <c r="J210" s="717">
        <v>0</v>
      </c>
      <c r="K210" s="446">
        <f>+J210/$J$212</f>
        <v>0</v>
      </c>
    </row>
    <row r="211" spans="1:11" ht="9.9" customHeight="1" collapsed="1" thickBot="1" x14ac:dyDescent="0.45">
      <c r="A211" s="720"/>
      <c r="B211" s="1190"/>
      <c r="C211" s="1138"/>
      <c r="D211" s="721"/>
      <c r="E211" s="1138"/>
      <c r="F211" s="721"/>
      <c r="G211" s="1138"/>
      <c r="H211" s="721"/>
      <c r="I211" s="1161"/>
      <c r="J211" s="721"/>
      <c r="K211" s="1173"/>
    </row>
    <row r="212" spans="1:11" ht="23.25" customHeight="1" thickBot="1" x14ac:dyDescent="0.45">
      <c r="A212" s="462" t="s">
        <v>21</v>
      </c>
      <c r="B212" s="737">
        <f>+B205+B181+B157+B112+B37+B14+B151</f>
        <v>15002038951.449999</v>
      </c>
      <c r="C212" s="1144">
        <f>+C14+C37+C112+C157+C181+C205+C151</f>
        <v>1</v>
      </c>
      <c r="D212" s="737">
        <f>SUM(D181+D157+D112+D37+D14+D205+D151)</f>
        <v>6408011684.6499996</v>
      </c>
      <c r="E212" s="1144">
        <f>+E14+E37+E112+E157+E181</f>
        <v>0.60265451485532506</v>
      </c>
      <c r="F212" s="737">
        <f>SUM(F181+F157+F112+F37+F14+F205)</f>
        <v>552019300</v>
      </c>
      <c r="G212" s="1144">
        <f>+G14+G37+G112+G157+G181</f>
        <v>1</v>
      </c>
      <c r="H212" s="737">
        <f>SUM(H181+H157+H112+H37+H14+H205)</f>
        <v>7480498366.8000002</v>
      </c>
      <c r="I212" s="1144">
        <f>+I14+I37+I112+I157+I181+I205</f>
        <v>1</v>
      </c>
      <c r="J212" s="737">
        <f>SUM(J181+J157+J112+J37+J14+J205)</f>
        <v>561509600</v>
      </c>
      <c r="K212" s="1179">
        <f>+K14+K37+K112+K157+K181</f>
        <v>1</v>
      </c>
    </row>
    <row r="213" spans="1:11" ht="9" customHeight="1" thickBot="1" x14ac:dyDescent="0.45">
      <c r="A213" s="495"/>
      <c r="B213" s="1191"/>
      <c r="C213" s="739"/>
      <c r="D213" s="1191"/>
      <c r="E213" s="1154"/>
      <c r="F213" s="1191"/>
      <c r="G213" s="1154"/>
      <c r="H213" s="1191"/>
      <c r="I213" s="1154"/>
      <c r="J213" s="1191"/>
      <c r="K213" s="1180"/>
    </row>
    <row r="214" spans="1:11" ht="9.75" customHeight="1" thickBot="1" x14ac:dyDescent="0.45">
      <c r="A214" s="362"/>
      <c r="B214" s="1185"/>
      <c r="C214" s="693"/>
      <c r="D214" s="1185"/>
      <c r="E214" s="1111"/>
      <c r="F214" s="1185"/>
      <c r="G214" s="1111"/>
      <c r="H214" s="1185"/>
      <c r="I214" s="1111"/>
      <c r="J214" s="1194"/>
      <c r="K214" s="1181"/>
    </row>
    <row r="215" spans="1:11" ht="16.8" thickTop="1" x14ac:dyDescent="0.4">
      <c r="A215" s="1499"/>
      <c r="B215" s="1499"/>
      <c r="C215" s="1499"/>
      <c r="D215" s="1499"/>
      <c r="E215" s="1499"/>
      <c r="F215" s="1499"/>
      <c r="G215" s="1499"/>
      <c r="H215" s="1499"/>
      <c r="I215" s="1499"/>
      <c r="J215" s="1195"/>
      <c r="K215" s="1182"/>
    </row>
  </sheetData>
  <sortState xmlns:xlrd2="http://schemas.microsoft.com/office/spreadsheetml/2017/richdata2" ref="A36:I37">
    <sortCondition sortBy="fontColor" ref="A35" dxfId="0"/>
  </sortState>
  <mergeCells count="9">
    <mergeCell ref="A215:I215"/>
    <mergeCell ref="A6:K6"/>
    <mergeCell ref="A7:K7"/>
    <mergeCell ref="A8:K8"/>
    <mergeCell ref="A3:K3"/>
    <mergeCell ref="F11:F12"/>
    <mergeCell ref="H11:H12"/>
    <mergeCell ref="J11:J12"/>
    <mergeCell ref="D11:D12"/>
  </mergeCells>
  <phoneticPr fontId="0" type="noConversion"/>
  <printOptions horizontalCentered="1"/>
  <pageMargins left="0.39370078740157483" right="0.39370078740157483" top="0.98425196850393704" bottom="0.78740157480314965" header="0.59055118110236227" footer="0.59055118110236227"/>
  <pageSetup scale="50" firstPageNumber="9" fitToHeight="3" orientation="landscape" useFirstPageNumber="1" r:id="rId1"/>
  <headerFooter alignWithMargins="0">
    <oddFooter>&amp;C&amp;"Tw Cen MT,Normal"&amp;P</oddFooter>
  </headerFooter>
  <rowBreaks count="3" manualBreakCount="3">
    <brk id="62" max="16383" man="1"/>
    <brk id="111" max="16383" man="1"/>
    <brk id="175" max="16383" man="1"/>
  </rowBreaks>
  <ignoredErrors>
    <ignoredError sqref="C213:K214 C14:C38 K208:K212 G74:G79 G81:G100 G202:G212 G14:G72 I74:I79 I81:I100 I202:I209 I14:I16 K74:K79 K81:K100 K191:K206 K157:K186 K14:K72 E74:E79 E14:E72 E81:E100 E202:E212 E102:E113 K102:K149 I102:I113 G102:G149 C40:C45 E115:E149 I115:I149 I18:I72 I211:I212 D151:D153 C151:C153 C115:C138 C64:C72 C55:C62 C47:C53 C140:C149 C102:C113 C191:C211 C157:C186 C82:C100 C75:C79 C46 C80:C81 C101 C187:C190 C212 C114 C150 C54 C63 C73:C74 C139 C154:C156 E157:E186 E191:E201 I157:I186 I191:I201 G191:G201 G171:G186 G157:G169 E151:I156 F170:H170 F157:F169 H157:H169 E187:I190 F171:F186 H171:H186 F191:F201 H191:H201"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29</vt:i4>
      </vt:variant>
      <vt:variant>
        <vt:lpstr>Rangos con nombre</vt:lpstr>
      </vt:variant>
      <vt:variant>
        <vt:i4>13</vt:i4>
      </vt:variant>
    </vt:vector>
  </HeadingPairs>
  <TitlesOfParts>
    <vt:vector size="42" baseType="lpstr">
      <vt:lpstr>Distribución OyA Detalle</vt:lpstr>
      <vt:lpstr>INDICE</vt:lpstr>
      <vt:lpstr>CLASIFICACION DE INGRESOS 2024</vt:lpstr>
      <vt:lpstr>INGRESOS 2024</vt:lpstr>
      <vt:lpstr>JUSTIFICACION</vt:lpstr>
      <vt:lpstr>INGRESOS 2018-2023</vt:lpstr>
      <vt:lpstr>COMPARATIVO INGRESOS</vt:lpstr>
      <vt:lpstr>OBJETO </vt:lpstr>
      <vt:lpstr>EGRESOS</vt:lpstr>
      <vt:lpstr>EVOLUCION GASTO</vt:lpstr>
      <vt:lpstr>Reporte Ejec 2022</vt:lpstr>
      <vt:lpstr>EST.ORIGEN Y APLICACION</vt:lpstr>
      <vt:lpstr> CLASIFICACION DE GASTOS 2024</vt:lpstr>
      <vt:lpstr>JUST. PROG.01</vt:lpstr>
      <vt:lpstr>JUST. PROG.02</vt:lpstr>
      <vt:lpstr>JUST. PROG.03</vt:lpstr>
      <vt:lpstr>JUST. PROG.04</vt:lpstr>
      <vt:lpstr>PRESUPUESTO 2024</vt:lpstr>
      <vt:lpstr>RESUMEN INEC</vt:lpstr>
      <vt:lpstr>RESUMEN 01</vt:lpstr>
      <vt:lpstr>RESUMEN 02</vt:lpstr>
      <vt:lpstr>RESUMEN 03</vt:lpstr>
      <vt:lpstr>RESUMEN 04</vt:lpstr>
      <vt:lpstr>CLASIF.ECONOMICO DEL GTO</vt:lpstr>
      <vt:lpstr>EVOL GTOCLASIF.ECONOMICO</vt:lpstr>
      <vt:lpstr>PROYECTO DE INVERSIÓN</vt:lpstr>
      <vt:lpstr>Hoja2</vt:lpstr>
      <vt:lpstr>EST.ORIGEN Y APLICACION AP</vt:lpstr>
      <vt:lpstr>Hoja1</vt:lpstr>
      <vt:lpstr>' CLASIFICACION DE GASTOS 2024'!Área_de_impresión</vt:lpstr>
      <vt:lpstr>'CLASIFICACION DE INGRESOS 2024'!Área_de_impresión</vt:lpstr>
      <vt:lpstr>'INGRESOS 2018-2023'!Área_de_impresión</vt:lpstr>
      <vt:lpstr>'JUST. PROG.01'!Área_de_impresión</vt:lpstr>
      <vt:lpstr>' CLASIFICACION DE GASTOS 2024'!Títulos_a_imprimir</vt:lpstr>
      <vt:lpstr>EGRESOS!Títulos_a_imprimir</vt:lpstr>
      <vt:lpstr>'EST.ORIGEN Y APLICACION'!Títulos_a_imprimir</vt:lpstr>
      <vt:lpstr>'EVOLUCION GASTO'!Títulos_a_imprimir</vt:lpstr>
      <vt:lpstr>'JUST. PROG.01'!Títulos_a_imprimir</vt:lpstr>
      <vt:lpstr>'JUST. PROG.02'!Títulos_a_imprimir</vt:lpstr>
      <vt:lpstr>'JUST. PROG.03'!Títulos_a_imprimir</vt:lpstr>
      <vt:lpstr>'JUST. PROG.04'!Títulos_a_imprimir</vt:lpstr>
      <vt:lpstr>'OBJETO '!Títulos_a_imprimir</vt:lpstr>
    </vt:vector>
  </TitlesOfParts>
  <Company>INEC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INEC</dc:creator>
  <cp:lastModifiedBy>Vladimir Calero Gaitán</cp:lastModifiedBy>
  <cp:lastPrinted>2023-09-26T19:28:44Z</cp:lastPrinted>
  <dcterms:created xsi:type="dcterms:W3CDTF">2000-09-23T15:18:53Z</dcterms:created>
  <dcterms:modified xsi:type="dcterms:W3CDTF">2024-07-29T15:54:22Z</dcterms:modified>
</cp:coreProperties>
</file>