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ivotTables/pivotTable1.xml" ContentType="application/vnd.openxmlformats-officedocument.spreadsheetml.pivot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hidePivotFieldList="1"/>
  <mc:AlternateContent xmlns:mc="http://schemas.openxmlformats.org/markup-compatibility/2006">
    <mc:Choice Requires="x15">
      <x15ac:absPath xmlns:x15ac="http://schemas.microsoft.com/office/spreadsheetml/2010/11/ac" url="C:\Users\vladimir.calero\OneDrive - INEC\Escritorio\Vladimir\4. Año 2024\1. PRESUPUESTO\6. Formulacion_2025\PAPELES DE TRABAJO\1 CGR_DOC_TRABAJO_CARPETA\"/>
    </mc:Choice>
  </mc:AlternateContent>
  <xr:revisionPtr revIDLastSave="0" documentId="13_ncr:1_{C8E37781-3958-45FA-98E9-FC6AD358BF82}" xr6:coauthVersionLast="47" xr6:coauthVersionMax="47" xr10:uidLastSave="{00000000-0000-0000-0000-000000000000}"/>
  <bookViews>
    <workbookView xWindow="28692" yWindow="-2448" windowWidth="29016" windowHeight="15816" firstSheet="12" activeTab="14" xr2:uid="{61FF2349-853C-4845-B683-79C9A0F2AEA2}"/>
  </bookViews>
  <sheets>
    <sheet name="INDICE" sheetId="20" r:id="rId1"/>
    <sheet name="CLASIFICACION DE INGRESOS 2025" sheetId="14" r:id="rId2"/>
    <sheet name="Hoja1" sheetId="33" r:id="rId3"/>
    <sheet name="INGRESOS 2025" sheetId="2" r:id="rId4"/>
    <sheet name="JUSTIFIC ING" sheetId="17" r:id="rId5"/>
    <sheet name="INGRESOS 2020-2025" sheetId="1" r:id="rId6"/>
    <sheet name="COMPARATIVO INGRESOS" sheetId="6" r:id="rId7"/>
    <sheet name="OBJETO " sheetId="4" r:id="rId8"/>
    <sheet name="EGRESOS" sheetId="5" r:id="rId9"/>
    <sheet name="EVOLUCION GASTO" sheetId="3" r:id="rId10"/>
    <sheet name="EST.ORIGEN Y APLICACION" sheetId="15" r:id="rId11"/>
    <sheet name="PRESUP2025" sheetId="32" state="hidden" r:id="rId12"/>
    <sheet name=" CLASIFICACION DE GASTOS 2025" sheetId="13" r:id="rId13"/>
    <sheet name="Hoja2" sheetId="34" r:id="rId14"/>
    <sheet name="Distribución OyA Detalle" sheetId="30" r:id="rId15"/>
    <sheet name="JUST. PROG.01" sheetId="21" r:id="rId16"/>
    <sheet name="JUST. PROG.02" sheetId="22" r:id="rId17"/>
    <sheet name="JUST. PROG.03" sheetId="23" r:id="rId18"/>
    <sheet name="JUST. PROG.04" sheetId="24" r:id="rId19"/>
    <sheet name="RESUMEN INEC" sheetId="8" r:id="rId20"/>
    <sheet name="RESUMEN 01" sheetId="9" r:id="rId21"/>
    <sheet name="RESUMEN 02" sheetId="10" r:id="rId22"/>
    <sheet name="RESUMEN 03" sheetId="11" r:id="rId23"/>
    <sheet name="RESUMEN 04" sheetId="16" r:id="rId24"/>
  </sheets>
  <externalReferences>
    <externalReference r:id="rId25"/>
    <externalReference r:id="rId26"/>
    <externalReference r:id="rId27"/>
  </externalReferences>
  <definedNames>
    <definedName name="_xlnm._FilterDatabase" localSheetId="14" hidden="1">'Distribución OyA Detalle'!$A$1:$IU$1057</definedName>
    <definedName name="_xlnm.Print_Area" localSheetId="12">' CLASIFICACION DE GASTOS 2025'!$A$1:$G$230</definedName>
    <definedName name="_xlnm.Print_Area" localSheetId="1">'CLASIFICACION DE INGRESOS 2025'!$A$1:$H$59</definedName>
    <definedName name="_xlnm.Print_Area" localSheetId="6">'COMPARATIVO INGRESOS'!$A$1:$I$28</definedName>
    <definedName name="_xlnm.Print_Area" localSheetId="10">'EST.ORIGEN Y APLICACION'!$A$1:$G$259</definedName>
    <definedName name="_xlnm.Print_Area" localSheetId="9">'EVOLUCION GASTO'!$A$1:$J$245</definedName>
    <definedName name="_xlnm.Print_Area" localSheetId="15">'JUST. PROG.01'!$A$1:$D$176</definedName>
    <definedName name="_xlnm.Print_Area" localSheetId="17">'JUST. PROG.03'!$A$1:$D$177</definedName>
    <definedName name="_xlnm.Print_Area" localSheetId="18">'JUST. PROG.04'!$A$1:$D$150</definedName>
    <definedName name="_xlnm.Print_Area" localSheetId="4">'JUSTIFIC ING'!$A$1:$C$39</definedName>
    <definedName name="_xlnm.Print_Area" localSheetId="20">'RESUMEN 01'!$A$1:$G$29</definedName>
    <definedName name="_xlnm.Print_Area" localSheetId="21">'RESUMEN 02'!$A$1:$G$29</definedName>
    <definedName name="_xlnm.Print_Area" localSheetId="22">'RESUMEN 03'!$A$1:$G$29</definedName>
    <definedName name="_xlnm.Print_Area" localSheetId="23">'RESUMEN 04'!$A$1:$G$29</definedName>
    <definedName name="_xlnm.Print_Titles" localSheetId="12">' CLASIFICACION DE GASTOS 2025'!$1:$10</definedName>
    <definedName name="_xlnm.Print_Titles" localSheetId="6">#N/A</definedName>
    <definedName name="_xlnm.Print_Titles" localSheetId="8">EGRESOS!$1:$13</definedName>
    <definedName name="_xlnm.Print_Titles" localSheetId="10">'EST.ORIGEN Y APLICACION'!$1:$7</definedName>
    <definedName name="_xlnm.Print_Titles" localSheetId="9">'EVOLUCION GASTO'!$1:$11</definedName>
    <definedName name="_xlnm.Print_Titles" localSheetId="15">'JUST. PROG.01'!$1:$10</definedName>
    <definedName name="_xlnm.Print_Titles" localSheetId="16">'JUST. PROG.02'!$1:$11</definedName>
    <definedName name="_xlnm.Print_Titles" localSheetId="17">'JUST. PROG.03'!$1:$11</definedName>
    <definedName name="_xlnm.Print_Titles" localSheetId="18">'JUST. PROG.04'!$1:$11</definedName>
    <definedName name="_xlnm.Print_Titles" localSheetId="4">#N/A</definedName>
    <definedName name="_xlnm.Print_Titles" localSheetId="7">'OBJETO '!$1:$12</definedName>
  </definedNames>
  <calcPr calcId="191029"/>
  <pivotCaches>
    <pivotCache cacheId="4" r:id="rId2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5" i="6" l="1"/>
  <c r="G15" i="6"/>
  <c r="AT86" i="34"/>
  <c r="AW86" i="34"/>
  <c r="E17" i="1" l="1"/>
  <c r="C252" i="4" l="1"/>
  <c r="H8" i="13"/>
  <c r="C249" i="3"/>
  <c r="C255" i="5"/>
  <c r="F38" i="17"/>
  <c r="K44" i="14"/>
  <c r="M805" i="30"/>
  <c r="M804" i="30"/>
  <c r="M803" i="30"/>
  <c r="M802" i="30"/>
  <c r="M801" i="30"/>
  <c r="M800" i="30"/>
  <c r="M799" i="30"/>
  <c r="M798" i="30"/>
  <c r="M797" i="30"/>
  <c r="M796" i="30"/>
  <c r="M795" i="30"/>
  <c r="M794" i="30"/>
  <c r="G34" i="2"/>
  <c r="G51" i="13"/>
  <c r="F219" i="13"/>
  <c r="E219" i="13"/>
  <c r="B164" i="23" s="1"/>
  <c r="D219" i="13"/>
  <c r="C219" i="13"/>
  <c r="F227" i="13"/>
  <c r="E227" i="13"/>
  <c r="D227" i="13"/>
  <c r="C227" i="13"/>
  <c r="F226" i="13"/>
  <c r="E226" i="13"/>
  <c r="D226" i="13"/>
  <c r="C226" i="13"/>
  <c r="F220" i="13"/>
  <c r="B133" i="24" s="1"/>
  <c r="B138" i="24" s="1"/>
  <c r="E220" i="13"/>
  <c r="D220" i="13"/>
  <c r="C220" i="13"/>
  <c r="F215" i="13"/>
  <c r="F213" i="13" s="1"/>
  <c r="E215" i="13"/>
  <c r="E213" i="13" s="1"/>
  <c r="D215" i="13"/>
  <c r="D213" i="13" s="1"/>
  <c r="C215" i="13"/>
  <c r="C213" i="13" s="1"/>
  <c r="F211" i="13"/>
  <c r="F209" i="13" s="1"/>
  <c r="E211" i="13"/>
  <c r="B163" i="23" s="1"/>
  <c r="D211" i="13"/>
  <c r="D209" i="13" s="1"/>
  <c r="C211" i="13"/>
  <c r="C209" i="13" s="1"/>
  <c r="F207" i="13"/>
  <c r="F205" i="13" s="1"/>
  <c r="E207" i="13"/>
  <c r="E205" i="13" s="1"/>
  <c r="D207" i="13"/>
  <c r="D205" i="13" s="1"/>
  <c r="C207" i="13"/>
  <c r="B158" i="21" s="1"/>
  <c r="F203" i="13"/>
  <c r="E203" i="13"/>
  <c r="D203" i="13"/>
  <c r="C203" i="13"/>
  <c r="B157" i="21" s="1"/>
  <c r="F202" i="13"/>
  <c r="E202" i="13"/>
  <c r="B161" i="23" s="1"/>
  <c r="D202" i="13"/>
  <c r="C202" i="13"/>
  <c r="B156" i="21" s="1"/>
  <c r="F196" i="13"/>
  <c r="E196" i="13"/>
  <c r="D196" i="13"/>
  <c r="C196" i="13"/>
  <c r="F195" i="13"/>
  <c r="E195" i="13"/>
  <c r="D195" i="13"/>
  <c r="B117" i="22" s="1"/>
  <c r="C195" i="13"/>
  <c r="B147" i="21" s="1"/>
  <c r="F191" i="13"/>
  <c r="E191" i="13"/>
  <c r="D191" i="13"/>
  <c r="C191" i="13"/>
  <c r="F190" i="13"/>
  <c r="E190" i="13"/>
  <c r="D190" i="13"/>
  <c r="C190" i="13"/>
  <c r="F186" i="13"/>
  <c r="E186" i="13"/>
  <c r="B150" i="23" s="1"/>
  <c r="D186" i="13"/>
  <c r="B116" i="22" s="1"/>
  <c r="C186" i="13"/>
  <c r="B146" i="21" s="1"/>
  <c r="F185" i="13"/>
  <c r="E185" i="13"/>
  <c r="B149" i="23" s="1"/>
  <c r="D185" i="13"/>
  <c r="B118" i="22" s="1"/>
  <c r="C185" i="13"/>
  <c r="B145" i="21" s="1"/>
  <c r="F184" i="13"/>
  <c r="E184" i="13"/>
  <c r="B148" i="23" s="1"/>
  <c r="D184" i="13"/>
  <c r="B114" i="22" s="1"/>
  <c r="C184" i="13"/>
  <c r="B144" i="21" s="1"/>
  <c r="F183" i="13"/>
  <c r="E183" i="13"/>
  <c r="B147" i="23" s="1"/>
  <c r="D183" i="13"/>
  <c r="B113" i="22" s="1"/>
  <c r="C183" i="13"/>
  <c r="F182" i="13"/>
  <c r="E182" i="13"/>
  <c r="B146" i="23" s="1"/>
  <c r="D182" i="13"/>
  <c r="B112" i="22" s="1"/>
  <c r="C182" i="13"/>
  <c r="B142" i="21" s="1"/>
  <c r="F181" i="13"/>
  <c r="E181" i="13"/>
  <c r="B145" i="23" s="1"/>
  <c r="D181" i="13"/>
  <c r="B111" i="22" s="1"/>
  <c r="C181" i="13"/>
  <c r="B141" i="21" s="1"/>
  <c r="F180" i="13"/>
  <c r="E180" i="13"/>
  <c r="B144" i="23" s="1"/>
  <c r="D180" i="13"/>
  <c r="B110" i="22" s="1"/>
  <c r="C180" i="13"/>
  <c r="B140" i="21" s="1"/>
  <c r="F179" i="13"/>
  <c r="E179" i="13"/>
  <c r="B143" i="23" s="1"/>
  <c r="D179" i="13"/>
  <c r="B109" i="22" s="1"/>
  <c r="C179" i="13"/>
  <c r="F171" i="13"/>
  <c r="F169" i="13" s="1"/>
  <c r="F167" i="13" s="1"/>
  <c r="E171" i="13"/>
  <c r="E169" i="13" s="1"/>
  <c r="E167" i="13" s="1"/>
  <c r="D171" i="13"/>
  <c r="D169" i="13" s="1"/>
  <c r="D167" i="13" s="1"/>
  <c r="C171" i="13"/>
  <c r="C169" i="13" s="1"/>
  <c r="C167" i="13" s="1"/>
  <c r="F165" i="13"/>
  <c r="B104" i="24" s="1"/>
  <c r="E165" i="13"/>
  <c r="B108" i="23" s="1"/>
  <c r="D165" i="13"/>
  <c r="C165" i="13"/>
  <c r="B105" i="21" s="1"/>
  <c r="F163" i="13"/>
  <c r="E163" i="13"/>
  <c r="B106" i="23" s="1"/>
  <c r="D163" i="13"/>
  <c r="C163" i="13"/>
  <c r="B103" i="21" s="1"/>
  <c r="F164" i="13"/>
  <c r="E164" i="13"/>
  <c r="B107" i="23" s="1"/>
  <c r="D164" i="13"/>
  <c r="C164" i="13"/>
  <c r="B104" i="21" s="1"/>
  <c r="F162" i="13"/>
  <c r="E162" i="13"/>
  <c r="B105" i="23" s="1"/>
  <c r="D162" i="13"/>
  <c r="C162" i="13"/>
  <c r="B102" i="21" s="1"/>
  <c r="F161" i="13"/>
  <c r="B100" i="24" s="1"/>
  <c r="E161" i="13"/>
  <c r="B104" i="23" s="1"/>
  <c r="D161" i="13"/>
  <c r="C161" i="13"/>
  <c r="B101" i="21" s="1"/>
  <c r="F160" i="13"/>
  <c r="B99" i="24" s="1"/>
  <c r="E160" i="13"/>
  <c r="B103" i="23" s="1"/>
  <c r="D160" i="13"/>
  <c r="C160" i="13"/>
  <c r="B100" i="21" s="1"/>
  <c r="F159" i="13"/>
  <c r="B98" i="24" s="1"/>
  <c r="E159" i="13"/>
  <c r="B102" i="23" s="1"/>
  <c r="D159" i="13"/>
  <c r="C159" i="13"/>
  <c r="B99" i="21" s="1"/>
  <c r="F158" i="13"/>
  <c r="B97" i="24" s="1"/>
  <c r="E158" i="13"/>
  <c r="D158" i="13"/>
  <c r="C158" i="13"/>
  <c r="F154" i="13"/>
  <c r="F151" i="13" s="1"/>
  <c r="E154" i="13"/>
  <c r="B100" i="23" s="1"/>
  <c r="D154" i="13"/>
  <c r="C154" i="13"/>
  <c r="F153" i="13"/>
  <c r="E153" i="13"/>
  <c r="B99" i="23" s="1"/>
  <c r="D153" i="13"/>
  <c r="C153" i="13"/>
  <c r="B96" i="21" s="1"/>
  <c r="F149" i="13"/>
  <c r="E149" i="13"/>
  <c r="B97" i="23" s="1"/>
  <c r="D149" i="13"/>
  <c r="C149" i="13"/>
  <c r="B95" i="21" s="1"/>
  <c r="F148" i="13"/>
  <c r="E148" i="13"/>
  <c r="D148" i="13"/>
  <c r="C148" i="13"/>
  <c r="B94" i="21" s="1"/>
  <c r="F147" i="13"/>
  <c r="E147" i="13"/>
  <c r="B95" i="23" s="1"/>
  <c r="D147" i="13"/>
  <c r="C147" i="13"/>
  <c r="B93" i="21" s="1"/>
  <c r="F146" i="13"/>
  <c r="B91" i="24" s="1"/>
  <c r="E146" i="13"/>
  <c r="D146" i="13"/>
  <c r="C146" i="13"/>
  <c r="B92" i="21" s="1"/>
  <c r="F145" i="13"/>
  <c r="B90" i="24" s="1"/>
  <c r="E145" i="13"/>
  <c r="B93" i="23" s="1"/>
  <c r="D145" i="13"/>
  <c r="C145" i="13"/>
  <c r="B91" i="21" s="1"/>
  <c r="F144" i="13"/>
  <c r="E144" i="13"/>
  <c r="B92" i="23" s="1"/>
  <c r="D144" i="13"/>
  <c r="C144" i="13"/>
  <c r="B90" i="21" s="1"/>
  <c r="F140" i="13"/>
  <c r="F138" i="13" s="1"/>
  <c r="E140" i="13"/>
  <c r="B91" i="23" s="1"/>
  <c r="D140" i="13"/>
  <c r="D138" i="13" s="1"/>
  <c r="C140" i="13"/>
  <c r="B89" i="21" s="1"/>
  <c r="F136" i="13"/>
  <c r="E136" i="13"/>
  <c r="B90" i="23" s="1"/>
  <c r="D136" i="13"/>
  <c r="C136" i="13"/>
  <c r="B88" i="21" s="1"/>
  <c r="F135" i="13"/>
  <c r="B86" i="24" s="1"/>
  <c r="E135" i="13"/>
  <c r="B89" i="23" s="1"/>
  <c r="D135" i="13"/>
  <c r="C135" i="13"/>
  <c r="B87" i="21" s="1"/>
  <c r="F134" i="13"/>
  <c r="B85" i="24" s="1"/>
  <c r="E134" i="13"/>
  <c r="B88" i="23" s="1"/>
  <c r="D134" i="13"/>
  <c r="C134" i="13"/>
  <c r="B86" i="21" s="1"/>
  <c r="F133" i="13"/>
  <c r="B84" i="24" s="1"/>
  <c r="E133" i="13"/>
  <c r="B87" i="23" s="1"/>
  <c r="D133" i="13"/>
  <c r="C133" i="13"/>
  <c r="B85" i="21" s="1"/>
  <c r="F127" i="13"/>
  <c r="E127" i="13"/>
  <c r="B80" i="23" s="1"/>
  <c r="D127" i="13"/>
  <c r="C127" i="13"/>
  <c r="B79" i="21" s="1"/>
  <c r="F126" i="13"/>
  <c r="E126" i="13"/>
  <c r="B79" i="23" s="1"/>
  <c r="D126" i="13"/>
  <c r="C126" i="13"/>
  <c r="B78" i="21" s="1"/>
  <c r="F125" i="13"/>
  <c r="E125" i="13"/>
  <c r="B78" i="23" s="1"/>
  <c r="D125" i="13"/>
  <c r="C125" i="13"/>
  <c r="B77" i="21" s="1"/>
  <c r="F121" i="13"/>
  <c r="F119" i="13" s="1"/>
  <c r="E121" i="13"/>
  <c r="B77" i="23" s="1"/>
  <c r="D121" i="13"/>
  <c r="D119" i="13" s="1"/>
  <c r="C121" i="13"/>
  <c r="C119" i="13" s="1"/>
  <c r="F117" i="13"/>
  <c r="E117" i="13"/>
  <c r="D117" i="13"/>
  <c r="C117" i="13"/>
  <c r="B75" i="21" s="1"/>
  <c r="F116" i="13"/>
  <c r="E116" i="13"/>
  <c r="B75" i="23" s="1"/>
  <c r="D116" i="13"/>
  <c r="C116" i="13"/>
  <c r="B74" i="21" s="1"/>
  <c r="F115" i="13"/>
  <c r="E115" i="13"/>
  <c r="B74" i="23" s="1"/>
  <c r="D115" i="13"/>
  <c r="C115" i="13"/>
  <c r="F114" i="13"/>
  <c r="E114" i="13"/>
  <c r="B73" i="23" s="1"/>
  <c r="D114" i="13"/>
  <c r="C114" i="13"/>
  <c r="B72" i="21" s="1"/>
  <c r="F113" i="13"/>
  <c r="E113" i="13"/>
  <c r="B72" i="23" s="1"/>
  <c r="D113" i="13"/>
  <c r="C113" i="13"/>
  <c r="B71" i="21" s="1"/>
  <c r="F112" i="13"/>
  <c r="E112" i="13"/>
  <c r="B71" i="23" s="1"/>
  <c r="D112" i="13"/>
  <c r="C112" i="13"/>
  <c r="B70" i="21" s="1"/>
  <c r="F111" i="13"/>
  <c r="E111" i="13"/>
  <c r="B70" i="23" s="1"/>
  <c r="D111" i="13"/>
  <c r="C111" i="13"/>
  <c r="B69" i="21" s="1"/>
  <c r="F110" i="13"/>
  <c r="E110" i="13"/>
  <c r="D110" i="13"/>
  <c r="C110" i="13"/>
  <c r="B68" i="21" s="1"/>
  <c r="F106" i="13"/>
  <c r="E106" i="13"/>
  <c r="B68" i="23" s="1"/>
  <c r="D106" i="13"/>
  <c r="C106" i="13"/>
  <c r="B67" i="21" s="1"/>
  <c r="F105" i="13"/>
  <c r="E105" i="13"/>
  <c r="B67" i="23" s="1"/>
  <c r="D105" i="13"/>
  <c r="C105" i="13"/>
  <c r="B66" i="21" s="1"/>
  <c r="F104" i="13"/>
  <c r="B65" i="24" s="1"/>
  <c r="E104" i="13"/>
  <c r="B66" i="23" s="1"/>
  <c r="D104" i="13"/>
  <c r="B65" i="22" s="1"/>
  <c r="C104" i="13"/>
  <c r="B65" i="21" s="1"/>
  <c r="F100" i="13"/>
  <c r="B64" i="24" s="1"/>
  <c r="E100" i="13"/>
  <c r="B65" i="23" s="1"/>
  <c r="D100" i="13"/>
  <c r="B64" i="22" s="1"/>
  <c r="C100" i="13"/>
  <c r="B64" i="21" s="1"/>
  <c r="F96" i="13"/>
  <c r="B63" i="24" s="1"/>
  <c r="E96" i="13"/>
  <c r="B64" i="23" s="1"/>
  <c r="D96" i="13"/>
  <c r="B63" i="22" s="1"/>
  <c r="C96" i="13"/>
  <c r="B63" i="21" s="1"/>
  <c r="F95" i="13"/>
  <c r="B62" i="24" s="1"/>
  <c r="E95" i="13"/>
  <c r="B63" i="23" s="1"/>
  <c r="D95" i="13"/>
  <c r="B62" i="22" s="1"/>
  <c r="C95" i="13"/>
  <c r="B62" i="21" s="1"/>
  <c r="F94" i="13"/>
  <c r="E94" i="13"/>
  <c r="B62" i="23" s="1"/>
  <c r="D94" i="13"/>
  <c r="B61" i="22" s="1"/>
  <c r="C94" i="13"/>
  <c r="B61" i="21" s="1"/>
  <c r="F93" i="13"/>
  <c r="B60" i="24" s="1"/>
  <c r="E93" i="13"/>
  <c r="B61" i="23" s="1"/>
  <c r="D93" i="13"/>
  <c r="B60" i="22" s="1"/>
  <c r="C93" i="13"/>
  <c r="B60" i="21" s="1"/>
  <c r="F89" i="13"/>
  <c r="B59" i="24" s="1"/>
  <c r="E89" i="13"/>
  <c r="B59" i="23" s="1"/>
  <c r="D89" i="13"/>
  <c r="B59" i="22" s="1"/>
  <c r="C89" i="13"/>
  <c r="B59" i="21" s="1"/>
  <c r="F88" i="13"/>
  <c r="B58" i="24" s="1"/>
  <c r="E88" i="13"/>
  <c r="B58" i="23" s="1"/>
  <c r="D88" i="13"/>
  <c r="B58" i="22" s="1"/>
  <c r="C88" i="13"/>
  <c r="F87" i="13"/>
  <c r="B57" i="24" s="1"/>
  <c r="E87" i="13"/>
  <c r="B57" i="23" s="1"/>
  <c r="D87" i="13"/>
  <c r="B57" i="22" s="1"/>
  <c r="C87" i="13"/>
  <c r="B57" i="21" s="1"/>
  <c r="F86" i="13"/>
  <c r="B56" i="24" s="1"/>
  <c r="E86" i="13"/>
  <c r="B56" i="23" s="1"/>
  <c r="D86" i="13"/>
  <c r="B56" i="22" s="1"/>
  <c r="C86" i="13"/>
  <c r="B56" i="21" s="1"/>
  <c r="F85" i="13"/>
  <c r="B55" i="24" s="1"/>
  <c r="E85" i="13"/>
  <c r="B55" i="23" s="1"/>
  <c r="D85" i="13"/>
  <c r="B55" i="22" s="1"/>
  <c r="C85" i="13"/>
  <c r="B55" i="21" s="1"/>
  <c r="F84" i="13"/>
  <c r="B53" i="24" s="1"/>
  <c r="E84" i="13"/>
  <c r="B53" i="23" s="1"/>
  <c r="D84" i="13"/>
  <c r="C84" i="13"/>
  <c r="B53" i="21" s="1"/>
  <c r="F83" i="13"/>
  <c r="B52" i="24" s="1"/>
  <c r="E83" i="13"/>
  <c r="B52" i="23" s="1"/>
  <c r="D83" i="13"/>
  <c r="B52" i="22" s="1"/>
  <c r="C83" i="13"/>
  <c r="B52" i="21" s="1"/>
  <c r="F79" i="13"/>
  <c r="B51" i="24" s="1"/>
  <c r="E79" i="13"/>
  <c r="B51" i="23" s="1"/>
  <c r="D79" i="13"/>
  <c r="B51" i="22" s="1"/>
  <c r="C79" i="13"/>
  <c r="B51" i="21" s="1"/>
  <c r="F78" i="13"/>
  <c r="B50" i="24" s="1"/>
  <c r="E78" i="13"/>
  <c r="B50" i="23" s="1"/>
  <c r="D78" i="13"/>
  <c r="B50" i="22" s="1"/>
  <c r="C78" i="13"/>
  <c r="F77" i="13"/>
  <c r="B49" i="24" s="1"/>
  <c r="E77" i="13"/>
  <c r="B49" i="23" s="1"/>
  <c r="D77" i="13"/>
  <c r="B49" i="22" s="1"/>
  <c r="C77" i="13"/>
  <c r="B49" i="21" s="1"/>
  <c r="F76" i="13"/>
  <c r="B48" i="24" s="1"/>
  <c r="E76" i="13"/>
  <c r="B48" i="23" s="1"/>
  <c r="D76" i="13"/>
  <c r="B48" i="22" s="1"/>
  <c r="C76" i="13"/>
  <c r="F75" i="13"/>
  <c r="B47" i="24" s="1"/>
  <c r="E75" i="13"/>
  <c r="B47" i="23" s="1"/>
  <c r="D75" i="13"/>
  <c r="B47" i="22" s="1"/>
  <c r="C75" i="13"/>
  <c r="B47" i="21" s="1"/>
  <c r="F74" i="13"/>
  <c r="B46" i="24" s="1"/>
  <c r="E74" i="13"/>
  <c r="B46" i="23" s="1"/>
  <c r="D74" i="13"/>
  <c r="B46" i="22" s="1"/>
  <c r="C74" i="13"/>
  <c r="B46" i="21" s="1"/>
  <c r="F70" i="13"/>
  <c r="B45" i="24" s="1"/>
  <c r="E70" i="13"/>
  <c r="B45" i="23" s="1"/>
  <c r="D70" i="13"/>
  <c r="B45" i="22" s="1"/>
  <c r="C70" i="13"/>
  <c r="B45" i="21" s="1"/>
  <c r="F69" i="13"/>
  <c r="B44" i="24" s="1"/>
  <c r="E69" i="13"/>
  <c r="B44" i="23" s="1"/>
  <c r="D69" i="13"/>
  <c r="B44" i="22" s="1"/>
  <c r="C69" i="13"/>
  <c r="F68" i="13"/>
  <c r="B43" i="24" s="1"/>
  <c r="E68" i="13"/>
  <c r="D68" i="13"/>
  <c r="B43" i="22" s="1"/>
  <c r="C68" i="13"/>
  <c r="B43" i="21" s="1"/>
  <c r="F67" i="13"/>
  <c r="B42" i="24" s="1"/>
  <c r="E67" i="13"/>
  <c r="B42" i="23" s="1"/>
  <c r="D67" i="13"/>
  <c r="B42" i="22" s="1"/>
  <c r="C67" i="13"/>
  <c r="B42" i="21" s="1"/>
  <c r="F66" i="13"/>
  <c r="E66" i="13"/>
  <c r="B41" i="23" s="1"/>
  <c r="D66" i="13"/>
  <c r="B41" i="22" s="1"/>
  <c r="C66" i="13"/>
  <c r="B41" i="21" s="1"/>
  <c r="F62" i="13"/>
  <c r="B40" i="24" s="1"/>
  <c r="E62" i="13"/>
  <c r="B40" i="23" s="1"/>
  <c r="D62" i="13"/>
  <c r="B40" i="22" s="1"/>
  <c r="C62" i="13"/>
  <c r="B40" i="21" s="1"/>
  <c r="F61" i="13"/>
  <c r="B39" i="24" s="1"/>
  <c r="E61" i="13"/>
  <c r="D61" i="13"/>
  <c r="B39" i="22" s="1"/>
  <c r="C61" i="13"/>
  <c r="B39" i="21" s="1"/>
  <c r="F60" i="13"/>
  <c r="B38" i="24" s="1"/>
  <c r="E60" i="13"/>
  <c r="B38" i="23" s="1"/>
  <c r="D60" i="13"/>
  <c r="B38" i="22" s="1"/>
  <c r="C60" i="13"/>
  <c r="B38" i="21" s="1"/>
  <c r="F59" i="13"/>
  <c r="B37" i="24" s="1"/>
  <c r="E59" i="13"/>
  <c r="B37" i="23" s="1"/>
  <c r="D59" i="13"/>
  <c r="B37" i="22" s="1"/>
  <c r="C59" i="13"/>
  <c r="B37" i="21" s="1"/>
  <c r="F53" i="13"/>
  <c r="E53" i="13"/>
  <c r="D53" i="13"/>
  <c r="C53" i="13"/>
  <c r="F49" i="13"/>
  <c r="B31" i="24" s="1"/>
  <c r="E49" i="13"/>
  <c r="D49" i="13"/>
  <c r="B31" i="22" s="1"/>
  <c r="C49" i="13"/>
  <c r="B31" i="21" s="1"/>
  <c r="F48" i="13"/>
  <c r="B30" i="24" s="1"/>
  <c r="E48" i="13"/>
  <c r="B30" i="23" s="1"/>
  <c r="D48" i="13"/>
  <c r="B30" i="22" s="1"/>
  <c r="C48" i="13"/>
  <c r="B30" i="21" s="1"/>
  <c r="F47" i="13"/>
  <c r="B29" i="24" s="1"/>
  <c r="E47" i="13"/>
  <c r="B29" i="23" s="1"/>
  <c r="D47" i="13"/>
  <c r="B29" i="22" s="1"/>
  <c r="C47" i="13"/>
  <c r="B29" i="21" s="1"/>
  <c r="F43" i="13"/>
  <c r="B28" i="24" s="1"/>
  <c r="E43" i="13"/>
  <c r="B28" i="23" s="1"/>
  <c r="D43" i="13"/>
  <c r="B28" i="22" s="1"/>
  <c r="C43" i="13"/>
  <c r="B28" i="21" s="1"/>
  <c r="F42" i="13"/>
  <c r="B27" i="24" s="1"/>
  <c r="E42" i="13"/>
  <c r="B27" i="23" s="1"/>
  <c r="D42" i="13"/>
  <c r="B27" i="22" s="1"/>
  <c r="C42" i="13"/>
  <c r="B27" i="21" s="1"/>
  <c r="F41" i="13"/>
  <c r="B26" i="24" s="1"/>
  <c r="E41" i="13"/>
  <c r="B26" i="23" s="1"/>
  <c r="D41" i="13"/>
  <c r="B26" i="22" s="1"/>
  <c r="C41" i="13"/>
  <c r="B26" i="21" s="1"/>
  <c r="F40" i="13"/>
  <c r="B25" i="24" s="1"/>
  <c r="E40" i="13"/>
  <c r="B25" i="23" s="1"/>
  <c r="D40" i="13"/>
  <c r="B25" i="22" s="1"/>
  <c r="C40" i="13"/>
  <c r="B25" i="21" s="1"/>
  <c r="F39" i="13"/>
  <c r="B24" i="24" s="1"/>
  <c r="E39" i="13"/>
  <c r="B24" i="23" s="1"/>
  <c r="D39" i="13"/>
  <c r="B24" i="22" s="1"/>
  <c r="C39" i="13"/>
  <c r="B24" i="21" s="1"/>
  <c r="F34" i="13"/>
  <c r="B23" i="24" s="1"/>
  <c r="E34" i="13"/>
  <c r="B23" i="23" s="1"/>
  <c r="D34" i="13"/>
  <c r="B23" i="22" s="1"/>
  <c r="C34" i="13"/>
  <c r="B23" i="21" s="1"/>
  <c r="F33" i="13"/>
  <c r="B22" i="24" s="1"/>
  <c r="E33" i="13"/>
  <c r="B22" i="23" s="1"/>
  <c r="D33" i="13"/>
  <c r="C33" i="13"/>
  <c r="B22" i="21" s="1"/>
  <c r="F32" i="13"/>
  <c r="B21" i="24" s="1"/>
  <c r="E32" i="13"/>
  <c r="B21" i="23" s="1"/>
  <c r="D32" i="13"/>
  <c r="B21" i="22" s="1"/>
  <c r="C32" i="13"/>
  <c r="B21" i="21" s="1"/>
  <c r="F31" i="13"/>
  <c r="B20" i="24" s="1"/>
  <c r="E31" i="13"/>
  <c r="B20" i="23" s="1"/>
  <c r="D31" i="13"/>
  <c r="B20" i="22" s="1"/>
  <c r="C31" i="13"/>
  <c r="B20" i="21" s="1"/>
  <c r="F30" i="13"/>
  <c r="B19" i="24" s="1"/>
  <c r="E30" i="13"/>
  <c r="B19" i="23" s="1"/>
  <c r="D30" i="13"/>
  <c r="B19" i="22" s="1"/>
  <c r="C30" i="13"/>
  <c r="B19" i="21" s="1"/>
  <c r="F26" i="13"/>
  <c r="B18" i="24" s="1"/>
  <c r="E26" i="13"/>
  <c r="B18" i="23" s="1"/>
  <c r="D26" i="13"/>
  <c r="B18" i="22" s="1"/>
  <c r="C26" i="13"/>
  <c r="B18" i="21" s="1"/>
  <c r="F25" i="13"/>
  <c r="B17" i="24" s="1"/>
  <c r="E25" i="13"/>
  <c r="B17" i="23" s="1"/>
  <c r="D25" i="13"/>
  <c r="B17" i="22" s="1"/>
  <c r="C25" i="13"/>
  <c r="B17" i="21" s="1"/>
  <c r="F24" i="13"/>
  <c r="B16" i="24" s="1"/>
  <c r="E24" i="13"/>
  <c r="D24" i="13"/>
  <c r="B16" i="22" s="1"/>
  <c r="C24" i="13"/>
  <c r="B16" i="21" s="1"/>
  <c r="F20" i="13"/>
  <c r="B15" i="24" s="1"/>
  <c r="E20" i="13"/>
  <c r="B15" i="23" s="1"/>
  <c r="D20" i="13"/>
  <c r="B15" i="22" s="1"/>
  <c r="C20" i="13"/>
  <c r="B15" i="21" s="1"/>
  <c r="F19" i="13"/>
  <c r="B14" i="24" s="1"/>
  <c r="E19" i="13"/>
  <c r="B14" i="23" s="1"/>
  <c r="D19" i="13"/>
  <c r="B14" i="22" s="1"/>
  <c r="C19" i="13"/>
  <c r="B14" i="21" s="1"/>
  <c r="F18" i="13"/>
  <c r="D18" i="13"/>
  <c r="B13" i="22" s="1"/>
  <c r="C18" i="13"/>
  <c r="B13" i="21" s="1"/>
  <c r="N17" i="15"/>
  <c r="E37" i="15"/>
  <c r="G37" i="15" s="1"/>
  <c r="Q37" i="15" s="1"/>
  <c r="M17" i="15"/>
  <c r="L17" i="15"/>
  <c r="K17" i="15"/>
  <c r="J17" i="15"/>
  <c r="F22" i="15"/>
  <c r="D22" i="15"/>
  <c r="C22" i="15"/>
  <c r="F18" i="15"/>
  <c r="E18" i="15"/>
  <c r="D18" i="15"/>
  <c r="C18" i="15"/>
  <c r="F20" i="15"/>
  <c r="E20" i="15"/>
  <c r="D20" i="15"/>
  <c r="C20" i="15"/>
  <c r="F19" i="15"/>
  <c r="E19" i="15"/>
  <c r="D19" i="15"/>
  <c r="C19" i="15"/>
  <c r="D17" i="1"/>
  <c r="P23" i="30"/>
  <c r="M10" i="30"/>
  <c r="R8" i="30"/>
  <c r="S8" i="30" s="1"/>
  <c r="R6" i="30"/>
  <c r="S6" i="30" s="1"/>
  <c r="R7" i="30"/>
  <c r="S7" i="30" s="1"/>
  <c r="R5" i="30"/>
  <c r="S5" i="30" s="1"/>
  <c r="C21" i="2"/>
  <c r="C19" i="2"/>
  <c r="C18" i="2"/>
  <c r="C17" i="2"/>
  <c r="B16" i="17" s="1"/>
  <c r="F251" i="15"/>
  <c r="E251" i="15"/>
  <c r="E250" i="15"/>
  <c r="E248" i="15" s="1"/>
  <c r="D251" i="15"/>
  <c r="C251" i="15"/>
  <c r="F93" i="15"/>
  <c r="E93" i="15"/>
  <c r="D93" i="15"/>
  <c r="C93" i="15"/>
  <c r="I197" i="5"/>
  <c r="I196" i="5"/>
  <c r="I195" i="5"/>
  <c r="E72" i="3"/>
  <c r="E54" i="3"/>
  <c r="E32" i="3"/>
  <c r="E13" i="3"/>
  <c r="C231" i="3"/>
  <c r="L231" i="3" s="1"/>
  <c r="E228" i="3"/>
  <c r="H233" i="3"/>
  <c r="H171" i="3"/>
  <c r="H169" i="3" s="1"/>
  <c r="H139" i="3"/>
  <c r="L242" i="3"/>
  <c r="L237" i="3"/>
  <c r="E213" i="3"/>
  <c r="C241" i="3"/>
  <c r="L241" i="3" s="1"/>
  <c r="C240" i="3"/>
  <c r="L240" i="3" s="1"/>
  <c r="C191" i="3"/>
  <c r="C190" i="3"/>
  <c r="L190" i="3" s="1"/>
  <c r="C141" i="3"/>
  <c r="C139" i="3" s="1"/>
  <c r="E113" i="3"/>
  <c r="E95" i="3"/>
  <c r="E89" i="3"/>
  <c r="E197" i="5"/>
  <c r="E196" i="5"/>
  <c r="E195" i="5"/>
  <c r="E16" i="4"/>
  <c r="E17" i="5" s="1"/>
  <c r="E32" i="4"/>
  <c r="E33" i="5" s="1"/>
  <c r="E31" i="4"/>
  <c r="E32" i="5" s="1"/>
  <c r="E30" i="4"/>
  <c r="E31" i="5" s="1"/>
  <c r="E29" i="4"/>
  <c r="E28" i="4"/>
  <c r="E29" i="5" s="1"/>
  <c r="E27" i="4"/>
  <c r="E28" i="5" s="1"/>
  <c r="E26" i="4"/>
  <c r="E27" i="5" s="1"/>
  <c r="E25" i="4"/>
  <c r="E26" i="5" s="1"/>
  <c r="E24" i="4"/>
  <c r="E25" i="5" s="1"/>
  <c r="E23" i="4"/>
  <c r="E24" i="5" s="1"/>
  <c r="E22" i="4"/>
  <c r="E23" i="5" s="1"/>
  <c r="E21" i="4"/>
  <c r="E22" i="5" s="1"/>
  <c r="E20" i="4"/>
  <c r="E21" i="5" s="1"/>
  <c r="E19" i="4"/>
  <c r="E20" i="5" s="1"/>
  <c r="E18" i="4"/>
  <c r="E19" i="5" s="1"/>
  <c r="E17" i="4"/>
  <c r="E18" i="5" s="1"/>
  <c r="G193" i="5"/>
  <c r="K193" i="5"/>
  <c r="H228" i="3"/>
  <c r="I44" i="4"/>
  <c r="I44" i="5" s="1"/>
  <c r="I43" i="4"/>
  <c r="I43" i="5" s="1"/>
  <c r="I42" i="4"/>
  <c r="I42" i="5" s="1"/>
  <c r="I41" i="4"/>
  <c r="I41" i="5" s="1"/>
  <c r="I40" i="4"/>
  <c r="I40" i="5" s="1"/>
  <c r="I39" i="4"/>
  <c r="I39" i="5" s="1"/>
  <c r="I38" i="4"/>
  <c r="I38" i="5" s="1"/>
  <c r="I37" i="4"/>
  <c r="I37" i="5" s="1"/>
  <c r="I36" i="4"/>
  <c r="I36" i="5" s="1"/>
  <c r="I35" i="4"/>
  <c r="I35" i="5" s="1"/>
  <c r="K245" i="4"/>
  <c r="K248" i="5" s="1"/>
  <c r="I245" i="4"/>
  <c r="I248" i="5" s="1"/>
  <c r="G245" i="4"/>
  <c r="E245" i="4"/>
  <c r="E248" i="5" s="1"/>
  <c r="K244" i="4"/>
  <c r="K247" i="5" s="1"/>
  <c r="I244" i="4"/>
  <c r="I247" i="5" s="1"/>
  <c r="G244" i="4"/>
  <c r="G247" i="5" s="1"/>
  <c r="E244" i="4"/>
  <c r="E247" i="5" s="1"/>
  <c r="K238" i="4"/>
  <c r="K241" i="5" s="1"/>
  <c r="I238" i="4"/>
  <c r="I241" i="5" s="1"/>
  <c r="G238" i="4"/>
  <c r="E238" i="4"/>
  <c r="E241" i="5" s="1"/>
  <c r="K237" i="4"/>
  <c r="K240" i="5" s="1"/>
  <c r="I237" i="4"/>
  <c r="I240" i="5" s="1"/>
  <c r="G237" i="4"/>
  <c r="G240" i="5" s="1"/>
  <c r="E237" i="4"/>
  <c r="E240" i="5" s="1"/>
  <c r="K233" i="4"/>
  <c r="K236" i="5" s="1"/>
  <c r="K234" i="5" s="1"/>
  <c r="I233" i="4"/>
  <c r="I236" i="5" s="1"/>
  <c r="I234" i="5" s="1"/>
  <c r="G233" i="4"/>
  <c r="G231" i="4" s="1"/>
  <c r="E233" i="4"/>
  <c r="K229" i="4"/>
  <c r="K232" i="5" s="1"/>
  <c r="I229" i="4"/>
  <c r="I232" i="5" s="1"/>
  <c r="G229" i="4"/>
  <c r="G232" i="5" s="1"/>
  <c r="E229" i="4"/>
  <c r="E232" i="5" s="1"/>
  <c r="K228" i="4"/>
  <c r="K231" i="5" s="1"/>
  <c r="I228" i="4"/>
  <c r="I231" i="5" s="1"/>
  <c r="G228" i="4"/>
  <c r="G231" i="5" s="1"/>
  <c r="E228" i="4"/>
  <c r="E231" i="5" s="1"/>
  <c r="K227" i="4"/>
  <c r="K230" i="5" s="1"/>
  <c r="I227" i="4"/>
  <c r="G227" i="4"/>
  <c r="G230" i="5" s="1"/>
  <c r="E227" i="4"/>
  <c r="E230" i="5" s="1"/>
  <c r="K226" i="4"/>
  <c r="K229" i="5" s="1"/>
  <c r="I226" i="4"/>
  <c r="I229" i="5" s="1"/>
  <c r="G226" i="4"/>
  <c r="G229" i="5" s="1"/>
  <c r="E226" i="4"/>
  <c r="K225" i="4"/>
  <c r="K223" i="4" s="1"/>
  <c r="I225" i="4"/>
  <c r="I228" i="5" s="1"/>
  <c r="G225" i="4"/>
  <c r="G228" i="5" s="1"/>
  <c r="E225" i="4"/>
  <c r="E228" i="5" s="1"/>
  <c r="K221" i="4"/>
  <c r="K224" i="5" s="1"/>
  <c r="I221" i="4"/>
  <c r="I224" i="5" s="1"/>
  <c r="G221" i="4"/>
  <c r="E221" i="4"/>
  <c r="E224" i="5" s="1"/>
  <c r="K220" i="4"/>
  <c r="K223" i="5" s="1"/>
  <c r="I220" i="4"/>
  <c r="I223" i="5" s="1"/>
  <c r="G220" i="4"/>
  <c r="G223" i="5" s="1"/>
  <c r="E220" i="4"/>
  <c r="E223" i="5" s="1"/>
  <c r="K219" i="4"/>
  <c r="K222" i="5" s="1"/>
  <c r="I219" i="4"/>
  <c r="I222" i="5" s="1"/>
  <c r="G219" i="4"/>
  <c r="G222" i="5" s="1"/>
  <c r="E219" i="4"/>
  <c r="E222" i="5" s="1"/>
  <c r="K218" i="4"/>
  <c r="K221" i="5" s="1"/>
  <c r="I218" i="4"/>
  <c r="I221" i="5" s="1"/>
  <c r="G218" i="4"/>
  <c r="E218" i="4"/>
  <c r="E221" i="5" s="1"/>
  <c r="K214" i="4"/>
  <c r="K213" i="4"/>
  <c r="K212" i="4"/>
  <c r="K215" i="5" s="1"/>
  <c r="K211" i="4"/>
  <c r="K214" i="5" s="1"/>
  <c r="K210" i="4"/>
  <c r="K213" i="5" s="1"/>
  <c r="K209" i="4"/>
  <c r="K212" i="5" s="1"/>
  <c r="K208" i="4"/>
  <c r="K211" i="5" s="1"/>
  <c r="K207" i="4"/>
  <c r="K206" i="4"/>
  <c r="K209" i="5" s="1"/>
  <c r="I214" i="4"/>
  <c r="I217" i="5" s="1"/>
  <c r="I213" i="4"/>
  <c r="I216" i="5" s="1"/>
  <c r="I212" i="4"/>
  <c r="I215" i="5" s="1"/>
  <c r="I211" i="4"/>
  <c r="I214" i="5" s="1"/>
  <c r="I210" i="4"/>
  <c r="I213" i="5" s="1"/>
  <c r="I209" i="4"/>
  <c r="I212" i="5" s="1"/>
  <c r="I208" i="4"/>
  <c r="I211" i="5" s="1"/>
  <c r="I207" i="4"/>
  <c r="I210" i="5" s="1"/>
  <c r="I206" i="4"/>
  <c r="I209" i="5" s="1"/>
  <c r="G214" i="4"/>
  <c r="G217" i="5" s="1"/>
  <c r="G213" i="4"/>
  <c r="G216" i="5" s="1"/>
  <c r="G212" i="4"/>
  <c r="G215" i="5" s="1"/>
  <c r="G211" i="4"/>
  <c r="G210" i="4"/>
  <c r="G213" i="5" s="1"/>
  <c r="G209" i="4"/>
  <c r="G208" i="4"/>
  <c r="G211" i="5" s="1"/>
  <c r="G207" i="4"/>
  <c r="G210" i="5" s="1"/>
  <c r="G206" i="4"/>
  <c r="G209" i="5" s="1"/>
  <c r="E214" i="4"/>
  <c r="E217" i="5" s="1"/>
  <c r="E213" i="4"/>
  <c r="E216" i="5" s="1"/>
  <c r="E212" i="4"/>
  <c r="E215" i="5" s="1"/>
  <c r="E211" i="4"/>
  <c r="E210" i="4"/>
  <c r="E213" i="5" s="1"/>
  <c r="E209" i="4"/>
  <c r="E212" i="5" s="1"/>
  <c r="E208" i="4"/>
  <c r="E207" i="4"/>
  <c r="E210" i="5" s="1"/>
  <c r="E206" i="4"/>
  <c r="E209" i="5" s="1"/>
  <c r="K200" i="4"/>
  <c r="K203" i="5" s="1"/>
  <c r="K199" i="4"/>
  <c r="K202" i="5" s="1"/>
  <c r="K198" i="4"/>
  <c r="K201" i="5" s="1"/>
  <c r="I200" i="4"/>
  <c r="I203" i="5" s="1"/>
  <c r="I199" i="4"/>
  <c r="I202" i="5" s="1"/>
  <c r="I198" i="4"/>
  <c r="I201" i="5" s="1"/>
  <c r="G200" i="4"/>
  <c r="G203" i="5" s="1"/>
  <c r="G199" i="4"/>
  <c r="G202" i="5" s="1"/>
  <c r="G198" i="4"/>
  <c r="E200" i="4"/>
  <c r="E203" i="5" s="1"/>
  <c r="E199" i="4"/>
  <c r="E198" i="4"/>
  <c r="E201" i="5" s="1"/>
  <c r="E194" i="4"/>
  <c r="E191" i="5" s="1"/>
  <c r="E193" i="4"/>
  <c r="E190" i="5" s="1"/>
  <c r="E192" i="4"/>
  <c r="E189" i="5" s="1"/>
  <c r="E191" i="4"/>
  <c r="E188" i="5" s="1"/>
  <c r="E190" i="4"/>
  <c r="E187" i="5" s="1"/>
  <c r="E189" i="4"/>
  <c r="E186" i="5" s="1"/>
  <c r="E188" i="4"/>
  <c r="E185" i="5" s="1"/>
  <c r="E187" i="4"/>
  <c r="E184" i="5" s="1"/>
  <c r="K194" i="4"/>
  <c r="K191" i="5" s="1"/>
  <c r="K193" i="4"/>
  <c r="K190" i="5" s="1"/>
  <c r="K192" i="4"/>
  <c r="K189" i="5" s="1"/>
  <c r="K191" i="4"/>
  <c r="K188" i="5" s="1"/>
  <c r="K190" i="4"/>
  <c r="K187" i="5" s="1"/>
  <c r="K189" i="4"/>
  <c r="K186" i="5" s="1"/>
  <c r="K188" i="4"/>
  <c r="K185" i="5" s="1"/>
  <c r="K187" i="4"/>
  <c r="K184" i="5" s="1"/>
  <c r="I194" i="4"/>
  <c r="I191" i="5" s="1"/>
  <c r="I193" i="4"/>
  <c r="I190" i="5" s="1"/>
  <c r="I192" i="4"/>
  <c r="I189" i="5" s="1"/>
  <c r="I191" i="4"/>
  <c r="I188" i="5" s="1"/>
  <c r="I190" i="4"/>
  <c r="I187" i="5" s="1"/>
  <c r="I189" i="4"/>
  <c r="I186" i="5" s="1"/>
  <c r="I188" i="4"/>
  <c r="I185" i="5" s="1"/>
  <c r="I187" i="4"/>
  <c r="I184" i="5" s="1"/>
  <c r="G194" i="4"/>
  <c r="G191" i="5" s="1"/>
  <c r="G193" i="4"/>
  <c r="G192" i="4"/>
  <c r="G189" i="5" s="1"/>
  <c r="G191" i="4"/>
  <c r="G188" i="5" s="1"/>
  <c r="G190" i="4"/>
  <c r="G187" i="5" s="1"/>
  <c r="G189" i="4"/>
  <c r="G186" i="5" s="1"/>
  <c r="G188" i="4"/>
  <c r="G185" i="5" s="1"/>
  <c r="G187" i="4"/>
  <c r="G184" i="5" s="1"/>
  <c r="K181" i="4"/>
  <c r="K179" i="4" s="1"/>
  <c r="I181" i="4"/>
  <c r="I177" i="4" s="1"/>
  <c r="G181" i="4"/>
  <c r="G178" i="5" s="1"/>
  <c r="G176" i="5" s="1"/>
  <c r="G174" i="5" s="1"/>
  <c r="K175" i="4"/>
  <c r="K172" i="5" s="1"/>
  <c r="K174" i="4"/>
  <c r="K171" i="5" s="1"/>
  <c r="K173" i="4"/>
  <c r="K170" i="5" s="1"/>
  <c r="K172" i="4"/>
  <c r="K169" i="5" s="1"/>
  <c r="K171" i="4"/>
  <c r="K170" i="4"/>
  <c r="K167" i="5" s="1"/>
  <c r="K169" i="4"/>
  <c r="K166" i="5" s="1"/>
  <c r="K168" i="4"/>
  <c r="K165" i="5" s="1"/>
  <c r="I175" i="4"/>
  <c r="I172" i="5" s="1"/>
  <c r="I174" i="4"/>
  <c r="I171" i="5" s="1"/>
  <c r="I173" i="4"/>
  <c r="I170" i="5" s="1"/>
  <c r="I172" i="4"/>
  <c r="I171" i="4"/>
  <c r="I168" i="5" s="1"/>
  <c r="I170" i="4"/>
  <c r="I167" i="5" s="1"/>
  <c r="I169" i="4"/>
  <c r="I166" i="5" s="1"/>
  <c r="I168" i="4"/>
  <c r="I165" i="5" s="1"/>
  <c r="G175" i="4"/>
  <c r="G172" i="5" s="1"/>
  <c r="G174" i="4"/>
  <c r="G171" i="5" s="1"/>
  <c r="G173" i="4"/>
  <c r="G170" i="5" s="1"/>
  <c r="G172" i="4"/>
  <c r="G169" i="5" s="1"/>
  <c r="G171" i="4"/>
  <c r="G168" i="5" s="1"/>
  <c r="G170" i="4"/>
  <c r="G167" i="5" s="1"/>
  <c r="G169" i="4"/>
  <c r="G166" i="5" s="1"/>
  <c r="G168" i="4"/>
  <c r="G165" i="5" s="1"/>
  <c r="E175" i="4"/>
  <c r="E172" i="5" s="1"/>
  <c r="E174" i="4"/>
  <c r="E171" i="5" s="1"/>
  <c r="E173" i="4"/>
  <c r="E170" i="5" s="1"/>
  <c r="E172" i="4"/>
  <c r="E169" i="5" s="1"/>
  <c r="E171" i="4"/>
  <c r="E168" i="5" s="1"/>
  <c r="E170" i="4"/>
  <c r="E167" i="5" s="1"/>
  <c r="E169" i="4"/>
  <c r="E166" i="5" s="1"/>
  <c r="E168" i="4"/>
  <c r="E165" i="5" s="1"/>
  <c r="K164" i="4"/>
  <c r="K161" i="5" s="1"/>
  <c r="K163" i="4"/>
  <c r="I164" i="4"/>
  <c r="I163" i="4"/>
  <c r="I160" i="5" s="1"/>
  <c r="G164" i="4"/>
  <c r="G161" i="5" s="1"/>
  <c r="G163" i="4"/>
  <c r="G160" i="5" s="1"/>
  <c r="E164" i="4"/>
  <c r="E161" i="5" s="1"/>
  <c r="E163" i="4"/>
  <c r="E160" i="5" s="1"/>
  <c r="K159" i="4"/>
  <c r="K156" i="5" s="1"/>
  <c r="K158" i="4"/>
  <c r="K155" i="5" s="1"/>
  <c r="K157" i="4"/>
  <c r="K154" i="5" s="1"/>
  <c r="K156" i="4"/>
  <c r="K153" i="5" s="1"/>
  <c r="K155" i="4"/>
  <c r="K152" i="5" s="1"/>
  <c r="K154" i="4"/>
  <c r="K151" i="5" s="1"/>
  <c r="K153" i="4"/>
  <c r="K150" i="5" s="1"/>
  <c r="I159" i="4"/>
  <c r="I156" i="5" s="1"/>
  <c r="I158" i="4"/>
  <c r="I155" i="5" s="1"/>
  <c r="I157" i="4"/>
  <c r="I154" i="5" s="1"/>
  <c r="I156" i="4"/>
  <c r="I153" i="5" s="1"/>
  <c r="I155" i="4"/>
  <c r="I152" i="5" s="1"/>
  <c r="I154" i="4"/>
  <c r="I151" i="5" s="1"/>
  <c r="I153" i="4"/>
  <c r="I150" i="5" s="1"/>
  <c r="G159" i="4"/>
  <c r="G156" i="5" s="1"/>
  <c r="G158" i="4"/>
  <c r="G155" i="5" s="1"/>
  <c r="G157" i="4"/>
  <c r="G154" i="5" s="1"/>
  <c r="G156" i="4"/>
  <c r="G153" i="5" s="1"/>
  <c r="G155" i="4"/>
  <c r="G152" i="5" s="1"/>
  <c r="G154" i="4"/>
  <c r="G151" i="5" s="1"/>
  <c r="G153" i="4"/>
  <c r="E159" i="4"/>
  <c r="E156" i="5" s="1"/>
  <c r="E158" i="4"/>
  <c r="E155" i="5" s="1"/>
  <c r="E157" i="4"/>
  <c r="E154" i="5" s="1"/>
  <c r="E156" i="4"/>
  <c r="E153" i="5" s="1"/>
  <c r="E155" i="4"/>
  <c r="E152" i="5" s="1"/>
  <c r="E154" i="4"/>
  <c r="E151" i="5" s="1"/>
  <c r="E153" i="4"/>
  <c r="E150" i="5" s="1"/>
  <c r="K149" i="4"/>
  <c r="K146" i="5" s="1"/>
  <c r="K148" i="4"/>
  <c r="K145" i="5" s="1"/>
  <c r="K147" i="4"/>
  <c r="K144" i="5" s="1"/>
  <c r="K146" i="4"/>
  <c r="K143" i="5" s="1"/>
  <c r="I149" i="4"/>
  <c r="I146" i="5" s="1"/>
  <c r="I148" i="4"/>
  <c r="I145" i="5" s="1"/>
  <c r="I147" i="4"/>
  <c r="I146" i="4"/>
  <c r="I143" i="5" s="1"/>
  <c r="G149" i="4"/>
  <c r="G146" i="5" s="1"/>
  <c r="G148" i="4"/>
  <c r="G145" i="5" s="1"/>
  <c r="G147" i="4"/>
  <c r="G144" i="5" s="1"/>
  <c r="G146" i="4"/>
  <c r="G143" i="5" s="1"/>
  <c r="E149" i="4"/>
  <c r="E146" i="5" s="1"/>
  <c r="E148" i="4"/>
  <c r="E147" i="4"/>
  <c r="E144" i="5" s="1"/>
  <c r="E146" i="4"/>
  <c r="K142" i="4"/>
  <c r="K139" i="5" s="1"/>
  <c r="K141" i="4"/>
  <c r="K138" i="5" s="1"/>
  <c r="K140" i="4"/>
  <c r="K137" i="5" s="1"/>
  <c r="K139" i="4"/>
  <c r="K138" i="4"/>
  <c r="I142" i="4"/>
  <c r="I141" i="4"/>
  <c r="I138" i="5" s="1"/>
  <c r="I140" i="4"/>
  <c r="I137" i="5" s="1"/>
  <c r="I139" i="4"/>
  <c r="I136" i="5" s="1"/>
  <c r="I138" i="4"/>
  <c r="I135" i="5" s="1"/>
  <c r="G142" i="4"/>
  <c r="G139" i="5" s="1"/>
  <c r="G141" i="4"/>
  <c r="G138" i="5" s="1"/>
  <c r="G140" i="4"/>
  <c r="G137" i="5" s="1"/>
  <c r="G139" i="4"/>
  <c r="G136" i="5" s="1"/>
  <c r="G138" i="4"/>
  <c r="E142" i="4"/>
  <c r="E139" i="5" s="1"/>
  <c r="E141" i="4"/>
  <c r="E138" i="5" s="1"/>
  <c r="E140" i="4"/>
  <c r="E137" i="5" s="1"/>
  <c r="E139" i="4"/>
  <c r="E138" i="4"/>
  <c r="E135" i="5" s="1"/>
  <c r="K132" i="4"/>
  <c r="K129" i="5" s="1"/>
  <c r="K131" i="4"/>
  <c r="K128" i="5" s="1"/>
  <c r="K130" i="4"/>
  <c r="K127" i="5" s="1"/>
  <c r="K129" i="4"/>
  <c r="K126" i="5" s="1"/>
  <c r="K128" i="4"/>
  <c r="K125" i="5" s="1"/>
  <c r="K127" i="4"/>
  <c r="K124" i="5" s="1"/>
  <c r="I132" i="4"/>
  <c r="I129" i="5" s="1"/>
  <c r="I131" i="4"/>
  <c r="I128" i="5" s="1"/>
  <c r="I130" i="4"/>
  <c r="I127" i="5" s="1"/>
  <c r="I129" i="4"/>
  <c r="I126" i="5" s="1"/>
  <c r="I128" i="4"/>
  <c r="I125" i="5" s="1"/>
  <c r="I127" i="4"/>
  <c r="I124" i="5" s="1"/>
  <c r="G132" i="4"/>
  <c r="G129" i="5" s="1"/>
  <c r="G131" i="4"/>
  <c r="G128" i="5" s="1"/>
  <c r="G130" i="4"/>
  <c r="G129" i="4"/>
  <c r="G126" i="5" s="1"/>
  <c r="G128" i="4"/>
  <c r="G125" i="5" s="1"/>
  <c r="G127" i="4"/>
  <c r="G124" i="5" s="1"/>
  <c r="E132" i="4"/>
  <c r="E129" i="5" s="1"/>
  <c r="E131" i="4"/>
  <c r="E128" i="5" s="1"/>
  <c r="E130" i="4"/>
  <c r="E129" i="4"/>
  <c r="E126" i="5" s="1"/>
  <c r="E128" i="4"/>
  <c r="E125" i="5" s="1"/>
  <c r="E127" i="4"/>
  <c r="E124" i="5" s="1"/>
  <c r="K123" i="4"/>
  <c r="K120" i="5" s="1"/>
  <c r="K122" i="4"/>
  <c r="K119" i="5" s="1"/>
  <c r="K121" i="4"/>
  <c r="K118" i="5" s="1"/>
  <c r="K120" i="4"/>
  <c r="K117" i="5" s="1"/>
  <c r="I123" i="4"/>
  <c r="I120" i="5" s="1"/>
  <c r="I122" i="4"/>
  <c r="I119" i="5" s="1"/>
  <c r="I121" i="4"/>
  <c r="I118" i="5" s="1"/>
  <c r="I120" i="4"/>
  <c r="I117" i="5" s="1"/>
  <c r="G123" i="4"/>
  <c r="G120" i="5" s="1"/>
  <c r="G122" i="4"/>
  <c r="G121" i="4"/>
  <c r="G118" i="5" s="1"/>
  <c r="G120" i="4"/>
  <c r="G117" i="5" s="1"/>
  <c r="E123" i="4"/>
  <c r="E122" i="4"/>
  <c r="E119" i="5" s="1"/>
  <c r="E121" i="4"/>
  <c r="E118" i="5" s="1"/>
  <c r="E120" i="4"/>
  <c r="K116" i="4"/>
  <c r="K113" i="5" s="1"/>
  <c r="K115" i="4"/>
  <c r="K112" i="5" s="1"/>
  <c r="K114" i="4"/>
  <c r="K111" i="5" s="1"/>
  <c r="K113" i="4"/>
  <c r="K110" i="5" s="1"/>
  <c r="K112" i="4"/>
  <c r="K109" i="5" s="1"/>
  <c r="K111" i="4"/>
  <c r="K108" i="5" s="1"/>
  <c r="K110" i="4"/>
  <c r="K107" i="5" s="1"/>
  <c r="K109" i="4"/>
  <c r="K106" i="5" s="1"/>
  <c r="K108" i="4"/>
  <c r="K105" i="5" s="1"/>
  <c r="I116" i="4"/>
  <c r="I113" i="5" s="1"/>
  <c r="I115" i="4"/>
  <c r="I112" i="5" s="1"/>
  <c r="I114" i="4"/>
  <c r="I111" i="5" s="1"/>
  <c r="I113" i="4"/>
  <c r="I110" i="5" s="1"/>
  <c r="I112" i="4"/>
  <c r="I109" i="5" s="1"/>
  <c r="I111" i="4"/>
  <c r="I108" i="5" s="1"/>
  <c r="I110" i="4"/>
  <c r="I107" i="5" s="1"/>
  <c r="I109" i="4"/>
  <c r="I106" i="5" s="1"/>
  <c r="I108" i="4"/>
  <c r="I105" i="5" s="1"/>
  <c r="G116" i="4"/>
  <c r="G113" i="5" s="1"/>
  <c r="G115" i="4"/>
  <c r="G114" i="4"/>
  <c r="G113" i="4"/>
  <c r="G110" i="5" s="1"/>
  <c r="G112" i="4"/>
  <c r="G109" i="5" s="1"/>
  <c r="G111" i="4"/>
  <c r="G108" i="5" s="1"/>
  <c r="G110" i="4"/>
  <c r="G107" i="5" s="1"/>
  <c r="G109" i="4"/>
  <c r="G106" i="5" s="1"/>
  <c r="G108" i="4"/>
  <c r="G105" i="5" s="1"/>
  <c r="E116" i="4"/>
  <c r="E113" i="5" s="1"/>
  <c r="E115" i="4"/>
  <c r="E112" i="5" s="1"/>
  <c r="E114" i="4"/>
  <c r="E111" i="5" s="1"/>
  <c r="E113" i="4"/>
  <c r="E110" i="5" s="1"/>
  <c r="E112" i="4"/>
  <c r="E109" i="5" s="1"/>
  <c r="E111" i="4"/>
  <c r="E108" i="5" s="1"/>
  <c r="E110" i="4"/>
  <c r="E107" i="5" s="1"/>
  <c r="E109" i="4"/>
  <c r="E108" i="4"/>
  <c r="E105" i="5" s="1"/>
  <c r="K104" i="4"/>
  <c r="K101" i="5" s="1"/>
  <c r="K103" i="4"/>
  <c r="K100" i="5" s="1"/>
  <c r="K102" i="4"/>
  <c r="K99" i="5" s="1"/>
  <c r="I104" i="4"/>
  <c r="I101" i="5" s="1"/>
  <c r="I103" i="4"/>
  <c r="I100" i="5" s="1"/>
  <c r="I102" i="4"/>
  <c r="I99" i="5" s="1"/>
  <c r="G104" i="4"/>
  <c r="G103" i="4"/>
  <c r="G100" i="5" s="1"/>
  <c r="G102" i="4"/>
  <c r="G99" i="5" s="1"/>
  <c r="E104" i="4"/>
  <c r="E101" i="5" s="1"/>
  <c r="E103" i="4"/>
  <c r="E100" i="5" s="1"/>
  <c r="E102" i="4"/>
  <c r="E99" i="5" s="1"/>
  <c r="K98" i="4"/>
  <c r="K95" i="5" s="1"/>
  <c r="K97" i="4"/>
  <c r="K94" i="5" s="1"/>
  <c r="K96" i="4"/>
  <c r="I98" i="4"/>
  <c r="I95" i="5" s="1"/>
  <c r="I97" i="4"/>
  <c r="I94" i="5" s="1"/>
  <c r="I96" i="4"/>
  <c r="I94" i="4" s="1"/>
  <c r="G98" i="4"/>
  <c r="G95" i="5" s="1"/>
  <c r="G97" i="4"/>
  <c r="G94" i="5" s="1"/>
  <c r="G96" i="4"/>
  <c r="G94" i="4" s="1"/>
  <c r="E98" i="4"/>
  <c r="E95" i="5" s="1"/>
  <c r="E97" i="4"/>
  <c r="E94" i="5" s="1"/>
  <c r="E96" i="4"/>
  <c r="E93" i="5" s="1"/>
  <c r="K92" i="4"/>
  <c r="K89" i="5" s="1"/>
  <c r="K91" i="4"/>
  <c r="K88" i="5" s="1"/>
  <c r="K90" i="4"/>
  <c r="K87" i="5" s="1"/>
  <c r="K89" i="4"/>
  <c r="K86" i="5" s="1"/>
  <c r="I92" i="4"/>
  <c r="I91" i="4"/>
  <c r="I88" i="5" s="1"/>
  <c r="I90" i="4"/>
  <c r="I87" i="5" s="1"/>
  <c r="I89" i="4"/>
  <c r="I86" i="5" s="1"/>
  <c r="G92" i="4"/>
  <c r="G89" i="5" s="1"/>
  <c r="G91" i="4"/>
  <c r="G88" i="5" s="1"/>
  <c r="G90" i="4"/>
  <c r="G87" i="5" s="1"/>
  <c r="G89" i="4"/>
  <c r="G86" i="5" s="1"/>
  <c r="E92" i="4"/>
  <c r="E89" i="5" s="1"/>
  <c r="E91" i="4"/>
  <c r="E88" i="5" s="1"/>
  <c r="E90" i="4"/>
  <c r="E87" i="5" s="1"/>
  <c r="E89" i="4"/>
  <c r="E86" i="5" s="1"/>
  <c r="K85" i="4"/>
  <c r="K84" i="4"/>
  <c r="K82" i="5" s="1"/>
  <c r="K83" i="4"/>
  <c r="K81" i="5" s="1"/>
  <c r="K82" i="4"/>
  <c r="K80" i="5" s="1"/>
  <c r="K81" i="4"/>
  <c r="K80" i="4"/>
  <c r="K78" i="5" s="1"/>
  <c r="K79" i="4"/>
  <c r="K77" i="5" s="1"/>
  <c r="K78" i="4"/>
  <c r="K76" i="5" s="1"/>
  <c r="I85" i="4"/>
  <c r="I83" i="4"/>
  <c r="I81" i="5" s="1"/>
  <c r="I82" i="4"/>
  <c r="I80" i="5" s="1"/>
  <c r="I81" i="4"/>
  <c r="I79" i="5" s="1"/>
  <c r="I80" i="4"/>
  <c r="I78" i="5" s="1"/>
  <c r="I79" i="4"/>
  <c r="I77" i="5" s="1"/>
  <c r="I78" i="4"/>
  <c r="I76" i="5" s="1"/>
  <c r="G85" i="4"/>
  <c r="G84" i="4"/>
  <c r="G82" i="5" s="1"/>
  <c r="G83" i="4"/>
  <c r="G81" i="5" s="1"/>
  <c r="G82" i="4"/>
  <c r="G80" i="5" s="1"/>
  <c r="G81" i="4"/>
  <c r="G79" i="5" s="1"/>
  <c r="G80" i="4"/>
  <c r="G78" i="5" s="1"/>
  <c r="G79" i="4"/>
  <c r="G77" i="5" s="1"/>
  <c r="G78" i="4"/>
  <c r="E85" i="4"/>
  <c r="E84" i="4"/>
  <c r="E82" i="5" s="1"/>
  <c r="E83" i="4"/>
  <c r="E81" i="5" s="1"/>
  <c r="E82" i="4"/>
  <c r="E80" i="5" s="1"/>
  <c r="E81" i="4"/>
  <c r="E79" i="5" s="1"/>
  <c r="E80" i="4"/>
  <c r="E78" i="5" s="1"/>
  <c r="E79" i="4"/>
  <c r="E77" i="5" s="1"/>
  <c r="E78" i="4"/>
  <c r="E76" i="5" s="1"/>
  <c r="K74" i="4"/>
  <c r="K72" i="5" s="1"/>
  <c r="K73" i="4"/>
  <c r="K71" i="5" s="1"/>
  <c r="K72" i="4"/>
  <c r="K70" i="5" s="1"/>
  <c r="K71" i="4"/>
  <c r="K69" i="5" s="1"/>
  <c r="K70" i="4"/>
  <c r="K68" i="5" s="1"/>
  <c r="K69" i="4"/>
  <c r="K67" i="5" s="1"/>
  <c r="K68" i="4"/>
  <c r="K66" i="5" s="1"/>
  <c r="I74" i="4"/>
  <c r="I73" i="4"/>
  <c r="I71" i="5" s="1"/>
  <c r="I72" i="4"/>
  <c r="I70" i="5" s="1"/>
  <c r="I71" i="4"/>
  <c r="I69" i="5" s="1"/>
  <c r="I70" i="4"/>
  <c r="I69" i="4"/>
  <c r="I67" i="5" s="1"/>
  <c r="I68" i="4"/>
  <c r="I66" i="5" s="1"/>
  <c r="G74" i="4"/>
  <c r="G72" i="5" s="1"/>
  <c r="G73" i="4"/>
  <c r="G71" i="5" s="1"/>
  <c r="G72" i="4"/>
  <c r="G70" i="5" s="1"/>
  <c r="G71" i="4"/>
  <c r="G69" i="5" s="1"/>
  <c r="G70" i="4"/>
  <c r="G68" i="5" s="1"/>
  <c r="G69" i="4"/>
  <c r="G68" i="4"/>
  <c r="G66" i="5" s="1"/>
  <c r="E74" i="4"/>
  <c r="E72" i="5" s="1"/>
  <c r="E73" i="4"/>
  <c r="E71" i="5" s="1"/>
  <c r="E72" i="4"/>
  <c r="E70" i="5" s="1"/>
  <c r="E71" i="4"/>
  <c r="E69" i="5" s="1"/>
  <c r="E70" i="4"/>
  <c r="E68" i="5" s="1"/>
  <c r="E69" i="4"/>
  <c r="E67" i="5" s="1"/>
  <c r="E68" i="4"/>
  <c r="K64" i="4"/>
  <c r="K62" i="5" s="1"/>
  <c r="K63" i="4"/>
  <c r="K61" i="5" s="1"/>
  <c r="K62" i="4"/>
  <c r="K60" i="5" s="1"/>
  <c r="K61" i="4"/>
  <c r="K60" i="4"/>
  <c r="K58" i="5" s="1"/>
  <c r="I64" i="4"/>
  <c r="I62" i="5" s="1"/>
  <c r="I63" i="4"/>
  <c r="I61" i="5" s="1"/>
  <c r="I62" i="4"/>
  <c r="I60" i="5" s="1"/>
  <c r="I61" i="4"/>
  <c r="I59" i="5" s="1"/>
  <c r="I60" i="4"/>
  <c r="I58" i="5" s="1"/>
  <c r="G64" i="4"/>
  <c r="G62" i="5" s="1"/>
  <c r="G63" i="4"/>
  <c r="G61" i="5" s="1"/>
  <c r="G62" i="4"/>
  <c r="G60" i="5" s="1"/>
  <c r="G61" i="4"/>
  <c r="G59" i="5" s="1"/>
  <c r="G60" i="4"/>
  <c r="G58" i="5" s="1"/>
  <c r="E64" i="4"/>
  <c r="E62" i="5" s="1"/>
  <c r="E63" i="4"/>
  <c r="E62" i="4"/>
  <c r="E60" i="5" s="1"/>
  <c r="E61" i="4"/>
  <c r="E59" i="5" s="1"/>
  <c r="E60" i="4"/>
  <c r="E58" i="5" s="1"/>
  <c r="E56" i="4"/>
  <c r="E54" i="5" s="1"/>
  <c r="E55" i="4"/>
  <c r="E54" i="4"/>
  <c r="E53" i="4"/>
  <c r="E51" i="5" s="1"/>
  <c r="E52" i="4"/>
  <c r="E50" i="5" s="1"/>
  <c r="G56" i="4"/>
  <c r="G54" i="5" s="1"/>
  <c r="G55" i="4"/>
  <c r="G53" i="5" s="1"/>
  <c r="G54" i="4"/>
  <c r="G52" i="5" s="1"/>
  <c r="G53" i="4"/>
  <c r="G51" i="5" s="1"/>
  <c r="G52" i="4"/>
  <c r="G50" i="5" s="1"/>
  <c r="I56" i="4"/>
  <c r="I55" i="4"/>
  <c r="I53" i="5" s="1"/>
  <c r="I54" i="4"/>
  <c r="I52" i="5" s="1"/>
  <c r="I53" i="4"/>
  <c r="I51" i="5" s="1"/>
  <c r="I52" i="4"/>
  <c r="I50" i="5" s="1"/>
  <c r="K56" i="4"/>
  <c r="K54" i="5" s="1"/>
  <c r="K55" i="4"/>
  <c r="K53" i="5" s="1"/>
  <c r="K54" i="4"/>
  <c r="K52" i="5" s="1"/>
  <c r="K53" i="4"/>
  <c r="K51" i="5" s="1"/>
  <c r="K52" i="4"/>
  <c r="K44" i="4"/>
  <c r="K44" i="5" s="1"/>
  <c r="K43" i="4"/>
  <c r="K43" i="5" s="1"/>
  <c r="K42" i="4"/>
  <c r="K42" i="5" s="1"/>
  <c r="K41" i="4"/>
  <c r="K40" i="4"/>
  <c r="K39" i="4"/>
  <c r="K39" i="5" s="1"/>
  <c r="K38" i="4"/>
  <c r="K38" i="5" s="1"/>
  <c r="K37" i="4"/>
  <c r="K37" i="5" s="1"/>
  <c r="K36" i="4"/>
  <c r="K36" i="5" s="1"/>
  <c r="K35" i="4"/>
  <c r="K35" i="5" s="1"/>
  <c r="K32" i="4"/>
  <c r="K33" i="5" s="1"/>
  <c r="K31" i="4"/>
  <c r="K32" i="5" s="1"/>
  <c r="K30" i="4"/>
  <c r="K31" i="5" s="1"/>
  <c r="K29" i="4"/>
  <c r="K30" i="5" s="1"/>
  <c r="K28" i="4"/>
  <c r="K29" i="5" s="1"/>
  <c r="K27" i="4"/>
  <c r="K28" i="5" s="1"/>
  <c r="K26" i="4"/>
  <c r="K27" i="5" s="1"/>
  <c r="K25" i="4"/>
  <c r="K26" i="5" s="1"/>
  <c r="K24" i="4"/>
  <c r="K25" i="5" s="1"/>
  <c r="K23" i="4"/>
  <c r="K24" i="5" s="1"/>
  <c r="K22" i="4"/>
  <c r="K23" i="5" s="1"/>
  <c r="K21" i="4"/>
  <c r="K20" i="4"/>
  <c r="K21" i="5" s="1"/>
  <c r="K19" i="4"/>
  <c r="K20" i="5" s="1"/>
  <c r="K18" i="4"/>
  <c r="K19" i="5" s="1"/>
  <c r="K17" i="4"/>
  <c r="K18" i="5" s="1"/>
  <c r="K16" i="4"/>
  <c r="K17" i="5" s="1"/>
  <c r="I32" i="4"/>
  <c r="I31" i="4"/>
  <c r="I30" i="4"/>
  <c r="I29" i="4"/>
  <c r="I30" i="5" s="1"/>
  <c r="I28" i="4"/>
  <c r="I29" i="5" s="1"/>
  <c r="I27" i="4"/>
  <c r="I28" i="5" s="1"/>
  <c r="I26" i="4"/>
  <c r="I27" i="5" s="1"/>
  <c r="I25" i="4"/>
  <c r="I26" i="5" s="1"/>
  <c r="I24" i="4"/>
  <c r="I25" i="5" s="1"/>
  <c r="I23" i="4"/>
  <c r="I22" i="4"/>
  <c r="I23" i="5" s="1"/>
  <c r="I21" i="4"/>
  <c r="I22" i="5" s="1"/>
  <c r="I20" i="4"/>
  <c r="I21" i="5" s="1"/>
  <c r="I19" i="4"/>
  <c r="I20" i="5" s="1"/>
  <c r="I18" i="4"/>
  <c r="I19" i="5" s="1"/>
  <c r="I17" i="4"/>
  <c r="G44" i="4"/>
  <c r="G44" i="5" s="1"/>
  <c r="G43" i="4"/>
  <c r="G43" i="5" s="1"/>
  <c r="G42" i="4"/>
  <c r="G42" i="5" s="1"/>
  <c r="G41" i="4"/>
  <c r="G41" i="5" s="1"/>
  <c r="G40" i="4"/>
  <c r="G40" i="5" s="1"/>
  <c r="G39" i="4"/>
  <c r="G38" i="4"/>
  <c r="G38" i="5" s="1"/>
  <c r="G37" i="4"/>
  <c r="G36" i="4"/>
  <c r="G36" i="5" s="1"/>
  <c r="G35" i="4"/>
  <c r="G32" i="4"/>
  <c r="G33" i="5" s="1"/>
  <c r="G31" i="4"/>
  <c r="G32" i="5" s="1"/>
  <c r="G30" i="4"/>
  <c r="G31" i="5" s="1"/>
  <c r="G29" i="4"/>
  <c r="G30" i="5" s="1"/>
  <c r="G28" i="4"/>
  <c r="G27" i="4"/>
  <c r="G28" i="5" s="1"/>
  <c r="G26" i="4"/>
  <c r="G25" i="4"/>
  <c r="G26" i="5" s="1"/>
  <c r="G24" i="4"/>
  <c r="G25" i="5" s="1"/>
  <c r="G23" i="4"/>
  <c r="G24" i="5" s="1"/>
  <c r="G22" i="4"/>
  <c r="G23" i="5" s="1"/>
  <c r="G21" i="4"/>
  <c r="G22" i="5" s="1"/>
  <c r="G20" i="4"/>
  <c r="G19" i="4"/>
  <c r="G20" i="5" s="1"/>
  <c r="G18" i="4"/>
  <c r="G17" i="4"/>
  <c r="G18" i="5" s="1"/>
  <c r="G16" i="4"/>
  <c r="G17" i="5" s="1"/>
  <c r="E44" i="4"/>
  <c r="E43" i="4"/>
  <c r="E42" i="4"/>
  <c r="E42" i="5" s="1"/>
  <c r="E41" i="4"/>
  <c r="E41" i="5" s="1"/>
  <c r="E40" i="4"/>
  <c r="E40" i="5" s="1"/>
  <c r="E39" i="4"/>
  <c r="E39" i="5" s="1"/>
  <c r="E38" i="4"/>
  <c r="E37" i="4"/>
  <c r="E37" i="5" s="1"/>
  <c r="E36" i="4"/>
  <c r="E36" i="5" s="1"/>
  <c r="E35" i="4"/>
  <c r="C46" i="4"/>
  <c r="D15" i="6"/>
  <c r="D25" i="6"/>
  <c r="B16" i="6"/>
  <c r="B15" i="6"/>
  <c r="D18" i="6"/>
  <c r="D16" i="6"/>
  <c r="C34" i="1"/>
  <c r="C31" i="1" s="1"/>
  <c r="C21" i="1"/>
  <c r="B18" i="6" s="1"/>
  <c r="C19" i="1"/>
  <c r="A6" i="17"/>
  <c r="D31" i="1"/>
  <c r="D14" i="1"/>
  <c r="E181" i="4"/>
  <c r="E179" i="4" s="1"/>
  <c r="B25" i="6"/>
  <c r="B22" i="6" s="1"/>
  <c r="I84" i="4"/>
  <c r="I82" i="5" s="1"/>
  <c r="C14" i="1"/>
  <c r="B54" i="24"/>
  <c r="B98" i="23"/>
  <c r="B54" i="23"/>
  <c r="B54" i="22"/>
  <c r="B54" i="21"/>
  <c r="F250" i="15"/>
  <c r="D250" i="15"/>
  <c r="D248" i="15" s="1"/>
  <c r="F242" i="15"/>
  <c r="F240" i="15" s="1"/>
  <c r="E242" i="15"/>
  <c r="E240" i="15" s="1"/>
  <c r="D242" i="15"/>
  <c r="D240" i="15" s="1"/>
  <c r="F238" i="15"/>
  <c r="F236" i="15" s="1"/>
  <c r="E238" i="15"/>
  <c r="E236" i="15" s="1"/>
  <c r="D238" i="15"/>
  <c r="D236" i="15" s="1"/>
  <c r="F226" i="15"/>
  <c r="F224" i="15" s="1"/>
  <c r="E226" i="15"/>
  <c r="E224" i="15" s="1"/>
  <c r="D226" i="15"/>
  <c r="F233" i="15"/>
  <c r="F231" i="15" s="1"/>
  <c r="E233" i="15"/>
  <c r="E231" i="15" s="1"/>
  <c r="D233" i="15"/>
  <c r="D231" i="15" s="1"/>
  <c r="F215" i="15"/>
  <c r="E215" i="15"/>
  <c r="D215" i="15"/>
  <c r="F214" i="15"/>
  <c r="E214" i="15"/>
  <c r="D214" i="15"/>
  <c r="F213" i="15"/>
  <c r="E213" i="15"/>
  <c r="D213" i="15"/>
  <c r="F212" i="15"/>
  <c r="E212" i="15"/>
  <c r="D212" i="15"/>
  <c r="F211" i="15"/>
  <c r="E211" i="15"/>
  <c r="D211" i="15"/>
  <c r="F203" i="15"/>
  <c r="F201" i="15" s="1"/>
  <c r="F199" i="15" s="1"/>
  <c r="E203" i="15"/>
  <c r="E201" i="15" s="1"/>
  <c r="E199" i="15" s="1"/>
  <c r="D203" i="15"/>
  <c r="D201" i="15" s="1"/>
  <c r="D199" i="15" s="1"/>
  <c r="F197" i="15"/>
  <c r="E197" i="15"/>
  <c r="D197" i="15"/>
  <c r="F196" i="15"/>
  <c r="E196" i="15"/>
  <c r="D196" i="15"/>
  <c r="F195" i="15"/>
  <c r="E195" i="15"/>
  <c r="D195" i="15"/>
  <c r="F194" i="15"/>
  <c r="E194" i="15"/>
  <c r="D194" i="15"/>
  <c r="F193" i="15"/>
  <c r="E193" i="15"/>
  <c r="D193" i="15"/>
  <c r="F192" i="15"/>
  <c r="E192" i="15"/>
  <c r="D192" i="15"/>
  <c r="F191" i="15"/>
  <c r="E191" i="15"/>
  <c r="D191" i="15"/>
  <c r="F190" i="15"/>
  <c r="E190" i="15"/>
  <c r="D190" i="15"/>
  <c r="F186" i="15"/>
  <c r="E186" i="15"/>
  <c r="E183" i="15" s="1"/>
  <c r="D186" i="15"/>
  <c r="D183" i="15" s="1"/>
  <c r="F178" i="15"/>
  <c r="F174" i="15" s="1"/>
  <c r="E178" i="15"/>
  <c r="E174" i="15" s="1"/>
  <c r="D178" i="15"/>
  <c r="D174" i="15" s="1"/>
  <c r="F167" i="15"/>
  <c r="E167" i="15"/>
  <c r="D167" i="15"/>
  <c r="F166" i="15"/>
  <c r="E166" i="15"/>
  <c r="D166" i="15"/>
  <c r="F165" i="15"/>
  <c r="E165" i="15"/>
  <c r="D165" i="15"/>
  <c r="F159" i="15"/>
  <c r="E159" i="15"/>
  <c r="D159" i="15"/>
  <c r="F158" i="15"/>
  <c r="E158" i="15"/>
  <c r="D158" i="15"/>
  <c r="F157" i="15"/>
  <c r="E157" i="15"/>
  <c r="D157" i="15"/>
  <c r="F153" i="15"/>
  <c r="F151" i="15" s="1"/>
  <c r="E153" i="15"/>
  <c r="E151" i="15" s="1"/>
  <c r="D153" i="15"/>
  <c r="D151" i="15" s="1"/>
  <c r="F149" i="15"/>
  <c r="E149" i="15"/>
  <c r="D149" i="15"/>
  <c r="F148" i="15"/>
  <c r="E148" i="15"/>
  <c r="D148" i="15"/>
  <c r="F147" i="15"/>
  <c r="E147" i="15"/>
  <c r="D147" i="15"/>
  <c r="F146" i="15"/>
  <c r="E146" i="15"/>
  <c r="D146" i="15"/>
  <c r="F145" i="15"/>
  <c r="E145" i="15"/>
  <c r="D145" i="15"/>
  <c r="F144" i="15"/>
  <c r="E144" i="15"/>
  <c r="D144" i="15"/>
  <c r="F143" i="15"/>
  <c r="E143" i="15"/>
  <c r="D143" i="15"/>
  <c r="F142" i="15"/>
  <c r="E142" i="15"/>
  <c r="D142" i="15"/>
  <c r="F138" i="15"/>
  <c r="E138" i="15"/>
  <c r="D138" i="15"/>
  <c r="F137" i="15"/>
  <c r="E137" i="15"/>
  <c r="D137" i="15"/>
  <c r="F136" i="15"/>
  <c r="E136" i="15"/>
  <c r="D136" i="15"/>
  <c r="F132" i="15"/>
  <c r="F130" i="15" s="1"/>
  <c r="E132" i="15"/>
  <c r="E130" i="15" s="1"/>
  <c r="D132" i="15"/>
  <c r="D130" i="15" s="1"/>
  <c r="F128" i="15"/>
  <c r="E128" i="15"/>
  <c r="D128" i="15"/>
  <c r="F127" i="15"/>
  <c r="E127" i="15"/>
  <c r="D127" i="15"/>
  <c r="F126" i="15"/>
  <c r="E126" i="15"/>
  <c r="D126" i="15"/>
  <c r="F125" i="15"/>
  <c r="E125" i="15"/>
  <c r="D125" i="15"/>
  <c r="F121" i="15"/>
  <c r="E121" i="15"/>
  <c r="D121" i="15"/>
  <c r="F120" i="15"/>
  <c r="E120" i="15"/>
  <c r="D120" i="15"/>
  <c r="F119" i="15"/>
  <c r="E119" i="15"/>
  <c r="D119" i="15"/>
  <c r="F118" i="15"/>
  <c r="E118" i="15"/>
  <c r="D118" i="15"/>
  <c r="F117" i="15"/>
  <c r="E117" i="15"/>
  <c r="D117" i="15"/>
  <c r="F116" i="15"/>
  <c r="E116" i="15"/>
  <c r="D116" i="15"/>
  <c r="F115" i="15"/>
  <c r="E115" i="15"/>
  <c r="D115" i="15"/>
  <c r="F114" i="15"/>
  <c r="E114" i="15"/>
  <c r="D114" i="15"/>
  <c r="F110" i="15"/>
  <c r="E110" i="15"/>
  <c r="D110" i="15"/>
  <c r="F109" i="15"/>
  <c r="E109" i="15"/>
  <c r="D109" i="15"/>
  <c r="F108" i="15"/>
  <c r="E108" i="15"/>
  <c r="D108" i="15"/>
  <c r="F107" i="15"/>
  <c r="E107" i="15"/>
  <c r="D107" i="15"/>
  <c r="F106" i="15"/>
  <c r="E106" i="15"/>
  <c r="D106" i="15"/>
  <c r="F105" i="15"/>
  <c r="E105" i="15"/>
  <c r="D105" i="15"/>
  <c r="F101" i="15"/>
  <c r="E101" i="15"/>
  <c r="D101" i="15"/>
  <c r="F100" i="15"/>
  <c r="E100" i="15"/>
  <c r="D100" i="15"/>
  <c r="F99" i="15"/>
  <c r="E99" i="15"/>
  <c r="D99" i="15"/>
  <c r="F98" i="15"/>
  <c r="E98" i="15"/>
  <c r="D98" i="15"/>
  <c r="F97" i="15"/>
  <c r="E97" i="15"/>
  <c r="D97" i="15"/>
  <c r="F91" i="15"/>
  <c r="E91" i="15"/>
  <c r="D91" i="15"/>
  <c r="F90" i="15"/>
  <c r="E90" i="15"/>
  <c r="D90" i="15"/>
  <c r="F80" i="15"/>
  <c r="E80" i="15"/>
  <c r="D80" i="15"/>
  <c r="F79" i="15"/>
  <c r="E79" i="15"/>
  <c r="D79" i="15"/>
  <c r="F78" i="15"/>
  <c r="E78" i="15"/>
  <c r="D78" i="15"/>
  <c r="F74" i="15"/>
  <c r="E74" i="15"/>
  <c r="D74" i="15"/>
  <c r="F73" i="15"/>
  <c r="E73" i="15"/>
  <c r="D73" i="15"/>
  <c r="F72" i="15"/>
  <c r="E72" i="15"/>
  <c r="D72" i="15"/>
  <c r="F71" i="15"/>
  <c r="E71" i="15"/>
  <c r="D71" i="15"/>
  <c r="F70" i="15"/>
  <c r="E70" i="15"/>
  <c r="D70" i="15"/>
  <c r="F65" i="15"/>
  <c r="E65" i="15"/>
  <c r="D65" i="15"/>
  <c r="F64" i="15"/>
  <c r="E64" i="15"/>
  <c r="D64" i="15"/>
  <c r="F63" i="15"/>
  <c r="E63" i="15"/>
  <c r="D63" i="15"/>
  <c r="F62" i="15"/>
  <c r="E62" i="15"/>
  <c r="D62" i="15"/>
  <c r="F61" i="15"/>
  <c r="E61" i="15"/>
  <c r="D61" i="15"/>
  <c r="F57" i="15"/>
  <c r="E57" i="15"/>
  <c r="D57" i="15"/>
  <c r="F56" i="15"/>
  <c r="E56" i="15"/>
  <c r="D56" i="15"/>
  <c r="F55" i="15"/>
  <c r="E55" i="15"/>
  <c r="D55" i="15"/>
  <c r="F51" i="15"/>
  <c r="E51" i="15"/>
  <c r="D51" i="15"/>
  <c r="F50" i="15"/>
  <c r="E50" i="15"/>
  <c r="D50" i="15"/>
  <c r="F49" i="15"/>
  <c r="D49" i="15"/>
  <c r="C250" i="15"/>
  <c r="C242" i="15"/>
  <c r="C238" i="15"/>
  <c r="C236" i="15" s="1"/>
  <c r="C233" i="15"/>
  <c r="C226" i="15"/>
  <c r="C224" i="15" s="1"/>
  <c r="C215" i="15"/>
  <c r="C214" i="15"/>
  <c r="C213" i="15"/>
  <c r="C212" i="15"/>
  <c r="C211" i="15"/>
  <c r="C203" i="15"/>
  <c r="C201" i="15" s="1"/>
  <c r="C199" i="15" s="1"/>
  <c r="C197" i="15"/>
  <c r="C196" i="15"/>
  <c r="C195" i="15"/>
  <c r="C194" i="15"/>
  <c r="C193" i="15"/>
  <c r="C192" i="15"/>
  <c r="C191" i="15"/>
  <c r="C190" i="15"/>
  <c r="C186" i="15"/>
  <c r="C183" i="15" s="1"/>
  <c r="C178" i="15"/>
  <c r="C174" i="15" s="1"/>
  <c r="C167" i="15"/>
  <c r="C166" i="15"/>
  <c r="C165" i="15"/>
  <c r="C159" i="15"/>
  <c r="C158" i="15"/>
  <c r="C157" i="15"/>
  <c r="C153" i="15"/>
  <c r="C151" i="15" s="1"/>
  <c r="C148" i="15"/>
  <c r="C144" i="15"/>
  <c r="C143" i="15"/>
  <c r="C149" i="15"/>
  <c r="C147" i="15"/>
  <c r="C146" i="15"/>
  <c r="C145" i="15"/>
  <c r="C142" i="15"/>
  <c r="C138" i="15"/>
  <c r="C137" i="15"/>
  <c r="C136" i="15"/>
  <c r="C132" i="15"/>
  <c r="C130" i="15" s="1"/>
  <c r="C128" i="15"/>
  <c r="C127" i="15"/>
  <c r="C126" i="15"/>
  <c r="C125" i="15"/>
  <c r="C121" i="15"/>
  <c r="C120" i="15"/>
  <c r="C119" i="15"/>
  <c r="C118" i="15"/>
  <c r="C117" i="15"/>
  <c r="C116" i="15"/>
  <c r="C115" i="15"/>
  <c r="C114" i="15"/>
  <c r="C110" i="15"/>
  <c r="C109" i="15"/>
  <c r="C108" i="15"/>
  <c r="C107" i="15"/>
  <c r="C106" i="15"/>
  <c r="C105" i="15"/>
  <c r="C101" i="15"/>
  <c r="C100" i="15"/>
  <c r="C99" i="15"/>
  <c r="C98" i="15"/>
  <c r="C97" i="15"/>
  <c r="C91" i="15"/>
  <c r="C90" i="15"/>
  <c r="C80" i="15"/>
  <c r="C79" i="15"/>
  <c r="C78" i="15"/>
  <c r="C74" i="15"/>
  <c r="C73" i="15"/>
  <c r="C72" i="15"/>
  <c r="C71" i="15"/>
  <c r="C70" i="15"/>
  <c r="C65" i="15"/>
  <c r="C64" i="15"/>
  <c r="C63" i="15"/>
  <c r="C62" i="15"/>
  <c r="C61" i="15"/>
  <c r="C57" i="15"/>
  <c r="C56" i="15"/>
  <c r="C55" i="15"/>
  <c r="C51" i="15"/>
  <c r="C50" i="15"/>
  <c r="C49" i="15"/>
  <c r="B33" i="17"/>
  <c r="B21" i="17"/>
  <c r="B38" i="17" s="1"/>
  <c r="C32" i="2"/>
  <c r="AF34" i="1" s="1"/>
  <c r="AG34" i="1" s="1"/>
  <c r="E14" i="1"/>
  <c r="E31" i="1"/>
  <c r="E220" i="3"/>
  <c r="B140" i="23"/>
  <c r="E171" i="3"/>
  <c r="E169" i="3"/>
  <c r="F19" i="1"/>
  <c r="F14" i="1" s="1"/>
  <c r="F44" i="1" s="1"/>
  <c r="G234" i="15"/>
  <c r="E31" i="16"/>
  <c r="E31" i="11"/>
  <c r="A141" i="24"/>
  <c r="B141" i="24"/>
  <c r="B144" i="24" s="1"/>
  <c r="B169" i="23"/>
  <c r="B173" i="23" s="1"/>
  <c r="B84" i="21"/>
  <c r="B136" i="21"/>
  <c r="B137" i="21"/>
  <c r="B138" i="21"/>
  <c r="A168" i="21"/>
  <c r="B168" i="21"/>
  <c r="B171" i="21" s="1"/>
  <c r="A169" i="21"/>
  <c r="C11" i="15"/>
  <c r="D11" i="15"/>
  <c r="F11" i="15"/>
  <c r="E11" i="15"/>
  <c r="C25" i="15"/>
  <c r="D25" i="15"/>
  <c r="E25" i="15"/>
  <c r="G27" i="15"/>
  <c r="G25" i="15"/>
  <c r="C29" i="15"/>
  <c r="D29" i="15"/>
  <c r="F29" i="15"/>
  <c r="G31" i="15"/>
  <c r="E29" i="15"/>
  <c r="C34" i="15"/>
  <c r="D34" i="15"/>
  <c r="F34" i="15"/>
  <c r="G36" i="15"/>
  <c r="E82" i="15"/>
  <c r="G216" i="15"/>
  <c r="G258" i="15"/>
  <c r="E82" i="3"/>
  <c r="E120" i="3"/>
  <c r="E139" i="3"/>
  <c r="E143" i="3"/>
  <c r="E188" i="3"/>
  <c r="E193" i="3"/>
  <c r="E201" i="3"/>
  <c r="E233" i="3"/>
  <c r="E238" i="3"/>
  <c r="K10" i="4"/>
  <c r="G11" i="4"/>
  <c r="K11" i="4"/>
  <c r="G13" i="6"/>
  <c r="A19" i="6"/>
  <c r="G14" i="1"/>
  <c r="H14" i="1"/>
  <c r="I14" i="1"/>
  <c r="J14" i="1"/>
  <c r="L14" i="1"/>
  <c r="M14" i="1"/>
  <c r="N14" i="1"/>
  <c r="N44" i="1"/>
  <c r="O14" i="1"/>
  <c r="P14" i="1"/>
  <c r="Q14" i="1"/>
  <c r="R14" i="1"/>
  <c r="S14" i="1"/>
  <c r="T14" i="1"/>
  <c r="T44" i="1" s="1"/>
  <c r="V14" i="1"/>
  <c r="W14" i="1"/>
  <c r="W44" i="1" s="1"/>
  <c r="X14" i="1"/>
  <c r="Y14" i="1"/>
  <c r="Z14" i="1"/>
  <c r="AA14" i="1"/>
  <c r="AB14" i="1"/>
  <c r="AC14" i="1"/>
  <c r="K17" i="1"/>
  <c r="U17" i="1"/>
  <c r="U14" i="1" s="1"/>
  <c r="X19" i="1"/>
  <c r="K23" i="1"/>
  <c r="K14" i="1" s="1"/>
  <c r="G31" i="1"/>
  <c r="H31" i="1"/>
  <c r="H44" i="1"/>
  <c r="I31" i="1"/>
  <c r="I44" i="1"/>
  <c r="J31" i="1"/>
  <c r="J44" i="1" s="1"/>
  <c r="M31" i="1"/>
  <c r="N31" i="1"/>
  <c r="O31" i="1"/>
  <c r="P31" i="1"/>
  <c r="P44" i="1" s="1"/>
  <c r="Q31" i="1"/>
  <c r="R31" i="1"/>
  <c r="R44" i="1"/>
  <c r="S31" i="1"/>
  <c r="S44" i="1" s="1"/>
  <c r="T31" i="1"/>
  <c r="U31" i="1"/>
  <c r="V31" i="1"/>
  <c r="W31" i="1"/>
  <c r="Z31" i="1"/>
  <c r="Z44" i="1"/>
  <c r="AA31" i="1"/>
  <c r="AA44" i="1" s="1"/>
  <c r="AB31" i="1"/>
  <c r="AB44" i="1"/>
  <c r="AC31" i="1"/>
  <c r="AC44" i="1" s="1"/>
  <c r="L33" i="1"/>
  <c r="X33" i="1"/>
  <c r="X31" i="1"/>
  <c r="X44" i="1" s="1"/>
  <c r="Y33" i="1"/>
  <c r="Y31" i="1" s="1"/>
  <c r="Y44" i="1" s="1"/>
  <c r="K34" i="1"/>
  <c r="K31" i="1" s="1"/>
  <c r="K44" i="1" s="1"/>
  <c r="L34" i="1"/>
  <c r="X34" i="1"/>
  <c r="Y34" i="1"/>
  <c r="X36" i="1"/>
  <c r="Y36" i="1"/>
  <c r="V39" i="1"/>
  <c r="W39" i="1"/>
  <c r="X39" i="1"/>
  <c r="Y39" i="1"/>
  <c r="Z39" i="1"/>
  <c r="AA39" i="1"/>
  <c r="AB39" i="1"/>
  <c r="AC39" i="1"/>
  <c r="G16" i="14"/>
  <c r="H14" i="14" s="1"/>
  <c r="G21" i="14"/>
  <c r="G31" i="14"/>
  <c r="G29" i="14"/>
  <c r="G39" i="14"/>
  <c r="G37" i="14" s="1"/>
  <c r="H35" i="14" s="1"/>
  <c r="G13" i="15"/>
  <c r="G11" i="15"/>
  <c r="D82" i="15"/>
  <c r="C255" i="15"/>
  <c r="C253" i="15"/>
  <c r="E170" i="15"/>
  <c r="G221" i="15"/>
  <c r="G219" i="15"/>
  <c r="F255" i="15"/>
  <c r="F253" i="15" s="1"/>
  <c r="C219" i="15"/>
  <c r="F82" i="15"/>
  <c r="F170" i="15"/>
  <c r="G257" i="15"/>
  <c r="G227" i="15"/>
  <c r="D244" i="15"/>
  <c r="C82" i="15"/>
  <c r="G84" i="15"/>
  <c r="G82" i="15"/>
  <c r="G176" i="15"/>
  <c r="F219" i="15"/>
  <c r="F244" i="15"/>
  <c r="B132" i="22"/>
  <c r="D255" i="15"/>
  <c r="D253" i="15" s="1"/>
  <c r="D170" i="15"/>
  <c r="D219" i="15"/>
  <c r="E244" i="15"/>
  <c r="G210" i="15"/>
  <c r="G177" i="15"/>
  <c r="G185" i="15"/>
  <c r="C170" i="15"/>
  <c r="G172" i="15"/>
  <c r="G170" i="15"/>
  <c r="E219" i="15"/>
  <c r="G222" i="15"/>
  <c r="E255" i="15"/>
  <c r="E253" i="15"/>
  <c r="G179" i="15"/>
  <c r="G181" i="15"/>
  <c r="E46" i="3"/>
  <c r="E153" i="3"/>
  <c r="E62" i="3"/>
  <c r="E131" i="3"/>
  <c r="E158" i="3"/>
  <c r="E177" i="3"/>
  <c r="E101" i="3"/>
  <c r="G23" i="15"/>
  <c r="C23" i="2"/>
  <c r="G32" i="15"/>
  <c r="G29" i="15" s="1"/>
  <c r="F31" i="1"/>
  <c r="G92" i="15"/>
  <c r="C244" i="15"/>
  <c r="G246" i="15"/>
  <c r="G244" i="15" s="1"/>
  <c r="G180" i="15"/>
  <c r="G217" i="15"/>
  <c r="C13" i="2"/>
  <c r="B13" i="6"/>
  <c r="D22" i="6"/>
  <c r="G22" i="6"/>
  <c r="G168" i="15"/>
  <c r="C29" i="2"/>
  <c r="C34" i="2" s="1"/>
  <c r="B127" i="22"/>
  <c r="B126" i="24"/>
  <c r="B106" i="22"/>
  <c r="G255" i="15"/>
  <c r="G253" i="15" s="1"/>
  <c r="L31" i="1"/>
  <c r="H19" i="14"/>
  <c r="F46" i="4"/>
  <c r="H46" i="4"/>
  <c r="V44" i="1" l="1"/>
  <c r="L44" i="1"/>
  <c r="E129" i="3"/>
  <c r="E12" i="3"/>
  <c r="B115" i="22"/>
  <c r="E17" i="15"/>
  <c r="H213" i="3"/>
  <c r="H188" i="3"/>
  <c r="H220" i="3"/>
  <c r="H153" i="3"/>
  <c r="E44" i="3"/>
  <c r="H193" i="3"/>
  <c r="H82" i="3"/>
  <c r="H89" i="3"/>
  <c r="H113" i="3"/>
  <c r="H158" i="3"/>
  <c r="H177" i="3"/>
  <c r="H238" i="3"/>
  <c r="H32" i="3"/>
  <c r="H62" i="3"/>
  <c r="H13" i="3"/>
  <c r="H101" i="3"/>
  <c r="H120" i="3"/>
  <c r="H131" i="3"/>
  <c r="H143" i="3"/>
  <c r="H201" i="3"/>
  <c r="H46" i="3"/>
  <c r="H54" i="3"/>
  <c r="D44" i="1"/>
  <c r="D98" i="13"/>
  <c r="D224" i="13"/>
  <c r="D222" i="13" s="1"/>
  <c r="C173" i="4"/>
  <c r="F173" i="4" s="1"/>
  <c r="C189" i="5"/>
  <c r="C184" i="3" s="1"/>
  <c r="L184" i="3" s="1"/>
  <c r="F98" i="13"/>
  <c r="C187" i="4"/>
  <c r="H187" i="4" s="1"/>
  <c r="C196" i="5"/>
  <c r="E49" i="15"/>
  <c r="E45" i="15" s="1"/>
  <c r="E18" i="13"/>
  <c r="B13" i="23" s="1"/>
  <c r="E22" i="15"/>
  <c r="G22" i="15" s="1"/>
  <c r="Q22" i="15" s="1"/>
  <c r="I16" i="4"/>
  <c r="I17" i="5" s="1"/>
  <c r="C17" i="5" s="1"/>
  <c r="C15" i="3" s="1"/>
  <c r="R4" i="30"/>
  <c r="S4" i="30" s="1"/>
  <c r="E199" i="3"/>
  <c r="H95" i="3"/>
  <c r="Q44" i="1"/>
  <c r="G27" i="6"/>
  <c r="U44" i="1"/>
  <c r="O44" i="1"/>
  <c r="G44" i="1"/>
  <c r="H9" i="14"/>
  <c r="K9" i="14" s="1"/>
  <c r="M44" i="1"/>
  <c r="E44" i="1"/>
  <c r="L46" i="4"/>
  <c r="J46" i="4"/>
  <c r="D46" i="4" s="1"/>
  <c r="E175" i="3"/>
  <c r="D13" i="6"/>
  <c r="H72" i="3"/>
  <c r="C44" i="1"/>
  <c r="D17" i="2"/>
  <c r="D13" i="2"/>
  <c r="D18" i="2"/>
  <c r="D20" i="2"/>
  <c r="D21" i="2"/>
  <c r="H34" i="2"/>
  <c r="D31" i="2"/>
  <c r="D19" i="2"/>
  <c r="D15" i="2"/>
  <c r="D27" i="2"/>
  <c r="D25" i="2"/>
  <c r="D23" i="2"/>
  <c r="B27" i="6"/>
  <c r="D32" i="2"/>
  <c r="H32" i="2"/>
  <c r="D29" i="2"/>
  <c r="C205" i="13"/>
  <c r="G205" i="13" s="1"/>
  <c r="G159" i="13"/>
  <c r="D193" i="13"/>
  <c r="D16" i="13"/>
  <c r="C191" i="4"/>
  <c r="F191" i="4" s="1"/>
  <c r="D217" i="13"/>
  <c r="B117" i="21"/>
  <c r="B132" i="21" s="1"/>
  <c r="E34" i="9" s="1"/>
  <c r="C193" i="13"/>
  <c r="E217" i="13"/>
  <c r="G219" i="13"/>
  <c r="C91" i="13"/>
  <c r="F248" i="15"/>
  <c r="F229" i="15" s="1"/>
  <c r="C28" i="13"/>
  <c r="C108" i="13"/>
  <c r="G110" i="13"/>
  <c r="K245" i="5"/>
  <c r="K243" i="5" s="1"/>
  <c r="E119" i="13"/>
  <c r="G119" i="13" s="1"/>
  <c r="B69" i="23"/>
  <c r="E98" i="13"/>
  <c r="G158" i="5"/>
  <c r="K228" i="5"/>
  <c r="C228" i="5" s="1"/>
  <c r="C222" i="3" s="1"/>
  <c r="L222" i="3" s="1"/>
  <c r="D151" i="13"/>
  <c r="D156" i="13"/>
  <c r="D131" i="13"/>
  <c r="D188" i="13"/>
  <c r="D200" i="13"/>
  <c r="G183" i="13"/>
  <c r="G226" i="13"/>
  <c r="F17" i="15"/>
  <c r="F15" i="15" s="1"/>
  <c r="F9" i="15" s="1"/>
  <c r="M11" i="13" s="1"/>
  <c r="G227" i="13"/>
  <c r="C217" i="13"/>
  <c r="G185" i="13"/>
  <c r="C142" i="13"/>
  <c r="C36" i="13"/>
  <c r="C224" i="13"/>
  <c r="C222" i="13" s="1"/>
  <c r="C102" i="13"/>
  <c r="B143" i="21"/>
  <c r="B153" i="21" s="1"/>
  <c r="C131" i="13"/>
  <c r="D28" i="13"/>
  <c r="G112" i="13"/>
  <c r="C64" i="13"/>
  <c r="B76" i="21"/>
  <c r="C81" i="13"/>
  <c r="E238" i="5"/>
  <c r="G135" i="13"/>
  <c r="D57" i="13"/>
  <c r="K231" i="4"/>
  <c r="C138" i="13"/>
  <c r="D102" i="13"/>
  <c r="K242" i="4"/>
  <c r="K240" i="4" s="1"/>
  <c r="G32" i="13"/>
  <c r="D22" i="13"/>
  <c r="C45" i="13"/>
  <c r="D45" i="13"/>
  <c r="D36" i="13"/>
  <c r="G165" i="13"/>
  <c r="C192" i="4"/>
  <c r="J192" i="4" s="1"/>
  <c r="G179" i="4"/>
  <c r="K216" i="4"/>
  <c r="C142" i="4"/>
  <c r="F142" i="4" s="1"/>
  <c r="K238" i="5"/>
  <c r="F224" i="13"/>
  <c r="F222" i="13" s="1"/>
  <c r="K235" i="4"/>
  <c r="G235" i="4"/>
  <c r="G161" i="4"/>
  <c r="G223" i="4"/>
  <c r="K177" i="4"/>
  <c r="I179" i="4"/>
  <c r="C17" i="15"/>
  <c r="C15" i="15" s="1"/>
  <c r="J15" i="15" s="1"/>
  <c r="E123" i="13"/>
  <c r="I231" i="4"/>
  <c r="F22" i="13"/>
  <c r="L141" i="3"/>
  <c r="K100" i="4"/>
  <c r="G117" i="13"/>
  <c r="G146" i="13"/>
  <c r="G158" i="13"/>
  <c r="G100" i="4"/>
  <c r="C164" i="4"/>
  <c r="H164" i="4" s="1"/>
  <c r="F102" i="13"/>
  <c r="F108" i="13"/>
  <c r="G114" i="13"/>
  <c r="G116" i="13"/>
  <c r="G126" i="13"/>
  <c r="G190" i="13"/>
  <c r="G195" i="13"/>
  <c r="G202" i="13"/>
  <c r="F217" i="13"/>
  <c r="F36" i="13"/>
  <c r="G121" i="13"/>
  <c r="G59" i="13"/>
  <c r="C197" i="5"/>
  <c r="F81" i="13"/>
  <c r="F188" i="13"/>
  <c r="C220" i="4"/>
  <c r="L220" i="4" s="1"/>
  <c r="I161" i="4"/>
  <c r="F131" i="13"/>
  <c r="I161" i="5"/>
  <c r="I158" i="5" s="1"/>
  <c r="G133" i="13"/>
  <c r="G207" i="13"/>
  <c r="B88" i="24"/>
  <c r="G75" i="13"/>
  <c r="G215" i="13"/>
  <c r="F200" i="13"/>
  <c r="F72" i="13"/>
  <c r="G49" i="13"/>
  <c r="F193" i="13"/>
  <c r="F45" i="13"/>
  <c r="G161" i="13"/>
  <c r="G213" i="13"/>
  <c r="K141" i="5"/>
  <c r="C85" i="4"/>
  <c r="J85" i="4" s="1"/>
  <c r="C157" i="4"/>
  <c r="H157" i="4" s="1"/>
  <c r="C78" i="5"/>
  <c r="C76" i="3" s="1"/>
  <c r="L76" i="3" s="1"/>
  <c r="K97" i="5"/>
  <c r="I93" i="5"/>
  <c r="I91" i="5" s="1"/>
  <c r="G153" i="13"/>
  <c r="G83" i="13"/>
  <c r="G87" i="13"/>
  <c r="G144" i="13"/>
  <c r="B101" i="23"/>
  <c r="C159" i="4"/>
  <c r="H159" i="4" s="1"/>
  <c r="B94" i="23"/>
  <c r="G34" i="15"/>
  <c r="E177" i="13"/>
  <c r="E81" i="13"/>
  <c r="G94" i="13"/>
  <c r="C131" i="4"/>
  <c r="L131" i="4" s="1"/>
  <c r="C158" i="4"/>
  <c r="F158" i="4" s="1"/>
  <c r="G85" i="13"/>
  <c r="C132" i="4"/>
  <c r="H132" i="4" s="1"/>
  <c r="C200" i="4"/>
  <c r="F200" i="4" s="1"/>
  <c r="E161" i="4"/>
  <c r="G177" i="4"/>
  <c r="B76" i="23"/>
  <c r="E91" i="13"/>
  <c r="G19" i="13"/>
  <c r="E34" i="15"/>
  <c r="G220" i="13"/>
  <c r="C110" i="4"/>
  <c r="J110" i="4" s="1"/>
  <c r="G104" i="13"/>
  <c r="C81" i="4"/>
  <c r="F81" i="4" s="1"/>
  <c r="G134" i="13"/>
  <c r="E64" i="13"/>
  <c r="G62" i="13"/>
  <c r="G89" i="13"/>
  <c r="E100" i="4"/>
  <c r="G67" i="13"/>
  <c r="G216" i="4"/>
  <c r="G196" i="4"/>
  <c r="E151" i="13"/>
  <c r="E209" i="13"/>
  <c r="G209" i="13" s="1"/>
  <c r="C137" i="5"/>
  <c r="C135" i="3" s="1"/>
  <c r="L135" i="3" s="1"/>
  <c r="E94" i="4"/>
  <c r="E177" i="4"/>
  <c r="C140" i="4"/>
  <c r="F140" i="4" s="1"/>
  <c r="C188" i="4"/>
  <c r="F188" i="4" s="1"/>
  <c r="C105" i="5"/>
  <c r="C103" i="3" s="1"/>
  <c r="L103" i="3" s="1"/>
  <c r="E87" i="4"/>
  <c r="C100" i="5"/>
  <c r="C98" i="3" s="1"/>
  <c r="L98" i="3" s="1"/>
  <c r="E245" i="5"/>
  <c r="E243" i="5" s="1"/>
  <c r="G194" i="15"/>
  <c r="E223" i="4"/>
  <c r="C36" i="4"/>
  <c r="H36" i="4" s="1"/>
  <c r="C80" i="4"/>
  <c r="H80" i="4" s="1"/>
  <c r="C108" i="4"/>
  <c r="H108" i="4" s="1"/>
  <c r="G118" i="4"/>
  <c r="C53" i="4"/>
  <c r="F53" i="4" s="1"/>
  <c r="C74" i="4"/>
  <c r="H74" i="4" s="1"/>
  <c r="C68" i="4"/>
  <c r="L68" i="4" s="1"/>
  <c r="C73" i="4"/>
  <c r="H73" i="4" s="1"/>
  <c r="C80" i="5"/>
  <c r="C78" i="3" s="1"/>
  <c r="L78" i="3" s="1"/>
  <c r="C79" i="4"/>
  <c r="L79" i="4" s="1"/>
  <c r="K66" i="4"/>
  <c r="F134" i="15"/>
  <c r="C55" i="4"/>
  <c r="H55" i="4" s="1"/>
  <c r="C125" i="5"/>
  <c r="C123" i="3" s="1"/>
  <c r="L123" i="3" s="1"/>
  <c r="D81" i="13"/>
  <c r="C114" i="4"/>
  <c r="F114" i="4" s="1"/>
  <c r="C62" i="4"/>
  <c r="L62" i="4" s="1"/>
  <c r="C123" i="4"/>
  <c r="L123" i="4" s="1"/>
  <c r="C172" i="5"/>
  <c r="C167" i="3" s="1"/>
  <c r="L167" i="3" s="1"/>
  <c r="C203" i="5"/>
  <c r="C197" i="3" s="1"/>
  <c r="L197" i="3" s="1"/>
  <c r="I238" i="5"/>
  <c r="F64" i="13"/>
  <c r="C99" i="5"/>
  <c r="C97" i="3" s="1"/>
  <c r="L97" i="3" s="1"/>
  <c r="E97" i="5"/>
  <c r="C175" i="4"/>
  <c r="H175" i="4" s="1"/>
  <c r="G30" i="13"/>
  <c r="C71" i="4"/>
  <c r="J71" i="4" s="1"/>
  <c r="C70" i="5"/>
  <c r="C68" i="3" s="1"/>
  <c r="L68" i="3" s="1"/>
  <c r="G73" i="15"/>
  <c r="D155" i="15"/>
  <c r="C190" i="4"/>
  <c r="J190" i="4" s="1"/>
  <c r="C127" i="4"/>
  <c r="H127" i="4" s="1"/>
  <c r="C69" i="5"/>
  <c r="C67" i="3" s="1"/>
  <c r="L67" i="3" s="1"/>
  <c r="C210" i="4"/>
  <c r="J210" i="4" s="1"/>
  <c r="C171" i="5"/>
  <c r="C166" i="3" s="1"/>
  <c r="L166" i="3" s="1"/>
  <c r="C61" i="4"/>
  <c r="J61" i="4" s="1"/>
  <c r="C19" i="4"/>
  <c r="L19" i="4" s="1"/>
  <c r="C225" i="4"/>
  <c r="H225" i="4" s="1"/>
  <c r="E185" i="4"/>
  <c r="C213" i="5"/>
  <c r="C207" i="3" s="1"/>
  <c r="L207" i="3" s="1"/>
  <c r="E178" i="5"/>
  <c r="E176" i="5" s="1"/>
  <c r="E174" i="5" s="1"/>
  <c r="G20" i="13"/>
  <c r="E28" i="13"/>
  <c r="C189" i="4"/>
  <c r="J189" i="4" s="1"/>
  <c r="I100" i="4"/>
  <c r="C108" i="5"/>
  <c r="C106" i="3" s="1"/>
  <c r="L106" i="3" s="1"/>
  <c r="C188" i="3"/>
  <c r="G95" i="13"/>
  <c r="C163" i="4"/>
  <c r="F163" i="4" s="1"/>
  <c r="C97" i="4"/>
  <c r="L97" i="4" s="1"/>
  <c r="K125" i="4"/>
  <c r="C64" i="4"/>
  <c r="J64" i="4" s="1"/>
  <c r="C102" i="4"/>
  <c r="F102" i="4" s="1"/>
  <c r="G126" i="15"/>
  <c r="G50" i="4"/>
  <c r="G25" i="13"/>
  <c r="C27" i="4"/>
  <c r="F27" i="4" s="1"/>
  <c r="C154" i="4"/>
  <c r="H154" i="4" s="1"/>
  <c r="G164" i="13"/>
  <c r="C82" i="4"/>
  <c r="H82" i="4" s="1"/>
  <c r="I125" i="4"/>
  <c r="C238" i="3"/>
  <c r="G48" i="5"/>
  <c r="I219" i="5"/>
  <c r="C122" i="4"/>
  <c r="L122" i="4" s="1"/>
  <c r="C212" i="4"/>
  <c r="J212" i="4" s="1"/>
  <c r="D76" i="15"/>
  <c r="E22" i="13"/>
  <c r="C188" i="13"/>
  <c r="G196" i="13"/>
  <c r="E158" i="5"/>
  <c r="G166" i="15"/>
  <c r="C71" i="5"/>
  <c r="C69" i="3" s="1"/>
  <c r="L69" i="3" s="1"/>
  <c r="C156" i="5"/>
  <c r="C151" i="3" s="1"/>
  <c r="L151" i="3" s="1"/>
  <c r="C154" i="5"/>
  <c r="C149" i="3" s="1"/>
  <c r="L149" i="3" s="1"/>
  <c r="G68" i="13"/>
  <c r="G163" i="13"/>
  <c r="C166" i="5"/>
  <c r="C161" i="3" s="1"/>
  <c r="L161" i="3" s="1"/>
  <c r="G226" i="5"/>
  <c r="C95" i="15"/>
  <c r="C134" i="15"/>
  <c r="C118" i="5"/>
  <c r="C116" i="3" s="1"/>
  <c r="L116" i="3" s="1"/>
  <c r="G105" i="13"/>
  <c r="G162" i="13"/>
  <c r="G196" i="15"/>
  <c r="C63" i="4"/>
  <c r="J63" i="4" s="1"/>
  <c r="G151" i="4"/>
  <c r="G53" i="13"/>
  <c r="C151" i="13"/>
  <c r="C170" i="5"/>
  <c r="C165" i="3" s="1"/>
  <c r="L165" i="3" s="1"/>
  <c r="G100" i="15"/>
  <c r="G114" i="15"/>
  <c r="G125" i="15"/>
  <c r="G142" i="15"/>
  <c r="D188" i="15"/>
  <c r="C25" i="5"/>
  <c r="C23" i="3" s="1"/>
  <c r="L23" i="3" s="1"/>
  <c r="G147" i="13"/>
  <c r="G149" i="13"/>
  <c r="D140" i="15"/>
  <c r="E155" i="15"/>
  <c r="F163" i="15"/>
  <c r="F188" i="15"/>
  <c r="C69" i="4"/>
  <c r="J69" i="4" s="1"/>
  <c r="E193" i="5"/>
  <c r="I193" i="5"/>
  <c r="D123" i="13"/>
  <c r="C58" i="5"/>
  <c r="C56" i="3" s="1"/>
  <c r="L56" i="3" s="1"/>
  <c r="C140" i="15"/>
  <c r="F76" i="15"/>
  <c r="F112" i="15"/>
  <c r="I245" i="5"/>
  <c r="I243" i="5" s="1"/>
  <c r="E229" i="15"/>
  <c r="C36" i="5"/>
  <c r="C34" i="3" s="1"/>
  <c r="L34" i="3" s="1"/>
  <c r="G212" i="15"/>
  <c r="C208" i="4"/>
  <c r="H208" i="4" s="1"/>
  <c r="C209" i="5"/>
  <c r="C203" i="3" s="1"/>
  <c r="L203" i="3" s="1"/>
  <c r="C222" i="5"/>
  <c r="C216" i="3" s="1"/>
  <c r="L216" i="3" s="1"/>
  <c r="C231" i="5"/>
  <c r="C225" i="3" s="1"/>
  <c r="L225" i="3" s="1"/>
  <c r="C110" i="5"/>
  <c r="C108" i="3" s="1"/>
  <c r="L108" i="3" s="1"/>
  <c r="C129" i="5"/>
  <c r="C127" i="3" s="1"/>
  <c r="L127" i="3" s="1"/>
  <c r="K148" i="5"/>
  <c r="K185" i="4"/>
  <c r="C112" i="4"/>
  <c r="J112" i="4" s="1"/>
  <c r="K178" i="5"/>
  <c r="K176" i="5" s="1"/>
  <c r="K174" i="5" s="1"/>
  <c r="G41" i="13"/>
  <c r="C20" i="4"/>
  <c r="L20" i="4" s="1"/>
  <c r="C20" i="5"/>
  <c r="C18" i="3" s="1"/>
  <c r="L18" i="3" s="1"/>
  <c r="E144" i="4"/>
  <c r="E156" i="13"/>
  <c r="I185" i="4"/>
  <c r="C91" i="4"/>
  <c r="H91" i="4" s="1"/>
  <c r="G70" i="13"/>
  <c r="C219" i="4"/>
  <c r="H219" i="4" s="1"/>
  <c r="D72" i="13"/>
  <c r="E138" i="13"/>
  <c r="G48" i="13"/>
  <c r="G211" i="13"/>
  <c r="G191" i="13"/>
  <c r="C83" i="4"/>
  <c r="H83" i="4" s="1"/>
  <c r="E102" i="13"/>
  <c r="C86" i="5"/>
  <c r="C84" i="3" s="1"/>
  <c r="L84" i="3" s="1"/>
  <c r="C16" i="13"/>
  <c r="G55" i="15"/>
  <c r="G147" i="15"/>
  <c r="G159" i="15"/>
  <c r="G157" i="15"/>
  <c r="I144" i="4"/>
  <c r="C237" i="4"/>
  <c r="L237" i="4" s="1"/>
  <c r="E72" i="13"/>
  <c r="C109" i="5"/>
  <c r="C107" i="3" s="1"/>
  <c r="L107" i="3" s="1"/>
  <c r="G169" i="13"/>
  <c r="G167" i="13" s="1"/>
  <c r="I242" i="4"/>
  <c r="I240" i="4" s="1"/>
  <c r="C121" i="4"/>
  <c r="L121" i="4" s="1"/>
  <c r="G31" i="13"/>
  <c r="E229" i="5"/>
  <c r="C229" i="5" s="1"/>
  <c r="C223" i="3" s="1"/>
  <c r="L223" i="3" s="1"/>
  <c r="G203" i="13"/>
  <c r="E216" i="4"/>
  <c r="B159" i="21"/>
  <c r="B165" i="21" s="1"/>
  <c r="G113" i="13"/>
  <c r="G66" i="13"/>
  <c r="C111" i="4"/>
  <c r="H111" i="4" s="1"/>
  <c r="C149" i="4"/>
  <c r="L149" i="4" s="1"/>
  <c r="E142" i="13"/>
  <c r="G58" i="4"/>
  <c r="I223" i="4"/>
  <c r="G60" i="13"/>
  <c r="G160" i="13"/>
  <c r="I118" i="4"/>
  <c r="G140" i="13"/>
  <c r="B41" i="24"/>
  <c r="C171" i="4"/>
  <c r="F171" i="4" s="1"/>
  <c r="C194" i="4"/>
  <c r="F194" i="4" s="1"/>
  <c r="I66" i="4"/>
  <c r="C129" i="4"/>
  <c r="L129" i="4" s="1"/>
  <c r="C226" i="4"/>
  <c r="J226" i="4" s="1"/>
  <c r="D142" i="13"/>
  <c r="G185" i="4"/>
  <c r="C78" i="4"/>
  <c r="L78" i="4" s="1"/>
  <c r="G125" i="13"/>
  <c r="G145" i="13"/>
  <c r="G26" i="13"/>
  <c r="G182" i="13"/>
  <c r="G39" i="13"/>
  <c r="C200" i="13"/>
  <c r="G111" i="13"/>
  <c r="C96" i="4"/>
  <c r="F96" i="4" s="1"/>
  <c r="C195" i="5"/>
  <c r="C52" i="4"/>
  <c r="J52" i="4" s="1"/>
  <c r="G43" i="13"/>
  <c r="E131" i="13"/>
  <c r="F28" i="13"/>
  <c r="E208" i="15"/>
  <c r="E206" i="15" s="1"/>
  <c r="K136" i="4"/>
  <c r="E148" i="5"/>
  <c r="C155" i="5"/>
  <c r="C150" i="3" s="1"/>
  <c r="L150" i="3" s="1"/>
  <c r="E196" i="4"/>
  <c r="K199" i="5"/>
  <c r="E204" i="4"/>
  <c r="C209" i="4"/>
  <c r="J209" i="4" s="1"/>
  <c r="E14" i="4"/>
  <c r="G93" i="15"/>
  <c r="G251" i="15"/>
  <c r="G19" i="15"/>
  <c r="F16" i="13"/>
  <c r="G184" i="13"/>
  <c r="C153" i="4"/>
  <c r="J153" i="4" s="1"/>
  <c r="C109" i="4"/>
  <c r="F109" i="4" s="1"/>
  <c r="G84" i="13"/>
  <c r="C24" i="4"/>
  <c r="H24" i="4" s="1"/>
  <c r="I50" i="4"/>
  <c r="G106" i="4"/>
  <c r="G20" i="15"/>
  <c r="K87" i="4"/>
  <c r="C42" i="4"/>
  <c r="H42" i="4" s="1"/>
  <c r="C229" i="4"/>
  <c r="F229" i="4" s="1"/>
  <c r="F156" i="13"/>
  <c r="C211" i="4"/>
  <c r="L211" i="4" s="1"/>
  <c r="G61" i="13"/>
  <c r="G171" i="13"/>
  <c r="C123" i="13"/>
  <c r="G77" i="13"/>
  <c r="G167" i="15"/>
  <c r="E108" i="13"/>
  <c r="D108" i="13"/>
  <c r="G150" i="5"/>
  <c r="C150" i="5" s="1"/>
  <c r="C145" i="3" s="1"/>
  <c r="L145" i="3" s="1"/>
  <c r="C244" i="4"/>
  <c r="J244" i="4" s="1"/>
  <c r="E76" i="4"/>
  <c r="F57" i="13"/>
  <c r="K144" i="4"/>
  <c r="B53" i="22"/>
  <c r="B81" i="22" s="1"/>
  <c r="C128" i="4"/>
  <c r="J128" i="4" s="1"/>
  <c r="E211" i="5"/>
  <c r="C113" i="4"/>
  <c r="L113" i="4" s="1"/>
  <c r="E120" i="5"/>
  <c r="C120" i="5" s="1"/>
  <c r="C118" i="3" s="1"/>
  <c r="L118" i="3" s="1"/>
  <c r="I151" i="4"/>
  <c r="C206" i="4"/>
  <c r="L206" i="4" s="1"/>
  <c r="G154" i="13"/>
  <c r="G79" i="13"/>
  <c r="G93" i="5"/>
  <c r="G91" i="5" s="1"/>
  <c r="G74" i="15"/>
  <c r="G148" i="15"/>
  <c r="G201" i="15"/>
  <c r="G199" i="15" s="1"/>
  <c r="C103" i="4"/>
  <c r="H103" i="4" s="1"/>
  <c r="C181" i="4"/>
  <c r="L181" i="4" s="1"/>
  <c r="I196" i="4"/>
  <c r="G186" i="13"/>
  <c r="C57" i="13"/>
  <c r="K151" i="4"/>
  <c r="L191" i="3"/>
  <c r="C151" i="5"/>
  <c r="C146" i="3" s="1"/>
  <c r="L146" i="3" s="1"/>
  <c r="C89" i="4"/>
  <c r="J89" i="4" s="1"/>
  <c r="G93" i="13"/>
  <c r="G127" i="13"/>
  <c r="C228" i="4"/>
  <c r="J228" i="4" s="1"/>
  <c r="I76" i="4"/>
  <c r="C156" i="4"/>
  <c r="F156" i="4" s="1"/>
  <c r="B97" i="21"/>
  <c r="D91" i="13"/>
  <c r="I235" i="4"/>
  <c r="I136" i="4"/>
  <c r="B43" i="23"/>
  <c r="G63" i="15"/>
  <c r="G78" i="15"/>
  <c r="G50" i="15"/>
  <c r="G79" i="15"/>
  <c r="G101" i="15"/>
  <c r="G143" i="15"/>
  <c r="D163" i="15"/>
  <c r="C168" i="4"/>
  <c r="E242" i="4"/>
  <c r="E240" i="4" s="1"/>
  <c r="G96" i="13"/>
  <c r="C123" i="15"/>
  <c r="C174" i="4"/>
  <c r="H174" i="4" s="1"/>
  <c r="G203" i="15"/>
  <c r="H203" i="15" s="1"/>
  <c r="C84" i="4"/>
  <c r="H84" i="4" s="1"/>
  <c r="I199" i="5"/>
  <c r="E166" i="4"/>
  <c r="G180" i="13"/>
  <c r="I74" i="5"/>
  <c r="C92" i="4"/>
  <c r="C95" i="5"/>
  <c r="C93" i="3" s="1"/>
  <c r="L93" i="3" s="1"/>
  <c r="G106" i="13"/>
  <c r="K118" i="4"/>
  <c r="I34" i="4"/>
  <c r="D177" i="13"/>
  <c r="I148" i="5"/>
  <c r="G212" i="5"/>
  <c r="C177" i="13"/>
  <c r="C240" i="15"/>
  <c r="G242" i="15"/>
  <c r="G240" i="15" s="1"/>
  <c r="K22" i="5"/>
  <c r="K15" i="5" s="1"/>
  <c r="K14" i="4"/>
  <c r="I139" i="5"/>
  <c r="C139" i="5" s="1"/>
  <c r="C137" i="3" s="1"/>
  <c r="L137" i="3" s="1"/>
  <c r="E145" i="5"/>
  <c r="C145" i="5" s="1"/>
  <c r="C148" i="4"/>
  <c r="H148" i="4" s="1"/>
  <c r="B13" i="24"/>
  <c r="B34" i="24" s="1"/>
  <c r="E36" i="16" s="1"/>
  <c r="C25" i="4"/>
  <c r="H25" i="4" s="1"/>
  <c r="G211" i="15"/>
  <c r="C141" i="4"/>
  <c r="J141" i="4" s="1"/>
  <c r="G178" i="15"/>
  <c r="G174" i="15" s="1"/>
  <c r="E214" i="5"/>
  <c r="C138" i="5"/>
  <c r="C136" i="3" s="1"/>
  <c r="L136" i="3" s="1"/>
  <c r="C31" i="4"/>
  <c r="J31" i="4" s="1"/>
  <c r="K196" i="4"/>
  <c r="I106" i="4"/>
  <c r="C116" i="4"/>
  <c r="J116" i="4" s="1"/>
  <c r="C21" i="4"/>
  <c r="L21" i="4" s="1"/>
  <c r="G236" i="5"/>
  <c r="G149" i="15"/>
  <c r="C163" i="15"/>
  <c r="G193" i="15"/>
  <c r="G213" i="15"/>
  <c r="G51" i="15"/>
  <c r="F59" i="15"/>
  <c r="I54" i="5"/>
  <c r="C54" i="5" s="1"/>
  <c r="C52" i="3" s="1"/>
  <c r="L52" i="3" s="1"/>
  <c r="C56" i="4"/>
  <c r="F56" i="4" s="1"/>
  <c r="E52" i="5"/>
  <c r="C52" i="5" s="1"/>
  <c r="C50" i="3" s="1"/>
  <c r="L50" i="3" s="1"/>
  <c r="C54" i="4"/>
  <c r="I216" i="4"/>
  <c r="E236" i="5"/>
  <c r="E234" i="5" s="1"/>
  <c r="E231" i="4"/>
  <c r="C233" i="4"/>
  <c r="H233" i="4" s="1"/>
  <c r="G47" i="13"/>
  <c r="E200" i="13"/>
  <c r="B162" i="23"/>
  <c r="B166" i="23" s="1"/>
  <c r="E127" i="5"/>
  <c r="E122" i="5" s="1"/>
  <c r="E125" i="4"/>
  <c r="K210" i="5"/>
  <c r="C210" i="5" s="1"/>
  <c r="C204" i="3" s="1"/>
  <c r="L204" i="3" s="1"/>
  <c r="C207" i="4"/>
  <c r="L207" i="4" s="1"/>
  <c r="K204" i="4"/>
  <c r="B48" i="21"/>
  <c r="G76" i="13"/>
  <c r="B50" i="21"/>
  <c r="G78" i="13"/>
  <c r="F177" i="13"/>
  <c r="I89" i="5"/>
  <c r="I84" i="5" s="1"/>
  <c r="C155" i="4"/>
  <c r="F155" i="4" s="1"/>
  <c r="K136" i="5"/>
  <c r="C72" i="13"/>
  <c r="G40" i="13"/>
  <c r="C90" i="4"/>
  <c r="H90" i="4" s="1"/>
  <c r="G87" i="4"/>
  <c r="G74" i="13"/>
  <c r="G144" i="4"/>
  <c r="C120" i="4"/>
  <c r="F120" i="4" s="1"/>
  <c r="C59" i="15"/>
  <c r="G21" i="5"/>
  <c r="C21" i="5" s="1"/>
  <c r="C19" i="3" s="1"/>
  <c r="L19" i="3" s="1"/>
  <c r="G29" i="5"/>
  <c r="C29" i="5" s="1"/>
  <c r="C27" i="3" s="1"/>
  <c r="L27" i="3" s="1"/>
  <c r="C28" i="4"/>
  <c r="H28" i="4" s="1"/>
  <c r="E136" i="5"/>
  <c r="C139" i="4"/>
  <c r="F139" i="4" s="1"/>
  <c r="E136" i="4"/>
  <c r="B31" i="23"/>
  <c r="E45" i="13"/>
  <c r="K217" i="5"/>
  <c r="C217" i="5" s="1"/>
  <c r="C211" i="3" s="1"/>
  <c r="L211" i="3" s="1"/>
  <c r="C214" i="4"/>
  <c r="J214" i="4" s="1"/>
  <c r="G248" i="5"/>
  <c r="G245" i="5" s="1"/>
  <c r="G243" i="5" s="1"/>
  <c r="G242" i="4"/>
  <c r="G240" i="4" s="1"/>
  <c r="E30" i="5"/>
  <c r="C30" i="5" s="1"/>
  <c r="C28" i="3" s="1"/>
  <c r="L28" i="3" s="1"/>
  <c r="C29" i="4"/>
  <c r="D17" i="15"/>
  <c r="D15" i="15" s="1"/>
  <c r="K15" i="15" s="1"/>
  <c r="I58" i="4"/>
  <c r="K76" i="4"/>
  <c r="I122" i="5"/>
  <c r="E151" i="4"/>
  <c r="G18" i="15"/>
  <c r="G163" i="5"/>
  <c r="G181" i="13"/>
  <c r="G42" i="13"/>
  <c r="E36" i="13"/>
  <c r="F123" i="15"/>
  <c r="K79" i="5"/>
  <c r="K74" i="5" s="1"/>
  <c r="E117" i="5"/>
  <c r="C117" i="5" s="1"/>
  <c r="C115" i="3" s="1"/>
  <c r="L115" i="3" s="1"/>
  <c r="E118" i="4"/>
  <c r="G119" i="5"/>
  <c r="C119" i="5" s="1"/>
  <c r="C117" i="3" s="1"/>
  <c r="L117" i="3" s="1"/>
  <c r="G201" i="5"/>
  <c r="G199" i="5" s="1"/>
  <c r="C198" i="4"/>
  <c r="H198" i="4" s="1"/>
  <c r="G214" i="5"/>
  <c r="G221" i="5"/>
  <c r="C221" i="5" s="1"/>
  <c r="C215" i="3" s="1"/>
  <c r="L215" i="3" s="1"/>
  <c r="C218" i="4"/>
  <c r="J218" i="4" s="1"/>
  <c r="B87" i="24"/>
  <c r="G136" i="13"/>
  <c r="B89" i="24"/>
  <c r="F142" i="13"/>
  <c r="B96" i="23"/>
  <c r="G148" i="13"/>
  <c r="B98" i="21"/>
  <c r="C156" i="13"/>
  <c r="G37" i="5"/>
  <c r="C37" i="5" s="1"/>
  <c r="C35" i="3" s="1"/>
  <c r="L35" i="3" s="1"/>
  <c r="I18" i="5"/>
  <c r="C18" i="5" s="1"/>
  <c r="C16" i="3" s="1"/>
  <c r="L16" i="3" s="1"/>
  <c r="C17" i="4"/>
  <c r="L17" i="4" s="1"/>
  <c r="I33" i="5"/>
  <c r="C33" i="5" s="1"/>
  <c r="C31" i="3" s="1"/>
  <c r="L31" i="3" s="1"/>
  <c r="C32" i="4"/>
  <c r="H32" i="4" s="1"/>
  <c r="G241" i="5"/>
  <c r="C241" i="5" s="1"/>
  <c r="C236" i="3" s="1"/>
  <c r="L236" i="3" s="1"/>
  <c r="C238" i="4"/>
  <c r="H238" i="4" s="1"/>
  <c r="E74" i="5"/>
  <c r="C245" i="4"/>
  <c r="J245" i="4" s="1"/>
  <c r="G34" i="13"/>
  <c r="D64" i="13"/>
  <c r="G179" i="13"/>
  <c r="E67" i="15"/>
  <c r="K59" i="5"/>
  <c r="C59" i="5" s="1"/>
  <c r="C57" i="3" s="1"/>
  <c r="L57" i="3" s="1"/>
  <c r="K58" i="4"/>
  <c r="K94" i="4"/>
  <c r="K93" i="5"/>
  <c r="K91" i="5" s="1"/>
  <c r="G101" i="5"/>
  <c r="G97" i="5" s="1"/>
  <c r="C104" i="4"/>
  <c r="J104" i="4" s="1"/>
  <c r="E106" i="5"/>
  <c r="E103" i="5" s="1"/>
  <c r="E106" i="4"/>
  <c r="G111" i="5"/>
  <c r="C111" i="5" s="1"/>
  <c r="C109" i="3" s="1"/>
  <c r="L109" i="3" s="1"/>
  <c r="K160" i="5"/>
  <c r="K158" i="5" s="1"/>
  <c r="K161" i="4"/>
  <c r="B22" i="22"/>
  <c r="B34" i="22" s="1"/>
  <c r="G33" i="13"/>
  <c r="B61" i="24"/>
  <c r="F91" i="13"/>
  <c r="B73" i="21"/>
  <c r="G115" i="13"/>
  <c r="G86" i="13"/>
  <c r="B58" i="21"/>
  <c r="G88" i="13"/>
  <c r="C44" i="4"/>
  <c r="E44" i="5"/>
  <c r="C44" i="5" s="1"/>
  <c r="C42" i="3" s="1"/>
  <c r="L42" i="3" s="1"/>
  <c r="C87" i="5"/>
  <c r="C85" i="3" s="1"/>
  <c r="L85" i="3" s="1"/>
  <c r="I87" i="4"/>
  <c r="B16" i="23"/>
  <c r="G24" i="13"/>
  <c r="C98" i="4"/>
  <c r="F98" i="4" s="1"/>
  <c r="K115" i="5"/>
  <c r="K106" i="4"/>
  <c r="G153" i="15"/>
  <c r="G151" i="15" s="1"/>
  <c r="I178" i="5"/>
  <c r="I176" i="5" s="1"/>
  <c r="I174" i="5" s="1"/>
  <c r="I34" i="5"/>
  <c r="C165" i="5"/>
  <c r="C160" i="3" s="1"/>
  <c r="L160" i="3" s="1"/>
  <c r="I204" i="4"/>
  <c r="G204" i="4"/>
  <c r="G80" i="15"/>
  <c r="G116" i="15"/>
  <c r="G127" i="15"/>
  <c r="C155" i="15"/>
  <c r="C37" i="4"/>
  <c r="L37" i="4" s="1"/>
  <c r="K50" i="5"/>
  <c r="C50" i="5" s="1"/>
  <c r="C48" i="3" s="1"/>
  <c r="L48" i="3" s="1"/>
  <c r="K50" i="4"/>
  <c r="I72" i="5"/>
  <c r="C72" i="5" s="1"/>
  <c r="G76" i="5"/>
  <c r="C76" i="5" s="1"/>
  <c r="C74" i="3" s="1"/>
  <c r="L74" i="3" s="1"/>
  <c r="G76" i="4"/>
  <c r="C98" i="13"/>
  <c r="G100" i="13"/>
  <c r="C28" i="5"/>
  <c r="C26" i="3" s="1"/>
  <c r="L26" i="3" s="1"/>
  <c r="C128" i="5"/>
  <c r="C126" i="3" s="1"/>
  <c r="L126" i="3" s="1"/>
  <c r="C247" i="5"/>
  <c r="K64" i="5"/>
  <c r="C186" i="5"/>
  <c r="C181" i="3" s="1"/>
  <c r="L181" i="3" s="1"/>
  <c r="C107" i="5"/>
  <c r="C105" i="3" s="1"/>
  <c r="L105" i="3" s="1"/>
  <c r="M1698" i="30"/>
  <c r="C23" i="5"/>
  <c r="C21" i="3" s="1"/>
  <c r="L21" i="3" s="1"/>
  <c r="G141" i="5"/>
  <c r="G97" i="15"/>
  <c r="G99" i="15"/>
  <c r="E103" i="15"/>
  <c r="G110" i="15"/>
  <c r="E112" i="15"/>
  <c r="F123" i="13"/>
  <c r="E224" i="13"/>
  <c r="E222" i="13" s="1"/>
  <c r="I56" i="5"/>
  <c r="C126" i="5"/>
  <c r="C124" i="3" s="1"/>
  <c r="L124" i="3" s="1"/>
  <c r="C60" i="4"/>
  <c r="H60" i="4" s="1"/>
  <c r="C184" i="5"/>
  <c r="C179" i="3" s="1"/>
  <c r="L179" i="3" s="1"/>
  <c r="C22" i="4"/>
  <c r="J22" i="4" s="1"/>
  <c r="G137" i="15"/>
  <c r="F140" i="15"/>
  <c r="C26" i="5"/>
  <c r="C24" i="3" s="1"/>
  <c r="L24" i="3" s="1"/>
  <c r="C82" i="5"/>
  <c r="C80" i="3" s="1"/>
  <c r="L80" i="3" s="1"/>
  <c r="C124" i="5"/>
  <c r="C122" i="3" s="1"/>
  <c r="L122" i="3" s="1"/>
  <c r="E163" i="5"/>
  <c r="K219" i="5"/>
  <c r="G250" i="15"/>
  <c r="C248" i="15"/>
  <c r="C77" i="5"/>
  <c r="C75" i="3" s="1"/>
  <c r="L75" i="3" s="1"/>
  <c r="C51" i="5"/>
  <c r="C49" i="3" s="1"/>
  <c r="L49" i="3" s="1"/>
  <c r="G145" i="15"/>
  <c r="C223" i="5"/>
  <c r="C217" i="3" s="1"/>
  <c r="L217" i="3" s="1"/>
  <c r="B120" i="22"/>
  <c r="D229" i="15"/>
  <c r="E58" i="4"/>
  <c r="K103" i="5"/>
  <c r="C215" i="5"/>
  <c r="C209" i="3" s="1"/>
  <c r="L209" i="3" s="1"/>
  <c r="F47" i="15"/>
  <c r="E53" i="15"/>
  <c r="G62" i="15"/>
  <c r="E188" i="15"/>
  <c r="G195" i="15"/>
  <c r="G197" i="15"/>
  <c r="D208" i="15"/>
  <c r="G214" i="15"/>
  <c r="C62" i="5"/>
  <c r="C60" i="3" s="1"/>
  <c r="L60" i="3" s="1"/>
  <c r="K182" i="5"/>
  <c r="G84" i="5"/>
  <c r="D45" i="15"/>
  <c r="F68" i="15"/>
  <c r="D112" i="15"/>
  <c r="G121" i="15"/>
  <c r="F155" i="15"/>
  <c r="C153" i="5"/>
  <c r="C148" i="3" s="1"/>
  <c r="L148" i="3" s="1"/>
  <c r="C22" i="13"/>
  <c r="C188" i="5"/>
  <c r="C183" i="3" s="1"/>
  <c r="L183" i="3" s="1"/>
  <c r="E219" i="5"/>
  <c r="I103" i="5"/>
  <c r="G57" i="15"/>
  <c r="G72" i="15"/>
  <c r="G119" i="15"/>
  <c r="C152" i="5"/>
  <c r="C185" i="5"/>
  <c r="C180" i="3" s="1"/>
  <c r="L180" i="3" s="1"/>
  <c r="G14" i="4"/>
  <c r="C68" i="15"/>
  <c r="F208" i="15"/>
  <c r="F206" i="15" s="1"/>
  <c r="G105" i="15"/>
  <c r="E134" i="15"/>
  <c r="G138" i="15"/>
  <c r="C30" i="4"/>
  <c r="D67" i="15"/>
  <c r="D68" i="15"/>
  <c r="G39" i="5"/>
  <c r="C39" i="5" s="1"/>
  <c r="C37" i="3" s="1"/>
  <c r="L37" i="3" s="1"/>
  <c r="C39" i="4"/>
  <c r="H39" i="4" s="1"/>
  <c r="E61" i="5"/>
  <c r="E38" i="5"/>
  <c r="C38" i="5" s="1"/>
  <c r="C36" i="3" s="1"/>
  <c r="L36" i="3" s="1"/>
  <c r="C38" i="4"/>
  <c r="F38" i="4" s="1"/>
  <c r="K122" i="5"/>
  <c r="C45" i="15"/>
  <c r="I31" i="5"/>
  <c r="C31" i="5" s="1"/>
  <c r="C94" i="5"/>
  <c r="C92" i="3" s="1"/>
  <c r="L92" i="3" s="1"/>
  <c r="L173" i="4"/>
  <c r="C103" i="15"/>
  <c r="G108" i="15"/>
  <c r="C188" i="15"/>
  <c r="G132" i="15"/>
  <c r="G130" i="15" s="1"/>
  <c r="I207" i="5"/>
  <c r="E182" i="5"/>
  <c r="C187" i="5"/>
  <c r="C182" i="3" s="1"/>
  <c r="C42" i="5"/>
  <c r="C40" i="3" s="1"/>
  <c r="L40" i="3" s="1"/>
  <c r="E53" i="5"/>
  <c r="E50" i="4"/>
  <c r="C47" i="15"/>
  <c r="C76" i="15"/>
  <c r="G19" i="5"/>
  <c r="C19" i="5" s="1"/>
  <c r="C18" i="4"/>
  <c r="C113" i="5"/>
  <c r="C111" i="3" s="1"/>
  <c r="L111" i="3" s="1"/>
  <c r="G65" i="15"/>
  <c r="D47" i="15"/>
  <c r="E68" i="15"/>
  <c r="F88" i="15"/>
  <c r="D95" i="15"/>
  <c r="D123" i="15"/>
  <c r="B34" i="21"/>
  <c r="E32" i="9" s="1"/>
  <c r="E35" i="5"/>
  <c r="C35" i="4"/>
  <c r="I182" i="5"/>
  <c r="C53" i="15"/>
  <c r="C67" i="15"/>
  <c r="G106" i="15"/>
  <c r="G117" i="15"/>
  <c r="G128" i="15"/>
  <c r="G146" i="15"/>
  <c r="G158" i="15"/>
  <c r="G191" i="15"/>
  <c r="C208" i="15"/>
  <c r="C206" i="15" s="1"/>
  <c r="G238" i="15"/>
  <c r="G236" i="15" s="1"/>
  <c r="E76" i="15"/>
  <c r="F95" i="15"/>
  <c r="D103" i="15"/>
  <c r="F103" i="15"/>
  <c r="G115" i="15"/>
  <c r="G118" i="15"/>
  <c r="G120" i="15"/>
  <c r="E123" i="15"/>
  <c r="C81" i="5"/>
  <c r="C79" i="3" s="1"/>
  <c r="L79" i="3" s="1"/>
  <c r="C167" i="5"/>
  <c r="C162" i="3" s="1"/>
  <c r="L162" i="3" s="1"/>
  <c r="K34" i="4"/>
  <c r="I97" i="5"/>
  <c r="C146" i="5"/>
  <c r="E84" i="5"/>
  <c r="E88" i="15"/>
  <c r="G190" i="15"/>
  <c r="G215" i="15"/>
  <c r="E188" i="13"/>
  <c r="C191" i="5"/>
  <c r="C240" i="5"/>
  <c r="C88" i="15"/>
  <c r="G90" i="15"/>
  <c r="D53" i="15"/>
  <c r="G56" i="15"/>
  <c r="D88" i="15"/>
  <c r="G91" i="15"/>
  <c r="G165" i="15"/>
  <c r="E163" i="15"/>
  <c r="F183" i="15"/>
  <c r="G186" i="15"/>
  <c r="G183" i="15" s="1"/>
  <c r="C60" i="5"/>
  <c r="C232" i="5"/>
  <c r="D134" i="15"/>
  <c r="G136" i="15"/>
  <c r="E140" i="15"/>
  <c r="G144" i="15"/>
  <c r="C43" i="4"/>
  <c r="F43" i="4" s="1"/>
  <c r="E43" i="5"/>
  <c r="I115" i="5"/>
  <c r="C112" i="15"/>
  <c r="G70" i="15"/>
  <c r="C231" i="15"/>
  <c r="G233" i="15"/>
  <c r="G231" i="15" s="1"/>
  <c r="F45" i="15"/>
  <c r="F53" i="15"/>
  <c r="E59" i="15"/>
  <c r="G61" i="15"/>
  <c r="G64" i="15"/>
  <c r="D59" i="15"/>
  <c r="F67" i="15"/>
  <c r="E34" i="4"/>
  <c r="G27" i="5"/>
  <c r="C26" i="4"/>
  <c r="G34" i="4"/>
  <c r="G35" i="5"/>
  <c r="K40" i="5"/>
  <c r="C40" i="5" s="1"/>
  <c r="E91" i="5"/>
  <c r="E202" i="5"/>
  <c r="C199" i="4"/>
  <c r="I230" i="5"/>
  <c r="C227" i="4"/>
  <c r="K41" i="5"/>
  <c r="C41" i="4"/>
  <c r="G67" i="5"/>
  <c r="G66" i="4"/>
  <c r="G127" i="5"/>
  <c r="C130" i="4"/>
  <c r="G125" i="4"/>
  <c r="K135" i="5"/>
  <c r="C138" i="4"/>
  <c r="C147" i="4"/>
  <c r="I144" i="5"/>
  <c r="G166" i="4"/>
  <c r="C169" i="4"/>
  <c r="I169" i="5"/>
  <c r="I166" i="4"/>
  <c r="C172" i="4"/>
  <c r="J172" i="4" s="1"/>
  <c r="K168" i="5"/>
  <c r="K166" i="4"/>
  <c r="D224" i="15"/>
  <c r="G226" i="15"/>
  <c r="G224" i="15" s="1"/>
  <c r="G98" i="15"/>
  <c r="E95" i="15"/>
  <c r="G109" i="15"/>
  <c r="I24" i="5"/>
  <c r="C23" i="4"/>
  <c r="E66" i="5"/>
  <c r="E66" i="4"/>
  <c r="I68" i="5"/>
  <c r="C70" i="4"/>
  <c r="C40" i="4"/>
  <c r="H40" i="4" s="1"/>
  <c r="C72" i="4"/>
  <c r="G71" i="15"/>
  <c r="G107" i="15"/>
  <c r="G192" i="15"/>
  <c r="C115" i="4"/>
  <c r="G112" i="5"/>
  <c r="B39" i="23"/>
  <c r="E57" i="13"/>
  <c r="B44" i="21"/>
  <c r="G69" i="13"/>
  <c r="K84" i="5"/>
  <c r="G224" i="5"/>
  <c r="C221" i="4"/>
  <c r="I32" i="5"/>
  <c r="C88" i="5"/>
  <c r="G136" i="4"/>
  <c r="G135" i="5"/>
  <c r="G190" i="5"/>
  <c r="C193" i="4"/>
  <c r="C213" i="4"/>
  <c r="K216" i="5"/>
  <c r="G56" i="5"/>
  <c r="C170" i="4"/>
  <c r="C146" i="4"/>
  <c r="E143" i="5"/>
  <c r="E235" i="4"/>
  <c r="E193" i="13"/>
  <c r="B151" i="23"/>
  <c r="B158" i="23" s="1"/>
  <c r="J173" i="4" l="1"/>
  <c r="H173" i="4"/>
  <c r="L187" i="4"/>
  <c r="F187" i="4"/>
  <c r="H199" i="3"/>
  <c r="H175" i="3"/>
  <c r="H129" i="3"/>
  <c r="H12" i="3"/>
  <c r="J187" i="4"/>
  <c r="G18" i="13"/>
  <c r="I14" i="4"/>
  <c r="I13" i="4" s="1"/>
  <c r="E15" i="15"/>
  <c r="L15" i="15" s="1"/>
  <c r="G49" i="15"/>
  <c r="G47" i="15" s="1"/>
  <c r="E47" i="15"/>
  <c r="E44" i="15" s="1"/>
  <c r="H191" i="4"/>
  <c r="L191" i="4"/>
  <c r="C16" i="4"/>
  <c r="J16" i="4" s="1"/>
  <c r="R10" i="30"/>
  <c r="S10" i="30" s="1"/>
  <c r="J191" i="4"/>
  <c r="E16" i="13"/>
  <c r="E14" i="13" s="1"/>
  <c r="L192" i="4"/>
  <c r="C47" i="1"/>
  <c r="C49" i="1" s="1"/>
  <c r="G38" i="17"/>
  <c r="I41" i="15"/>
  <c r="B31" i="6"/>
  <c r="B32" i="6" s="1"/>
  <c r="F110" i="4"/>
  <c r="H18" i="6"/>
  <c r="H24" i="6"/>
  <c r="H20" i="6"/>
  <c r="H16" i="6"/>
  <c r="H13" i="6"/>
  <c r="H25" i="6"/>
  <c r="H15" i="6"/>
  <c r="H19" i="6"/>
  <c r="H44" i="3"/>
  <c r="H22" i="6"/>
  <c r="D34" i="2"/>
  <c r="D27" i="6"/>
  <c r="E13" i="6" s="1"/>
  <c r="E243" i="3"/>
  <c r="F175" i="3" s="1"/>
  <c r="G98" i="13"/>
  <c r="C19" i="6"/>
  <c r="C20" i="6"/>
  <c r="C18" i="6"/>
  <c r="C15" i="6"/>
  <c r="C13" i="6"/>
  <c r="C25" i="6"/>
  <c r="C24" i="6"/>
  <c r="C17" i="6"/>
  <c r="C16" i="6"/>
  <c r="C22" i="6"/>
  <c r="H192" i="4"/>
  <c r="F192" i="4"/>
  <c r="D198" i="13"/>
  <c r="E23" i="10" s="1"/>
  <c r="L189" i="4"/>
  <c r="H85" i="4"/>
  <c r="D175" i="13"/>
  <c r="E21" i="10" s="1"/>
  <c r="F85" i="4"/>
  <c r="J200" i="4"/>
  <c r="L200" i="4"/>
  <c r="K226" i="5"/>
  <c r="M15" i="15"/>
  <c r="J158" i="4"/>
  <c r="F157" i="4"/>
  <c r="F181" i="4"/>
  <c r="F83" i="4"/>
  <c r="F112" i="4"/>
  <c r="L91" i="4"/>
  <c r="F78" i="4"/>
  <c r="C37" i="13"/>
  <c r="D129" i="13"/>
  <c r="E19" i="10" s="1"/>
  <c r="J219" i="4"/>
  <c r="H189" i="4"/>
  <c r="C9" i="15"/>
  <c r="J11" i="13" s="1"/>
  <c r="H200" i="4"/>
  <c r="C193" i="5"/>
  <c r="H110" i="4"/>
  <c r="L110" i="4"/>
  <c r="L225" i="4"/>
  <c r="J225" i="4"/>
  <c r="D37" i="13"/>
  <c r="L140" i="4"/>
  <c r="F225" i="4"/>
  <c r="J140" i="4"/>
  <c r="G45" i="13"/>
  <c r="G193" i="13"/>
  <c r="C198" i="13"/>
  <c r="E23" i="9" s="1"/>
  <c r="D14" i="13"/>
  <c r="F19" i="4"/>
  <c r="F189" i="4"/>
  <c r="J42" i="4"/>
  <c r="F154" i="4"/>
  <c r="F153" i="4"/>
  <c r="J154" i="4"/>
  <c r="L154" i="4"/>
  <c r="H142" i="4"/>
  <c r="L142" i="4"/>
  <c r="J142" i="4"/>
  <c r="H188" i="4"/>
  <c r="J163" i="4"/>
  <c r="F73" i="4"/>
  <c r="J188" i="4"/>
  <c r="L73" i="4"/>
  <c r="L188" i="4"/>
  <c r="J73" i="4"/>
  <c r="J80" i="4"/>
  <c r="F24" i="4"/>
  <c r="F80" i="4"/>
  <c r="F113" i="4"/>
  <c r="L24" i="4"/>
  <c r="K202" i="4"/>
  <c r="H140" i="4"/>
  <c r="G202" i="4"/>
  <c r="L111" i="4"/>
  <c r="G81" i="13"/>
  <c r="L164" i="4"/>
  <c r="F198" i="13"/>
  <c r="E23" i="16" s="1"/>
  <c r="J164" i="4"/>
  <c r="J81" i="4"/>
  <c r="H81" i="4"/>
  <c r="J84" i="4"/>
  <c r="L81" i="4"/>
  <c r="F175" i="13"/>
  <c r="F164" i="4"/>
  <c r="G183" i="4"/>
  <c r="L108" i="4"/>
  <c r="G217" i="13"/>
  <c r="J220" i="4"/>
  <c r="H220" i="4"/>
  <c r="G102" i="13"/>
  <c r="F37" i="13"/>
  <c r="E226" i="5"/>
  <c r="H158" i="4"/>
  <c r="L83" i="4"/>
  <c r="G36" i="13"/>
  <c r="G131" i="13"/>
  <c r="J83" i="4"/>
  <c r="J123" i="4"/>
  <c r="L53" i="4"/>
  <c r="L158" i="4"/>
  <c r="D161" i="15"/>
  <c r="J157" i="4"/>
  <c r="H123" i="4"/>
  <c r="L157" i="4"/>
  <c r="L112" i="4"/>
  <c r="L210" i="4"/>
  <c r="H112" i="4"/>
  <c r="L159" i="4"/>
  <c r="C161" i="5"/>
  <c r="C156" i="3" s="1"/>
  <c r="L156" i="3" s="1"/>
  <c r="F159" i="4"/>
  <c r="J27" i="4"/>
  <c r="H71" i="4"/>
  <c r="J159" i="4"/>
  <c r="L27" i="4"/>
  <c r="L71" i="4"/>
  <c r="F71" i="4"/>
  <c r="F74" i="4"/>
  <c r="H27" i="4"/>
  <c r="L85" i="4"/>
  <c r="F211" i="4"/>
  <c r="L80" i="4"/>
  <c r="H211" i="4"/>
  <c r="J24" i="4"/>
  <c r="H113" i="4"/>
  <c r="L42" i="4"/>
  <c r="F220" i="4"/>
  <c r="F42" i="4"/>
  <c r="J25" i="4"/>
  <c r="G151" i="13"/>
  <c r="F25" i="4"/>
  <c r="J129" i="4"/>
  <c r="H129" i="4"/>
  <c r="H153" i="4"/>
  <c r="F129" i="4"/>
  <c r="J233" i="4"/>
  <c r="L25" i="4"/>
  <c r="G163" i="15"/>
  <c r="L153" i="4"/>
  <c r="L175" i="4"/>
  <c r="E198" i="13"/>
  <c r="E23" i="11" s="1"/>
  <c r="L209" i="4"/>
  <c r="C89" i="5"/>
  <c r="C87" i="3" s="1"/>
  <c r="L87" i="3" s="1"/>
  <c r="I180" i="5"/>
  <c r="I133" i="5"/>
  <c r="H131" i="4"/>
  <c r="F226" i="4"/>
  <c r="J131" i="4"/>
  <c r="F131" i="4"/>
  <c r="B121" i="23"/>
  <c r="G142" i="13"/>
  <c r="L55" i="4"/>
  <c r="F132" i="4"/>
  <c r="L132" i="4"/>
  <c r="J68" i="4"/>
  <c r="J132" i="4"/>
  <c r="H69" i="4"/>
  <c r="L127" i="4"/>
  <c r="C248" i="5"/>
  <c r="C245" i="5" s="1"/>
  <c r="C243" i="5" s="1"/>
  <c r="L212" i="4"/>
  <c r="H120" i="4"/>
  <c r="J62" i="4"/>
  <c r="E183" i="4"/>
  <c r="J79" i="4"/>
  <c r="F79" i="4"/>
  <c r="F175" i="4"/>
  <c r="H62" i="4"/>
  <c r="H79" i="4"/>
  <c r="J175" i="4"/>
  <c r="F62" i="4"/>
  <c r="L89" i="4"/>
  <c r="H218" i="4"/>
  <c r="F82" i="4"/>
  <c r="J82" i="4"/>
  <c r="H102" i="4"/>
  <c r="G74" i="5"/>
  <c r="L82" i="4"/>
  <c r="F103" i="4"/>
  <c r="L69" i="4"/>
  <c r="J103" i="4"/>
  <c r="L103" i="4"/>
  <c r="H212" i="4"/>
  <c r="F69" i="4"/>
  <c r="F212" i="4"/>
  <c r="F161" i="15"/>
  <c r="L190" i="4"/>
  <c r="H190" i="4"/>
  <c r="G28" i="13"/>
  <c r="D9" i="15"/>
  <c r="K11" i="13" s="1"/>
  <c r="F237" i="4"/>
  <c r="C79" i="5"/>
  <c r="C77" i="3" s="1"/>
  <c r="L77" i="3" s="1"/>
  <c r="F108" i="4"/>
  <c r="J155" i="4"/>
  <c r="F64" i="4"/>
  <c r="H64" i="4"/>
  <c r="F190" i="4"/>
  <c r="L128" i="4"/>
  <c r="J127" i="4"/>
  <c r="J114" i="4"/>
  <c r="H226" i="4"/>
  <c r="G248" i="15"/>
  <c r="G229" i="15" s="1"/>
  <c r="L96" i="4"/>
  <c r="J36" i="4"/>
  <c r="L114" i="4"/>
  <c r="F127" i="4"/>
  <c r="C76" i="4"/>
  <c r="F76" i="4" s="1"/>
  <c r="H109" i="4"/>
  <c r="F111" i="4"/>
  <c r="H114" i="4"/>
  <c r="F91" i="4"/>
  <c r="J237" i="4"/>
  <c r="J121" i="4"/>
  <c r="J96" i="4"/>
  <c r="H237" i="4"/>
  <c r="G155" i="15"/>
  <c r="C235" i="4"/>
  <c r="H235" i="4" s="1"/>
  <c r="F244" i="4"/>
  <c r="L102" i="4"/>
  <c r="F209" i="4"/>
  <c r="F36" i="4"/>
  <c r="H96" i="4"/>
  <c r="L229" i="4"/>
  <c r="H122" i="4"/>
  <c r="H78" i="4"/>
  <c r="C94" i="4"/>
  <c r="F94" i="4" s="1"/>
  <c r="H121" i="4"/>
  <c r="J122" i="4"/>
  <c r="L36" i="4"/>
  <c r="H209" i="4"/>
  <c r="L226" i="4"/>
  <c r="J102" i="4"/>
  <c r="F121" i="4"/>
  <c r="C129" i="13"/>
  <c r="E19" i="9" s="1"/>
  <c r="J111" i="4"/>
  <c r="F123" i="4"/>
  <c r="H210" i="4"/>
  <c r="C118" i="4"/>
  <c r="L118" i="4" s="1"/>
  <c r="F210" i="4"/>
  <c r="G17" i="15"/>
  <c r="Q17" i="15" s="1"/>
  <c r="J53" i="4"/>
  <c r="H53" i="4"/>
  <c r="J206" i="4"/>
  <c r="F21" i="4"/>
  <c r="K13" i="4"/>
  <c r="G91" i="13"/>
  <c r="C22" i="5"/>
  <c r="C20" i="3" s="1"/>
  <c r="L20" i="3" s="1"/>
  <c r="B81" i="24"/>
  <c r="I202" i="4"/>
  <c r="J108" i="4"/>
  <c r="H194" i="4"/>
  <c r="J211" i="4"/>
  <c r="I183" i="4"/>
  <c r="C136" i="5"/>
  <c r="C134" i="3" s="1"/>
  <c r="L134" i="3" s="1"/>
  <c r="H98" i="4"/>
  <c r="B113" i="21"/>
  <c r="C161" i="4"/>
  <c r="H161" i="4" s="1"/>
  <c r="L60" i="4"/>
  <c r="I48" i="4"/>
  <c r="G188" i="13"/>
  <c r="L163" i="4"/>
  <c r="E133" i="5"/>
  <c r="H163" i="4"/>
  <c r="C175" i="13"/>
  <c r="E21" i="9" s="1"/>
  <c r="F97" i="4"/>
  <c r="J56" i="4"/>
  <c r="L74" i="4"/>
  <c r="H97" i="4"/>
  <c r="H68" i="4"/>
  <c r="F68" i="4"/>
  <c r="C101" i="5"/>
  <c r="C97" i="5" s="1"/>
  <c r="J97" i="5" s="1"/>
  <c r="K48" i="5"/>
  <c r="F245" i="4"/>
  <c r="C14" i="13"/>
  <c r="H61" i="4"/>
  <c r="H244" i="4"/>
  <c r="L61" i="4"/>
  <c r="J97" i="4"/>
  <c r="F61" i="4"/>
  <c r="J55" i="4"/>
  <c r="F55" i="4"/>
  <c r="H56" i="4"/>
  <c r="J74" i="4"/>
  <c r="J91" i="4"/>
  <c r="K183" i="4"/>
  <c r="H229" i="4"/>
  <c r="L64" i="4"/>
  <c r="K56" i="5"/>
  <c r="C151" i="4"/>
  <c r="L151" i="4" s="1"/>
  <c r="L244" i="4"/>
  <c r="H20" i="4"/>
  <c r="E129" i="13"/>
  <c r="E19" i="11" s="1"/>
  <c r="F122" i="4"/>
  <c r="E115" i="5"/>
  <c r="C231" i="4"/>
  <c r="F231" i="4" s="1"/>
  <c r="J207" i="4"/>
  <c r="J148" i="4"/>
  <c r="H156" i="4"/>
  <c r="F208" i="4"/>
  <c r="C242" i="4"/>
  <c r="C240" i="4" s="1"/>
  <c r="C201" i="5"/>
  <c r="C195" i="3" s="1"/>
  <c r="L195" i="3" s="1"/>
  <c r="F22" i="4"/>
  <c r="G76" i="15"/>
  <c r="G108" i="13"/>
  <c r="L148" i="4"/>
  <c r="L156" i="4"/>
  <c r="B134" i="22"/>
  <c r="D206" i="15"/>
  <c r="G177" i="13"/>
  <c r="C87" i="4"/>
  <c r="F87" i="4" s="1"/>
  <c r="F148" i="4"/>
  <c r="J17" i="4"/>
  <c r="H19" i="4"/>
  <c r="J156" i="4"/>
  <c r="J19" i="4"/>
  <c r="I48" i="5"/>
  <c r="J60" i="4"/>
  <c r="L63" i="4"/>
  <c r="C177" i="4"/>
  <c r="J177" i="4" s="1"/>
  <c r="D55" i="13"/>
  <c r="E17" i="10" s="1"/>
  <c r="G156" i="13"/>
  <c r="F84" i="4"/>
  <c r="H128" i="4"/>
  <c r="J208" i="4"/>
  <c r="F63" i="4"/>
  <c r="E15" i="5"/>
  <c r="L15" i="5" s="1"/>
  <c r="B34" i="23"/>
  <c r="E36" i="11" s="1"/>
  <c r="G115" i="5"/>
  <c r="F60" i="4"/>
  <c r="J181" i="4"/>
  <c r="L208" i="4"/>
  <c r="C58" i="4"/>
  <c r="H181" i="4"/>
  <c r="J238" i="4"/>
  <c r="L56" i="4"/>
  <c r="L84" i="4"/>
  <c r="C100" i="4"/>
  <c r="F100" i="4" s="1"/>
  <c r="F128" i="4"/>
  <c r="C179" i="4"/>
  <c r="L179" i="4" s="1"/>
  <c r="B106" i="24"/>
  <c r="H63" i="4"/>
  <c r="E207" i="5"/>
  <c r="H168" i="4"/>
  <c r="F168" i="4"/>
  <c r="L168" i="4"/>
  <c r="F174" i="4"/>
  <c r="J174" i="4"/>
  <c r="L228" i="4"/>
  <c r="G22" i="13"/>
  <c r="J168" i="4"/>
  <c r="C106" i="5"/>
  <c r="C104" i="3" s="1"/>
  <c r="L104" i="3" s="1"/>
  <c r="J194" i="4"/>
  <c r="L194" i="4"/>
  <c r="H141" i="4"/>
  <c r="F207" i="4"/>
  <c r="G134" i="15"/>
  <c r="H207" i="4"/>
  <c r="F228" i="4"/>
  <c r="L174" i="4"/>
  <c r="K180" i="5"/>
  <c r="J92" i="4"/>
  <c r="C160" i="5"/>
  <c r="C155" i="3" s="1"/>
  <c r="L155" i="3" s="1"/>
  <c r="E37" i="13"/>
  <c r="F14" i="13"/>
  <c r="H92" i="4"/>
  <c r="F89" i="4"/>
  <c r="H89" i="4"/>
  <c r="H171" i="4"/>
  <c r="L171" i="4"/>
  <c r="F219" i="4"/>
  <c r="L219" i="4"/>
  <c r="J20" i="4"/>
  <c r="F20" i="4"/>
  <c r="J171" i="4"/>
  <c r="J113" i="4"/>
  <c r="G95" i="15"/>
  <c r="C93" i="5"/>
  <c r="C91" i="5" s="1"/>
  <c r="F91" i="5" s="1"/>
  <c r="F44" i="15"/>
  <c r="H52" i="4"/>
  <c r="E161" i="15"/>
  <c r="G148" i="5"/>
  <c r="G138" i="13"/>
  <c r="F55" i="13"/>
  <c r="E17" i="16" s="1"/>
  <c r="C50" i="4"/>
  <c r="L50" i="4" s="1"/>
  <c r="J229" i="4"/>
  <c r="L92" i="4"/>
  <c r="C55" i="13"/>
  <c r="E17" i="9" s="1"/>
  <c r="B81" i="21"/>
  <c r="L198" i="4"/>
  <c r="L52" i="4"/>
  <c r="K48" i="4"/>
  <c r="C211" i="5"/>
  <c r="C205" i="3" s="1"/>
  <c r="L205" i="3" s="1"/>
  <c r="F92" i="4"/>
  <c r="H206" i="4"/>
  <c r="F206" i="4"/>
  <c r="J109" i="4"/>
  <c r="L109" i="4"/>
  <c r="F129" i="13"/>
  <c r="E19" i="16" s="1"/>
  <c r="J37" i="4"/>
  <c r="C229" i="15"/>
  <c r="G53" i="15"/>
  <c r="G123" i="15"/>
  <c r="F52" i="4"/>
  <c r="E48" i="5"/>
  <c r="C161" i="15"/>
  <c r="H228" i="4"/>
  <c r="G200" i="13"/>
  <c r="F149" i="4"/>
  <c r="H149" i="4"/>
  <c r="J149" i="4"/>
  <c r="B84" i="23"/>
  <c r="F141" i="4"/>
  <c r="F37" i="4"/>
  <c r="J78" i="4"/>
  <c r="L98" i="4"/>
  <c r="G72" i="13"/>
  <c r="L141" i="4"/>
  <c r="G123" i="13"/>
  <c r="L22" i="4"/>
  <c r="H22" i="4"/>
  <c r="H37" i="4"/>
  <c r="J198" i="4"/>
  <c r="F198" i="4"/>
  <c r="G238" i="5"/>
  <c r="H214" i="4"/>
  <c r="F214" i="4"/>
  <c r="H139" i="4"/>
  <c r="J139" i="4"/>
  <c r="F54" i="4"/>
  <c r="H54" i="4"/>
  <c r="J54" i="4"/>
  <c r="L54" i="4"/>
  <c r="C35" i="5"/>
  <c r="C33" i="3" s="1"/>
  <c r="J98" i="4"/>
  <c r="H104" i="4"/>
  <c r="G64" i="13"/>
  <c r="F238" i="4"/>
  <c r="L238" i="4"/>
  <c r="C115" i="5"/>
  <c r="L115" i="5" s="1"/>
  <c r="L44" i="4"/>
  <c r="J44" i="4"/>
  <c r="H44" i="4"/>
  <c r="F44" i="4"/>
  <c r="L120" i="4"/>
  <c r="J120" i="4"/>
  <c r="J90" i="4"/>
  <c r="L90" i="4"/>
  <c r="F90" i="4"/>
  <c r="L214" i="4"/>
  <c r="F32" i="4"/>
  <c r="L32" i="4"/>
  <c r="L218" i="4"/>
  <c r="F218" i="4"/>
  <c r="E134" i="4"/>
  <c r="F28" i="4"/>
  <c r="L28" i="4"/>
  <c r="J28" i="4"/>
  <c r="F233" i="4"/>
  <c r="L233" i="4"/>
  <c r="H31" i="4"/>
  <c r="F31" i="4"/>
  <c r="L139" i="4"/>
  <c r="L31" i="4"/>
  <c r="G88" i="15"/>
  <c r="H245" i="4"/>
  <c r="L245" i="4"/>
  <c r="H29" i="4"/>
  <c r="J29" i="4"/>
  <c r="L29" i="4"/>
  <c r="F29" i="4"/>
  <c r="G224" i="13"/>
  <c r="G222" i="13" s="1"/>
  <c r="L155" i="4"/>
  <c r="H155" i="4"/>
  <c r="C236" i="5"/>
  <c r="G234" i="5"/>
  <c r="J32" i="4"/>
  <c r="G208" i="15"/>
  <c r="G206" i="15" s="1"/>
  <c r="C178" i="5"/>
  <c r="C176" i="5" s="1"/>
  <c r="H17" i="4"/>
  <c r="F17" i="4"/>
  <c r="H21" i="4"/>
  <c r="J21" i="4"/>
  <c r="C212" i="5"/>
  <c r="C206" i="3" s="1"/>
  <c r="L206" i="3" s="1"/>
  <c r="G207" i="5"/>
  <c r="F104" i="4"/>
  <c r="L104" i="4"/>
  <c r="L116" i="4"/>
  <c r="F116" i="4"/>
  <c r="H116" i="4"/>
  <c r="C214" i="5"/>
  <c r="C208" i="3" s="1"/>
  <c r="L208" i="3" s="1"/>
  <c r="G140" i="15"/>
  <c r="E31" i="10"/>
  <c r="B136" i="22"/>
  <c r="G188" i="15"/>
  <c r="C86" i="15"/>
  <c r="D173" i="4"/>
  <c r="C61" i="5"/>
  <c r="C59" i="3" s="1"/>
  <c r="L59" i="3" s="1"/>
  <c r="E56" i="5"/>
  <c r="H18" i="4"/>
  <c r="J18" i="4"/>
  <c r="J38" i="4"/>
  <c r="L38" i="4"/>
  <c r="H38" i="4"/>
  <c r="L39" i="4"/>
  <c r="J39" i="4"/>
  <c r="F39" i="4"/>
  <c r="L18" i="4"/>
  <c r="J35" i="4"/>
  <c r="L35" i="4"/>
  <c r="F35" i="4"/>
  <c r="H35" i="4"/>
  <c r="E86" i="15"/>
  <c r="D86" i="15"/>
  <c r="F18" i="4"/>
  <c r="G112" i="15"/>
  <c r="F86" i="15"/>
  <c r="C44" i="15"/>
  <c r="C113" i="3"/>
  <c r="G103" i="15"/>
  <c r="F30" i="4"/>
  <c r="L30" i="4"/>
  <c r="J30" i="4"/>
  <c r="H30" i="4"/>
  <c r="C53" i="5"/>
  <c r="C148" i="5"/>
  <c r="C147" i="3"/>
  <c r="C38" i="3"/>
  <c r="I64" i="5"/>
  <c r="C68" i="5"/>
  <c r="C226" i="3"/>
  <c r="C66" i="5"/>
  <c r="E64" i="5"/>
  <c r="K134" i="4"/>
  <c r="C144" i="5"/>
  <c r="I141" i="5"/>
  <c r="G64" i="5"/>
  <c r="C67" i="5"/>
  <c r="C202" i="5"/>
  <c r="E199" i="5"/>
  <c r="G13" i="4"/>
  <c r="E175" i="13"/>
  <c r="E21" i="11" s="1"/>
  <c r="C216" i="5"/>
  <c r="K207" i="5"/>
  <c r="C112" i="5"/>
  <c r="G103" i="5"/>
  <c r="F23" i="4"/>
  <c r="H23" i="4"/>
  <c r="J23" i="4"/>
  <c r="L23" i="4"/>
  <c r="C168" i="5"/>
  <c r="J147" i="4"/>
  <c r="L147" i="4"/>
  <c r="F147" i="4"/>
  <c r="H147" i="4"/>
  <c r="H41" i="4"/>
  <c r="J41" i="4"/>
  <c r="L41" i="4"/>
  <c r="F41" i="4"/>
  <c r="G68" i="15"/>
  <c r="G67" i="15"/>
  <c r="C58" i="3"/>
  <c r="L182" i="3"/>
  <c r="C127" i="5"/>
  <c r="G122" i="5"/>
  <c r="L213" i="4"/>
  <c r="H213" i="4"/>
  <c r="F213" i="4"/>
  <c r="J213" i="4"/>
  <c r="C204" i="4"/>
  <c r="H221" i="4"/>
  <c r="J221" i="4"/>
  <c r="L221" i="4"/>
  <c r="F221" i="4"/>
  <c r="C216" i="4"/>
  <c r="J115" i="4"/>
  <c r="L115" i="4"/>
  <c r="H115" i="4"/>
  <c r="F115" i="4"/>
  <c r="C106" i="4"/>
  <c r="J72" i="4"/>
  <c r="L72" i="4"/>
  <c r="H72" i="4"/>
  <c r="F72" i="4"/>
  <c r="C24" i="5"/>
  <c r="I15" i="5"/>
  <c r="H138" i="4"/>
  <c r="L138" i="4"/>
  <c r="F138" i="4"/>
  <c r="J138" i="4"/>
  <c r="C136" i="4"/>
  <c r="H136" i="4" s="1"/>
  <c r="L26" i="4"/>
  <c r="J26" i="4"/>
  <c r="H26" i="4"/>
  <c r="F26" i="4"/>
  <c r="C235" i="3"/>
  <c r="C238" i="5"/>
  <c r="C186" i="3"/>
  <c r="F169" i="4"/>
  <c r="J169" i="4"/>
  <c r="C166" i="4"/>
  <c r="F166" i="4" s="1"/>
  <c r="L169" i="4"/>
  <c r="H169" i="4"/>
  <c r="C224" i="5"/>
  <c r="G219" i="5"/>
  <c r="C17" i="3"/>
  <c r="J40" i="4"/>
  <c r="F40" i="4"/>
  <c r="C29" i="3"/>
  <c r="H172" i="4"/>
  <c r="F172" i="4"/>
  <c r="L172" i="4"/>
  <c r="C27" i="5"/>
  <c r="G15" i="5"/>
  <c r="G59" i="15"/>
  <c r="G45" i="15"/>
  <c r="D44" i="15"/>
  <c r="C41" i="5"/>
  <c r="L146" i="4"/>
  <c r="F146" i="4"/>
  <c r="J146" i="4"/>
  <c r="C144" i="4"/>
  <c r="H146" i="4"/>
  <c r="G134" i="4"/>
  <c r="C32" i="5"/>
  <c r="J193" i="4"/>
  <c r="H193" i="4"/>
  <c r="L193" i="4"/>
  <c r="F193" i="4"/>
  <c r="C185" i="4"/>
  <c r="K133" i="5"/>
  <c r="K34" i="5"/>
  <c r="C70" i="3"/>
  <c r="E202" i="4"/>
  <c r="C190" i="5"/>
  <c r="G182" i="5"/>
  <c r="I134" i="4"/>
  <c r="L40" i="4"/>
  <c r="C143" i="5"/>
  <c r="E141" i="5"/>
  <c r="C135" i="5"/>
  <c r="G133" i="5"/>
  <c r="F70" i="4"/>
  <c r="C66" i="4"/>
  <c r="F66" i="4" s="1"/>
  <c r="H70" i="4"/>
  <c r="J70" i="4"/>
  <c r="L70" i="4"/>
  <c r="C169" i="5"/>
  <c r="I163" i="5"/>
  <c r="F130" i="4"/>
  <c r="L130" i="4"/>
  <c r="J130" i="4"/>
  <c r="H130" i="4"/>
  <c r="C125" i="4"/>
  <c r="H227" i="4"/>
  <c r="F227" i="4"/>
  <c r="J227" i="4"/>
  <c r="L227" i="4"/>
  <c r="C43" i="5"/>
  <c r="E34" i="5"/>
  <c r="C230" i="5"/>
  <c r="I226" i="5"/>
  <c r="H43" i="4"/>
  <c r="J43" i="4"/>
  <c r="L43" i="4"/>
  <c r="J170" i="4"/>
  <c r="L170" i="4"/>
  <c r="F170" i="4"/>
  <c r="H170" i="4"/>
  <c r="C86" i="3"/>
  <c r="G57" i="13"/>
  <c r="E55" i="13"/>
  <c r="E48" i="4"/>
  <c r="G48" i="4"/>
  <c r="J199" i="4"/>
  <c r="C196" i="4"/>
  <c r="L199" i="4"/>
  <c r="F199" i="4"/>
  <c r="H199" i="4"/>
  <c r="G34" i="5"/>
  <c r="C34" i="4"/>
  <c r="F34" i="4" s="1"/>
  <c r="E13" i="4"/>
  <c r="C223" i="4"/>
  <c r="K163" i="5"/>
  <c r="L15" i="3"/>
  <c r="D187" i="4" l="1"/>
  <c r="F199" i="3"/>
  <c r="I13" i="6"/>
  <c r="H27" i="6"/>
  <c r="G15" i="15"/>
  <c r="G9" i="15" s="1"/>
  <c r="E9" i="15"/>
  <c r="L11" i="13" s="1"/>
  <c r="C14" i="4"/>
  <c r="L14" i="4" s="1"/>
  <c r="H16" i="4"/>
  <c r="F16" i="4"/>
  <c r="L16" i="4"/>
  <c r="N15" i="15"/>
  <c r="D191" i="4"/>
  <c r="G16" i="13"/>
  <c r="G14" i="13" s="1"/>
  <c r="G13" i="13" s="1"/>
  <c r="E31" i="8" s="1"/>
  <c r="D192" i="4"/>
  <c r="F13" i="6"/>
  <c r="H243" i="3"/>
  <c r="F135" i="3"/>
  <c r="F226" i="3"/>
  <c r="F22" i="3"/>
  <c r="F99" i="3"/>
  <c r="F105" i="3"/>
  <c r="F165" i="3"/>
  <c r="F207" i="3"/>
  <c r="F97" i="3"/>
  <c r="F89" i="3"/>
  <c r="F162" i="3"/>
  <c r="F136" i="3"/>
  <c r="F240" i="3"/>
  <c r="F66" i="3"/>
  <c r="F106" i="3"/>
  <c r="F184" i="3"/>
  <c r="F183" i="3"/>
  <c r="F205" i="3"/>
  <c r="F75" i="3"/>
  <c r="F186" i="3"/>
  <c r="F15" i="3"/>
  <c r="F166" i="3"/>
  <c r="F216" i="3"/>
  <c r="F16" i="3"/>
  <c r="F42" i="3"/>
  <c r="F118" i="3"/>
  <c r="F86" i="3"/>
  <c r="F13" i="3"/>
  <c r="F241" i="3"/>
  <c r="F37" i="3"/>
  <c r="F54" i="3"/>
  <c r="F146" i="3"/>
  <c r="F148" i="3"/>
  <c r="F95" i="3"/>
  <c r="F110" i="3"/>
  <c r="F151" i="3"/>
  <c r="F149" i="3"/>
  <c r="F155" i="3"/>
  <c r="F108" i="3"/>
  <c r="F76" i="3"/>
  <c r="F104" i="3"/>
  <c r="F109" i="3"/>
  <c r="F18" i="3"/>
  <c r="F177" i="3"/>
  <c r="F31" i="3"/>
  <c r="F145" i="3"/>
  <c r="F115" i="3"/>
  <c r="F169" i="3"/>
  <c r="F209" i="3"/>
  <c r="F217" i="3"/>
  <c r="F77" i="3"/>
  <c r="F78" i="3"/>
  <c r="F84" i="3"/>
  <c r="F50" i="3"/>
  <c r="F111" i="3"/>
  <c r="F19" i="3"/>
  <c r="F26" i="3"/>
  <c r="F117" i="3"/>
  <c r="F236" i="3"/>
  <c r="F195" i="3"/>
  <c r="F191" i="3"/>
  <c r="F230" i="3"/>
  <c r="F39" i="3"/>
  <c r="F35" i="3"/>
  <c r="F51" i="3"/>
  <c r="F56" i="3"/>
  <c r="F206" i="3"/>
  <c r="F181" i="3"/>
  <c r="F12" i="3"/>
  <c r="F218" i="3"/>
  <c r="F126" i="3"/>
  <c r="F33" i="3"/>
  <c r="F147" i="3"/>
  <c r="F210" i="3"/>
  <c r="F91" i="3"/>
  <c r="F79" i="3"/>
  <c r="F233" i="3"/>
  <c r="F160" i="3"/>
  <c r="F134" i="3"/>
  <c r="F223" i="3"/>
  <c r="F49" i="3"/>
  <c r="F158" i="3"/>
  <c r="F123" i="3"/>
  <c r="F215" i="3"/>
  <c r="F74" i="3"/>
  <c r="F92" i="3"/>
  <c r="F52" i="3"/>
  <c r="F40" i="3"/>
  <c r="F225" i="3"/>
  <c r="F80" i="3"/>
  <c r="F139" i="3"/>
  <c r="F87" i="3"/>
  <c r="F125" i="3"/>
  <c r="F185" i="3"/>
  <c r="F124" i="3"/>
  <c r="F30" i="3"/>
  <c r="F70" i="3"/>
  <c r="F93" i="3"/>
  <c r="F173" i="3"/>
  <c r="F156" i="3"/>
  <c r="F69" i="3"/>
  <c r="F59" i="3"/>
  <c r="F197" i="3"/>
  <c r="F60" i="3"/>
  <c r="F208" i="3"/>
  <c r="F150" i="3"/>
  <c r="F103" i="3"/>
  <c r="F62" i="3"/>
  <c r="F65" i="3"/>
  <c r="F190" i="3"/>
  <c r="F101" i="3"/>
  <c r="F38" i="3"/>
  <c r="F68" i="3"/>
  <c r="F180" i="3"/>
  <c r="F107" i="3"/>
  <c r="F163" i="3"/>
  <c r="F48" i="3"/>
  <c r="F21" i="3"/>
  <c r="F24" i="3"/>
  <c r="F27" i="3"/>
  <c r="F72" i="3"/>
  <c r="F188" i="3"/>
  <c r="F196" i="3"/>
  <c r="F67" i="3"/>
  <c r="F25" i="3"/>
  <c r="F127" i="3"/>
  <c r="F58" i="3"/>
  <c r="F36" i="3"/>
  <c r="F167" i="3"/>
  <c r="F179" i="3"/>
  <c r="F235" i="3"/>
  <c r="F23" i="3"/>
  <c r="F85" i="3"/>
  <c r="F228" i="3"/>
  <c r="F98" i="3"/>
  <c r="F220" i="3"/>
  <c r="F143" i="3"/>
  <c r="F34" i="3"/>
  <c r="F20" i="3"/>
  <c r="F41" i="3"/>
  <c r="F224" i="3"/>
  <c r="F64" i="3"/>
  <c r="F29" i="3"/>
  <c r="F113" i="3"/>
  <c r="F204" i="3"/>
  <c r="F222" i="3"/>
  <c r="F141" i="3"/>
  <c r="F17" i="3"/>
  <c r="F32" i="3"/>
  <c r="F57" i="3"/>
  <c r="F203" i="3"/>
  <c r="F171" i="3"/>
  <c r="F133" i="3"/>
  <c r="F182" i="3"/>
  <c r="F164" i="3"/>
  <c r="F122" i="3"/>
  <c r="F211" i="3"/>
  <c r="F137" i="3"/>
  <c r="F116" i="3"/>
  <c r="F213" i="3"/>
  <c r="F28" i="3"/>
  <c r="F231" i="3"/>
  <c r="F161" i="3"/>
  <c r="F44" i="3"/>
  <c r="F153" i="3"/>
  <c r="F120" i="3"/>
  <c r="F82" i="3"/>
  <c r="F193" i="3"/>
  <c r="F238" i="3"/>
  <c r="F46" i="3"/>
  <c r="F131" i="3"/>
  <c r="F129" i="3"/>
  <c r="F201" i="3"/>
  <c r="E15" i="6"/>
  <c r="I15" i="6" s="1"/>
  <c r="E16" i="6"/>
  <c r="I16" i="6" s="1"/>
  <c r="E17" i="6"/>
  <c r="I17" i="6" s="1"/>
  <c r="E25" i="6"/>
  <c r="I25" i="6" s="1"/>
  <c r="E22" i="6"/>
  <c r="F22" i="6" s="1"/>
  <c r="E24" i="6"/>
  <c r="I24" i="6" s="1"/>
  <c r="E20" i="6"/>
  <c r="I20" i="6" s="1"/>
  <c r="E19" i="6"/>
  <c r="I19" i="6" s="1"/>
  <c r="E18" i="6"/>
  <c r="I18" i="6" s="1"/>
  <c r="C27" i="6"/>
  <c r="D85" i="4"/>
  <c r="D200" i="4"/>
  <c r="C13" i="13"/>
  <c r="C8" i="13" s="1"/>
  <c r="I28" i="9" s="1"/>
  <c r="D110" i="4"/>
  <c r="E28" i="10"/>
  <c r="E32" i="10" s="1"/>
  <c r="D189" i="4"/>
  <c r="D24" i="4"/>
  <c r="D140" i="4"/>
  <c r="D225" i="4"/>
  <c r="G37" i="13"/>
  <c r="D154" i="4"/>
  <c r="D13" i="13"/>
  <c r="D8" i="13" s="1"/>
  <c r="H28" i="10" s="1"/>
  <c r="D188" i="4"/>
  <c r="D142" i="4"/>
  <c r="D113" i="4"/>
  <c r="D73" i="4"/>
  <c r="D80" i="4"/>
  <c r="F235" i="4"/>
  <c r="F13" i="13"/>
  <c r="F8" i="13" s="1"/>
  <c r="M13" i="13" s="1"/>
  <c r="E23" i="8"/>
  <c r="D158" i="4"/>
  <c r="D81" i="4"/>
  <c r="G198" i="13"/>
  <c r="D220" i="4"/>
  <c r="D157" i="4"/>
  <c r="D211" i="4"/>
  <c r="D123" i="4"/>
  <c r="D164" i="4"/>
  <c r="E205" i="5"/>
  <c r="D71" i="4"/>
  <c r="D112" i="4"/>
  <c r="D159" i="4"/>
  <c r="D83" i="4"/>
  <c r="C84" i="5"/>
  <c r="H84" i="5" s="1"/>
  <c r="D27" i="4"/>
  <c r="E13" i="13"/>
  <c r="E8" i="13" s="1"/>
  <c r="D25" i="4"/>
  <c r="F242" i="4"/>
  <c r="D42" i="4"/>
  <c r="D153" i="4"/>
  <c r="D79" i="4"/>
  <c r="D129" i="4"/>
  <c r="D36" i="4"/>
  <c r="G161" i="15"/>
  <c r="H151" i="4"/>
  <c r="D131" i="4"/>
  <c r="B146" i="24"/>
  <c r="J151" i="4"/>
  <c r="D190" i="4"/>
  <c r="D175" i="4"/>
  <c r="B148" i="24"/>
  <c r="F151" i="4"/>
  <c r="D102" i="4"/>
  <c r="J161" i="4"/>
  <c r="F161" i="4"/>
  <c r="D181" i="4"/>
  <c r="L161" i="4"/>
  <c r="L94" i="4"/>
  <c r="D120" i="4"/>
  <c r="D132" i="4"/>
  <c r="D60" i="4"/>
  <c r="E28" i="9"/>
  <c r="E33" i="9" s="1"/>
  <c r="D19" i="4"/>
  <c r="D212" i="4"/>
  <c r="D82" i="4"/>
  <c r="E131" i="5"/>
  <c r="D78" i="4"/>
  <c r="L235" i="4"/>
  <c r="D111" i="4"/>
  <c r="D53" i="4"/>
  <c r="D121" i="4"/>
  <c r="G175" i="13"/>
  <c r="J235" i="4"/>
  <c r="D226" i="4"/>
  <c r="D127" i="4"/>
  <c r="D69" i="4"/>
  <c r="D62" i="4"/>
  <c r="G129" i="13"/>
  <c r="D91" i="4"/>
  <c r="D163" i="4"/>
  <c r="D174" i="4"/>
  <c r="C91" i="3"/>
  <c r="C89" i="3" s="1"/>
  <c r="L242" i="4"/>
  <c r="D244" i="4"/>
  <c r="D114" i="4"/>
  <c r="D103" i="4"/>
  <c r="J76" i="4"/>
  <c r="D55" i="4"/>
  <c r="D74" i="4"/>
  <c r="H76" i="4"/>
  <c r="D210" i="4"/>
  <c r="D108" i="4"/>
  <c r="J118" i="4"/>
  <c r="H94" i="4"/>
  <c r="H231" i="4"/>
  <c r="J231" i="4"/>
  <c r="D209" i="4"/>
  <c r="C72" i="3"/>
  <c r="J94" i="4"/>
  <c r="C74" i="5"/>
  <c r="J74" i="5" s="1"/>
  <c r="D207" i="4"/>
  <c r="D96" i="4"/>
  <c r="E21" i="8"/>
  <c r="D237" i="4"/>
  <c r="L76" i="4"/>
  <c r="B175" i="21"/>
  <c r="K46" i="5"/>
  <c r="L87" i="4"/>
  <c r="D64" i="4"/>
  <c r="D122" i="4"/>
  <c r="D194" i="4"/>
  <c r="F39" i="15"/>
  <c r="D68" i="4"/>
  <c r="B173" i="21"/>
  <c r="D39" i="15"/>
  <c r="J100" i="4"/>
  <c r="C99" i="3"/>
  <c r="C95" i="3" s="1"/>
  <c r="L100" i="4"/>
  <c r="J115" i="5"/>
  <c r="D206" i="4"/>
  <c r="F118" i="4"/>
  <c r="H118" i="4"/>
  <c r="B177" i="23"/>
  <c r="D98" i="4"/>
  <c r="H100" i="4"/>
  <c r="E39" i="15"/>
  <c r="D61" i="4"/>
  <c r="D56" i="4"/>
  <c r="D148" i="4"/>
  <c r="D229" i="4"/>
  <c r="D97" i="4"/>
  <c r="D63" i="4"/>
  <c r="D156" i="4"/>
  <c r="D208" i="4"/>
  <c r="D238" i="4"/>
  <c r="D89" i="4"/>
  <c r="D22" i="4"/>
  <c r="F115" i="5"/>
  <c r="D43" i="4"/>
  <c r="J87" i="4"/>
  <c r="H242" i="4"/>
  <c r="J242" i="4"/>
  <c r="D92" i="4"/>
  <c r="D219" i="4"/>
  <c r="H87" i="4"/>
  <c r="D32" i="4"/>
  <c r="F179" i="4"/>
  <c r="D228" i="4"/>
  <c r="D128" i="4"/>
  <c r="H66" i="4"/>
  <c r="H177" i="4"/>
  <c r="C158" i="5"/>
  <c r="H158" i="5" s="1"/>
  <c r="H179" i="4"/>
  <c r="C56" i="5"/>
  <c r="L56" i="5" s="1"/>
  <c r="H115" i="5"/>
  <c r="E19" i="8"/>
  <c r="D37" i="4"/>
  <c r="J179" i="4"/>
  <c r="D84" i="4"/>
  <c r="D218" i="4"/>
  <c r="D116" i="4"/>
  <c r="D17" i="4"/>
  <c r="H58" i="4"/>
  <c r="L58" i="4"/>
  <c r="F58" i="4"/>
  <c r="J58" i="4"/>
  <c r="D149" i="4"/>
  <c r="D168" i="4"/>
  <c r="L177" i="4"/>
  <c r="F177" i="4"/>
  <c r="C39" i="15"/>
  <c r="D198" i="4"/>
  <c r="D171" i="4"/>
  <c r="E28" i="16"/>
  <c r="D21" i="4"/>
  <c r="D141" i="4"/>
  <c r="C173" i="3"/>
  <c r="C171" i="3" s="1"/>
  <c r="C169" i="3" s="1"/>
  <c r="D31" i="4"/>
  <c r="J50" i="4"/>
  <c r="H50" i="4"/>
  <c r="B175" i="23"/>
  <c r="D155" i="4"/>
  <c r="D245" i="4"/>
  <c r="C153" i="3"/>
  <c r="F50" i="4"/>
  <c r="D109" i="4"/>
  <c r="D20" i="4"/>
  <c r="D233" i="4"/>
  <c r="D29" i="4"/>
  <c r="D214" i="4"/>
  <c r="D52" i="4"/>
  <c r="C234" i="5"/>
  <c r="C230" i="3"/>
  <c r="D139" i="4"/>
  <c r="D44" i="4"/>
  <c r="G55" i="13"/>
  <c r="D54" i="4"/>
  <c r="D130" i="4"/>
  <c r="G86" i="15"/>
  <c r="D28" i="4"/>
  <c r="D90" i="4"/>
  <c r="D104" i="4"/>
  <c r="D30" i="4"/>
  <c r="D18" i="4"/>
  <c r="G14" i="5"/>
  <c r="D38" i="4"/>
  <c r="L166" i="4"/>
  <c r="L147" i="3"/>
  <c r="C143" i="3"/>
  <c r="D70" i="4"/>
  <c r="G44" i="15"/>
  <c r="L148" i="5"/>
  <c r="J148" i="5"/>
  <c r="F148" i="5"/>
  <c r="H176" i="5"/>
  <c r="C174" i="5"/>
  <c r="L176" i="5"/>
  <c r="F176" i="5"/>
  <c r="J176" i="5"/>
  <c r="L97" i="5"/>
  <c r="F97" i="5"/>
  <c r="H97" i="5"/>
  <c r="H240" i="4"/>
  <c r="F240" i="4"/>
  <c r="L240" i="4"/>
  <c r="J240" i="4"/>
  <c r="H148" i="5"/>
  <c r="D221" i="4"/>
  <c r="C34" i="5"/>
  <c r="F34" i="5" s="1"/>
  <c r="D23" i="4"/>
  <c r="C51" i="3"/>
  <c r="C48" i="5"/>
  <c r="D35" i="4"/>
  <c r="D39" i="4"/>
  <c r="C199" i="5"/>
  <c r="F199" i="5" s="1"/>
  <c r="C196" i="3"/>
  <c r="K247" i="4"/>
  <c r="E17" i="11"/>
  <c r="I205" i="5"/>
  <c r="D227" i="4"/>
  <c r="G131" i="5"/>
  <c r="K14" i="5"/>
  <c r="L29" i="3"/>
  <c r="L186" i="3"/>
  <c r="L106" i="4"/>
  <c r="J106" i="4"/>
  <c r="F106" i="4"/>
  <c r="H106" i="4"/>
  <c r="D41" i="4"/>
  <c r="C66" i="3"/>
  <c r="L70" i="3"/>
  <c r="C218" i="3"/>
  <c r="C219" i="5"/>
  <c r="H219" i="5" s="1"/>
  <c r="L34" i="4"/>
  <c r="J34" i="4"/>
  <c r="C224" i="3"/>
  <c r="C226" i="5"/>
  <c r="J226" i="5" s="1"/>
  <c r="C164" i="3"/>
  <c r="C133" i="3"/>
  <c r="C133" i="5"/>
  <c r="L133" i="5" s="1"/>
  <c r="G180" i="5"/>
  <c r="C30" i="3"/>
  <c r="D40" i="4"/>
  <c r="I14" i="5"/>
  <c r="D115" i="4"/>
  <c r="C163" i="3"/>
  <c r="C163" i="5"/>
  <c r="J163" i="5" s="1"/>
  <c r="C65" i="3"/>
  <c r="E46" i="5"/>
  <c r="I46" i="5"/>
  <c r="F125" i="4"/>
  <c r="J125" i="4"/>
  <c r="L125" i="4"/>
  <c r="K131" i="5"/>
  <c r="H238" i="5"/>
  <c r="J238" i="5"/>
  <c r="L238" i="5"/>
  <c r="F238" i="5"/>
  <c r="L204" i="4"/>
  <c r="J204" i="4"/>
  <c r="C202" i="4"/>
  <c r="F202" i="4" s="1"/>
  <c r="F204" i="4"/>
  <c r="H204" i="4"/>
  <c r="L58" i="3"/>
  <c r="C54" i="3"/>
  <c r="C110" i="3"/>
  <c r="C103" i="5"/>
  <c r="C64" i="5"/>
  <c r="C64" i="3"/>
  <c r="G205" i="5"/>
  <c r="E180" i="5"/>
  <c r="E14" i="5"/>
  <c r="H166" i="4"/>
  <c r="C233" i="3"/>
  <c r="L235" i="3"/>
  <c r="J136" i="4"/>
  <c r="F136" i="4"/>
  <c r="L136" i="4"/>
  <c r="C134" i="4"/>
  <c r="F134" i="4" s="1"/>
  <c r="C22" i="3"/>
  <c r="C15" i="5"/>
  <c r="F15" i="5" s="1"/>
  <c r="H34" i="4"/>
  <c r="I131" i="5"/>
  <c r="G46" i="5"/>
  <c r="F223" i="4"/>
  <c r="J223" i="4"/>
  <c r="L223" i="4"/>
  <c r="H223" i="4"/>
  <c r="G247" i="4"/>
  <c r="L86" i="3"/>
  <c r="C82" i="3"/>
  <c r="C41" i="3"/>
  <c r="H125" i="4"/>
  <c r="C185" i="3"/>
  <c r="C182" i="5"/>
  <c r="H182" i="5" s="1"/>
  <c r="F185" i="4"/>
  <c r="L185" i="4"/>
  <c r="J185" i="4"/>
  <c r="C183" i="4"/>
  <c r="H185" i="4"/>
  <c r="C25" i="3"/>
  <c r="C141" i="5"/>
  <c r="J166" i="4"/>
  <c r="E247" i="4"/>
  <c r="D193" i="4"/>
  <c r="L17" i="3"/>
  <c r="D169" i="4"/>
  <c r="D72" i="4"/>
  <c r="D213" i="4"/>
  <c r="C125" i="3"/>
  <c r="C122" i="5"/>
  <c r="K205" i="5"/>
  <c r="D199" i="4"/>
  <c r="D170" i="4"/>
  <c r="J66" i="4"/>
  <c r="L66" i="4"/>
  <c r="C48" i="4"/>
  <c r="H48" i="4" s="1"/>
  <c r="I247" i="4"/>
  <c r="F144" i="4"/>
  <c r="H144" i="4"/>
  <c r="J144" i="4"/>
  <c r="L144" i="4"/>
  <c r="C39" i="3"/>
  <c r="D172" i="4"/>
  <c r="D26" i="4"/>
  <c r="D138" i="4"/>
  <c r="H216" i="4"/>
  <c r="F216" i="4"/>
  <c r="J216" i="4"/>
  <c r="L216" i="4"/>
  <c r="J91" i="5"/>
  <c r="L91" i="5"/>
  <c r="H91" i="5"/>
  <c r="D147" i="4"/>
  <c r="C210" i="3"/>
  <c r="C207" i="5"/>
  <c r="L33" i="3"/>
  <c r="L226" i="3"/>
  <c r="C13" i="4"/>
  <c r="F13" i="4" s="1"/>
  <c r="H196" i="4"/>
  <c r="F196" i="4"/>
  <c r="J196" i="4"/>
  <c r="L196" i="4"/>
  <c r="D146" i="4"/>
  <c r="L38" i="3"/>
  <c r="B138" i="22" l="1"/>
  <c r="F24" i="6"/>
  <c r="H9" i="15"/>
  <c r="J14" i="4"/>
  <c r="H14" i="4"/>
  <c r="F14" i="4"/>
  <c r="D16" i="4"/>
  <c r="F16" i="6"/>
  <c r="F20" i="6"/>
  <c r="I22" i="6"/>
  <c r="E27" i="6"/>
  <c r="I27" i="6" s="1"/>
  <c r="F243" i="3"/>
  <c r="I183" i="3"/>
  <c r="J183" i="3" s="1"/>
  <c r="I79" i="3"/>
  <c r="J79" i="3" s="1"/>
  <c r="I68" i="3"/>
  <c r="J68" i="3" s="1"/>
  <c r="I27" i="3"/>
  <c r="J27" i="3" s="1"/>
  <c r="I186" i="3"/>
  <c r="J186" i="3" s="1"/>
  <c r="I66" i="3"/>
  <c r="J66" i="3" s="1"/>
  <c r="I113" i="3"/>
  <c r="J113" i="3" s="1"/>
  <c r="I191" i="3"/>
  <c r="J191" i="3" s="1"/>
  <c r="I218" i="3"/>
  <c r="J218" i="3" s="1"/>
  <c r="I92" i="3"/>
  <c r="J92" i="3" s="1"/>
  <c r="I230" i="3"/>
  <c r="J230" i="3" s="1"/>
  <c r="I39" i="3"/>
  <c r="J39" i="3" s="1"/>
  <c r="I115" i="3"/>
  <c r="J115" i="3" s="1"/>
  <c r="I107" i="3"/>
  <c r="J107" i="3" s="1"/>
  <c r="I180" i="3"/>
  <c r="J180" i="3" s="1"/>
  <c r="I41" i="3"/>
  <c r="J41" i="3" s="1"/>
  <c r="I15" i="3"/>
  <c r="J15" i="3" s="1"/>
  <c r="I147" i="3"/>
  <c r="J147" i="3" s="1"/>
  <c r="I179" i="3"/>
  <c r="J179" i="3" s="1"/>
  <c r="I74" i="3"/>
  <c r="J74" i="3" s="1"/>
  <c r="I197" i="3"/>
  <c r="J197" i="3" s="1"/>
  <c r="I145" i="3"/>
  <c r="J145" i="3" s="1"/>
  <c r="I207" i="3"/>
  <c r="J207" i="3" s="1"/>
  <c r="I65" i="3"/>
  <c r="J65" i="3" s="1"/>
  <c r="I161" i="3"/>
  <c r="J161" i="3" s="1"/>
  <c r="I24" i="3"/>
  <c r="J24" i="3" s="1"/>
  <c r="I36" i="3"/>
  <c r="J36" i="3" s="1"/>
  <c r="I64" i="3"/>
  <c r="J64" i="3" s="1"/>
  <c r="I78" i="3"/>
  <c r="J78" i="3" s="1"/>
  <c r="I38" i="3"/>
  <c r="J38" i="3" s="1"/>
  <c r="I54" i="3"/>
  <c r="J54" i="3" s="1"/>
  <c r="I104" i="3"/>
  <c r="J104" i="3" s="1"/>
  <c r="I51" i="3"/>
  <c r="J51" i="3" s="1"/>
  <c r="I28" i="3"/>
  <c r="J28" i="3" s="1"/>
  <c r="I148" i="3"/>
  <c r="J148" i="3" s="1"/>
  <c r="I50" i="3"/>
  <c r="J50" i="3" s="1"/>
  <c r="I98" i="3"/>
  <c r="J98" i="3" s="1"/>
  <c r="I34" i="3"/>
  <c r="J34" i="3" s="1"/>
  <c r="I167" i="3"/>
  <c r="J167" i="3" s="1"/>
  <c r="I67" i="3"/>
  <c r="J67" i="3" s="1"/>
  <c r="I215" i="3"/>
  <c r="J215" i="3" s="1"/>
  <c r="I58" i="3"/>
  <c r="J58" i="3" s="1"/>
  <c r="I211" i="3"/>
  <c r="J211" i="3" s="1"/>
  <c r="I166" i="3"/>
  <c r="J166" i="3" s="1"/>
  <c r="I20" i="3"/>
  <c r="J20" i="3" s="1"/>
  <c r="I33" i="3"/>
  <c r="J33" i="3" s="1"/>
  <c r="I46" i="3"/>
  <c r="J46" i="3" s="1"/>
  <c r="I87" i="3"/>
  <c r="J87" i="3" s="1"/>
  <c r="I35" i="3"/>
  <c r="J35" i="3" s="1"/>
  <c r="I134" i="3"/>
  <c r="J134" i="3" s="1"/>
  <c r="I76" i="3"/>
  <c r="J76" i="3" s="1"/>
  <c r="I196" i="3"/>
  <c r="J196" i="3" s="1"/>
  <c r="I131" i="3"/>
  <c r="J131" i="3" s="1"/>
  <c r="I213" i="3"/>
  <c r="J213" i="3" s="1"/>
  <c r="I127" i="3"/>
  <c r="J127" i="3" s="1"/>
  <c r="I40" i="3"/>
  <c r="J40" i="3" s="1"/>
  <c r="I143" i="3"/>
  <c r="J143" i="3" s="1"/>
  <c r="I59" i="3"/>
  <c r="J59" i="3" s="1"/>
  <c r="I29" i="3"/>
  <c r="J29" i="3" s="1"/>
  <c r="I184" i="3"/>
  <c r="J184" i="3" s="1"/>
  <c r="I126" i="3"/>
  <c r="J126" i="3" s="1"/>
  <c r="I26" i="3"/>
  <c r="J26" i="3" s="1"/>
  <c r="I30" i="3"/>
  <c r="J30" i="3" s="1"/>
  <c r="I118" i="3"/>
  <c r="J118" i="3" s="1"/>
  <c r="I49" i="3"/>
  <c r="J49" i="3" s="1"/>
  <c r="I18" i="3"/>
  <c r="J18" i="3" s="1"/>
  <c r="I177" i="3"/>
  <c r="J177" i="3" s="1"/>
  <c r="I171" i="3"/>
  <c r="J171" i="3" s="1"/>
  <c r="I105" i="3"/>
  <c r="J105" i="3" s="1"/>
  <c r="I241" i="3"/>
  <c r="J241" i="3" s="1"/>
  <c r="I223" i="3"/>
  <c r="J223" i="3" s="1"/>
  <c r="I60" i="3"/>
  <c r="J60" i="3" s="1"/>
  <c r="I153" i="3"/>
  <c r="J153" i="3" s="1"/>
  <c r="I163" i="3"/>
  <c r="J163" i="3" s="1"/>
  <c r="I77" i="3"/>
  <c r="J77" i="3" s="1"/>
  <c r="I17" i="3"/>
  <c r="J17" i="3" s="1"/>
  <c r="I238" i="3"/>
  <c r="I160" i="3"/>
  <c r="J160" i="3" s="1"/>
  <c r="I93" i="3"/>
  <c r="J93" i="3" s="1"/>
  <c r="I203" i="3"/>
  <c r="J203" i="3" s="1"/>
  <c r="I201" i="3"/>
  <c r="J201" i="3" s="1"/>
  <c r="I228" i="3"/>
  <c r="J228" i="3" s="1"/>
  <c r="I135" i="3"/>
  <c r="J135" i="3" s="1"/>
  <c r="I222" i="3"/>
  <c r="J222" i="3" s="1"/>
  <c r="I16" i="3"/>
  <c r="J16" i="3" s="1"/>
  <c r="I231" i="3"/>
  <c r="J231" i="3" s="1"/>
  <c r="I70" i="3"/>
  <c r="J70" i="3" s="1"/>
  <c r="I206" i="3"/>
  <c r="J206" i="3" s="1"/>
  <c r="I146" i="3"/>
  <c r="J146" i="3" s="1"/>
  <c r="I86" i="3"/>
  <c r="J86" i="3" s="1"/>
  <c r="I136" i="3"/>
  <c r="J136" i="3" s="1"/>
  <c r="I85" i="3"/>
  <c r="J85" i="3" s="1"/>
  <c r="I240" i="3"/>
  <c r="J240" i="3" s="1"/>
  <c r="I21" i="3"/>
  <c r="J21" i="3" s="1"/>
  <c r="I226" i="3"/>
  <c r="J226" i="3" s="1"/>
  <c r="I48" i="3"/>
  <c r="J48" i="3" s="1"/>
  <c r="I19" i="3"/>
  <c r="J19" i="3" s="1"/>
  <c r="I217" i="3"/>
  <c r="J217" i="3" s="1"/>
  <c r="I31" i="3"/>
  <c r="I182" i="3"/>
  <c r="J182" i="3" s="1"/>
  <c r="I185" i="3"/>
  <c r="J185" i="3" s="1"/>
  <c r="I42" i="3"/>
  <c r="J42" i="3" s="1"/>
  <c r="I32" i="3"/>
  <c r="J32" i="3" s="1"/>
  <c r="I12" i="3"/>
  <c r="J12" i="3" s="1"/>
  <c r="I208" i="3"/>
  <c r="J208" i="3" s="1"/>
  <c r="I111" i="3"/>
  <c r="J111" i="3" s="1"/>
  <c r="I169" i="3"/>
  <c r="J169" i="3" s="1"/>
  <c r="I22" i="3"/>
  <c r="J22" i="3" s="1"/>
  <c r="I52" i="3"/>
  <c r="J52" i="3" s="1"/>
  <c r="I56" i="3"/>
  <c r="J56" i="3" s="1"/>
  <c r="I69" i="3"/>
  <c r="J69" i="3" s="1"/>
  <c r="I89" i="3"/>
  <c r="J89" i="3" s="1"/>
  <c r="I190" i="3"/>
  <c r="J190" i="3" s="1"/>
  <c r="I75" i="3"/>
  <c r="J75" i="3" s="1"/>
  <c r="I151" i="3"/>
  <c r="J151" i="3" s="1"/>
  <c r="I116" i="3"/>
  <c r="J116" i="3" s="1"/>
  <c r="I25" i="3"/>
  <c r="J25" i="3" s="1"/>
  <c r="I193" i="3"/>
  <c r="J193" i="3" s="1"/>
  <c r="I103" i="3"/>
  <c r="J103" i="3" s="1"/>
  <c r="I216" i="3"/>
  <c r="J216" i="3" s="1"/>
  <c r="I188" i="3"/>
  <c r="J188" i="3" s="1"/>
  <c r="I224" i="3"/>
  <c r="J224" i="3" s="1"/>
  <c r="I106" i="3"/>
  <c r="J106" i="3" s="1"/>
  <c r="I173" i="3"/>
  <c r="J173" i="3" s="1"/>
  <c r="I155" i="3"/>
  <c r="J155" i="3" s="1"/>
  <c r="I205" i="3"/>
  <c r="J205" i="3" s="1"/>
  <c r="I210" i="3"/>
  <c r="J210" i="3" s="1"/>
  <c r="I156" i="3"/>
  <c r="J156" i="3" s="1"/>
  <c r="I149" i="3"/>
  <c r="J149" i="3" s="1"/>
  <c r="I236" i="3"/>
  <c r="J236" i="3" s="1"/>
  <c r="I133" i="3"/>
  <c r="J133" i="3" s="1"/>
  <c r="I13" i="3"/>
  <c r="J13" i="3" s="1"/>
  <c r="I175" i="3"/>
  <c r="J175" i="3" s="1"/>
  <c r="I99" i="3"/>
  <c r="J99" i="3" s="1"/>
  <c r="I209" i="3"/>
  <c r="J209" i="3" s="1"/>
  <c r="I109" i="3"/>
  <c r="J109" i="3" s="1"/>
  <c r="I37" i="3"/>
  <c r="J37" i="3" s="1"/>
  <c r="I84" i="3"/>
  <c r="J84" i="3" s="1"/>
  <c r="I204" i="3"/>
  <c r="J204" i="3" s="1"/>
  <c r="I139" i="3"/>
  <c r="J139" i="3" s="1"/>
  <c r="I57" i="3"/>
  <c r="J57" i="3" s="1"/>
  <c r="I162" i="3"/>
  <c r="J162" i="3" s="1"/>
  <c r="I141" i="3"/>
  <c r="J141" i="3" s="1"/>
  <c r="I164" i="3"/>
  <c r="J164" i="3" s="1"/>
  <c r="I165" i="3"/>
  <c r="J165" i="3" s="1"/>
  <c r="I225" i="3"/>
  <c r="J225" i="3" s="1"/>
  <c r="I110" i="3"/>
  <c r="J110" i="3" s="1"/>
  <c r="I137" i="3"/>
  <c r="J137" i="3" s="1"/>
  <c r="I123" i="3"/>
  <c r="J123" i="3" s="1"/>
  <c r="I181" i="3"/>
  <c r="J181" i="3" s="1"/>
  <c r="I91" i="3"/>
  <c r="J91" i="3" s="1"/>
  <c r="I235" i="3"/>
  <c r="J235" i="3" s="1"/>
  <c r="I125" i="3"/>
  <c r="J125" i="3" s="1"/>
  <c r="I23" i="3"/>
  <c r="J23" i="3" s="1"/>
  <c r="I195" i="3"/>
  <c r="J195" i="3" s="1"/>
  <c r="I120" i="3"/>
  <c r="J120" i="3" s="1"/>
  <c r="I124" i="3"/>
  <c r="J124" i="3" s="1"/>
  <c r="I117" i="3"/>
  <c r="J117" i="3" s="1"/>
  <c r="I220" i="3"/>
  <c r="J220" i="3" s="1"/>
  <c r="I199" i="3"/>
  <c r="J199" i="3" s="1"/>
  <c r="I150" i="3"/>
  <c r="J150" i="3" s="1"/>
  <c r="I80" i="3"/>
  <c r="J80" i="3" s="1"/>
  <c r="I158" i="3"/>
  <c r="J158" i="3" s="1"/>
  <c r="I97" i="3"/>
  <c r="J97" i="3" s="1"/>
  <c r="I62" i="3"/>
  <c r="J62" i="3" s="1"/>
  <c r="I108" i="3"/>
  <c r="J108" i="3" s="1"/>
  <c r="I101" i="3"/>
  <c r="J101" i="3" s="1"/>
  <c r="I122" i="3"/>
  <c r="J122" i="3" s="1"/>
  <c r="I129" i="3"/>
  <c r="J129" i="3" s="1"/>
  <c r="I233" i="3"/>
  <c r="J233" i="3" s="1"/>
  <c r="I82" i="3"/>
  <c r="J82" i="3" s="1"/>
  <c r="I72" i="3"/>
  <c r="J72" i="3" s="1"/>
  <c r="I95" i="3"/>
  <c r="J95" i="3" s="1"/>
  <c r="F18" i="6"/>
  <c r="F25" i="6"/>
  <c r="I44" i="3"/>
  <c r="J44" i="3" s="1"/>
  <c r="F17" i="6"/>
  <c r="F15" i="6"/>
  <c r="J31" i="3"/>
  <c r="F19" i="6"/>
  <c r="J28" i="10"/>
  <c r="F84" i="5"/>
  <c r="J84" i="5"/>
  <c r="J158" i="5"/>
  <c r="L84" i="5"/>
  <c r="D235" i="4"/>
  <c r="D151" i="4"/>
  <c r="D161" i="4"/>
  <c r="J28" i="9"/>
  <c r="D94" i="4"/>
  <c r="D231" i="4"/>
  <c r="L91" i="3"/>
  <c r="D76" i="4"/>
  <c r="F56" i="5"/>
  <c r="K13" i="13"/>
  <c r="G8" i="13"/>
  <c r="I8" i="13" s="1"/>
  <c r="G39" i="15"/>
  <c r="I42" i="15" s="1"/>
  <c r="F74" i="5"/>
  <c r="H74" i="5"/>
  <c r="L74" i="5"/>
  <c r="L163" i="5"/>
  <c r="D118" i="4"/>
  <c r="B150" i="24"/>
  <c r="D87" i="4"/>
  <c r="D100" i="4"/>
  <c r="L99" i="3"/>
  <c r="J56" i="5"/>
  <c r="D185" i="4"/>
  <c r="D179" i="4"/>
  <c r="H56" i="5"/>
  <c r="H28" i="16"/>
  <c r="D177" i="4"/>
  <c r="D242" i="4"/>
  <c r="D66" i="4"/>
  <c r="B153" i="24"/>
  <c r="L158" i="5"/>
  <c r="D58" i="4"/>
  <c r="J13" i="13"/>
  <c r="F158" i="5"/>
  <c r="B177" i="21"/>
  <c r="E32" i="16"/>
  <c r="E37" i="16"/>
  <c r="E39" i="16" s="1"/>
  <c r="D50" i="4"/>
  <c r="H44" i="15"/>
  <c r="F48" i="4"/>
  <c r="C228" i="3"/>
  <c r="L230" i="3"/>
  <c r="C32" i="3"/>
  <c r="D240" i="4"/>
  <c r="D136" i="4"/>
  <c r="J48" i="5"/>
  <c r="H48" i="5"/>
  <c r="F48" i="5"/>
  <c r="L48" i="5"/>
  <c r="L51" i="3"/>
  <c r="C46" i="3"/>
  <c r="D223" i="4"/>
  <c r="D144" i="4"/>
  <c r="D34" i="4"/>
  <c r="J174" i="5"/>
  <c r="L174" i="5"/>
  <c r="H174" i="5"/>
  <c r="D166" i="4"/>
  <c r="D106" i="4"/>
  <c r="L64" i="5"/>
  <c r="F64" i="5"/>
  <c r="D196" i="4"/>
  <c r="J134" i="4"/>
  <c r="L25" i="3"/>
  <c r="L185" i="3"/>
  <c r="C177" i="3"/>
  <c r="H134" i="4"/>
  <c r="E250" i="5"/>
  <c r="F14" i="5" s="1"/>
  <c r="L218" i="3"/>
  <c r="C213" i="3"/>
  <c r="I250" i="5"/>
  <c r="J131" i="5" s="1"/>
  <c r="H199" i="5"/>
  <c r="L199" i="5"/>
  <c r="L65" i="3"/>
  <c r="L224" i="3"/>
  <c r="C220" i="3"/>
  <c r="L122" i="5"/>
  <c r="J122" i="5"/>
  <c r="F122" i="5"/>
  <c r="C14" i="5"/>
  <c r="D182" i="5" s="1"/>
  <c r="C46" i="5"/>
  <c r="D64" i="5" s="1"/>
  <c r="H122" i="5"/>
  <c r="L13" i="4"/>
  <c r="J13" i="4"/>
  <c r="F207" i="5"/>
  <c r="J207" i="5"/>
  <c r="H207" i="5"/>
  <c r="C205" i="5"/>
  <c r="H13" i="4"/>
  <c r="L183" i="4"/>
  <c r="F183" i="4"/>
  <c r="H183" i="4"/>
  <c r="J183" i="4"/>
  <c r="G250" i="5"/>
  <c r="H131" i="5" s="1"/>
  <c r="L110" i="3"/>
  <c r="C101" i="3"/>
  <c r="D125" i="4"/>
  <c r="E28" i="11"/>
  <c r="E17" i="8"/>
  <c r="E28" i="8" s="1"/>
  <c r="E32" i="8" s="1"/>
  <c r="E35" i="8" s="1"/>
  <c r="E37" i="8" s="1"/>
  <c r="L39" i="3"/>
  <c r="J48" i="4"/>
  <c r="L48" i="4"/>
  <c r="F103" i="5"/>
  <c r="L103" i="5"/>
  <c r="J103" i="5"/>
  <c r="L210" i="3"/>
  <c r="C201" i="3"/>
  <c r="D216" i="4"/>
  <c r="L207" i="5"/>
  <c r="D204" i="4"/>
  <c r="J133" i="5"/>
  <c r="F133" i="5"/>
  <c r="C131" i="5"/>
  <c r="D133" i="5" s="1"/>
  <c r="H28" i="11"/>
  <c r="L13" i="13"/>
  <c r="L41" i="3"/>
  <c r="L22" i="3"/>
  <c r="C13" i="3"/>
  <c r="H202" i="4"/>
  <c r="C247" i="4"/>
  <c r="C253" i="4" s="1"/>
  <c r="L202" i="4"/>
  <c r="J202" i="4"/>
  <c r="F163" i="5"/>
  <c r="H163" i="5"/>
  <c r="J15" i="5"/>
  <c r="L133" i="3"/>
  <c r="C131" i="3"/>
  <c r="L66" i="3"/>
  <c r="L134" i="4"/>
  <c r="C62" i="3"/>
  <c r="L64" i="3"/>
  <c r="J64" i="5"/>
  <c r="L163" i="3"/>
  <c r="C158" i="3"/>
  <c r="H103" i="5"/>
  <c r="H133" i="5"/>
  <c r="K250" i="5"/>
  <c r="L14" i="5" s="1"/>
  <c r="C180" i="5"/>
  <c r="F182" i="5"/>
  <c r="J182" i="5"/>
  <c r="L182" i="5"/>
  <c r="L164" i="3"/>
  <c r="J219" i="5"/>
  <c r="L219" i="5"/>
  <c r="F219" i="5"/>
  <c r="L196" i="3"/>
  <c r="C193" i="3"/>
  <c r="L125" i="3"/>
  <c r="C120" i="3"/>
  <c r="H64" i="5"/>
  <c r="L30" i="3"/>
  <c r="H226" i="5"/>
  <c r="F226" i="5"/>
  <c r="L226" i="5"/>
  <c r="D14" i="4" l="1"/>
  <c r="I243" i="3"/>
  <c r="J243" i="3" s="1"/>
  <c r="J238" i="3"/>
  <c r="F27" i="6"/>
  <c r="L247" i="4"/>
  <c r="D103" i="5"/>
  <c r="F247" i="4"/>
  <c r="C44" i="3"/>
  <c r="D48" i="4"/>
  <c r="D122" i="5"/>
  <c r="H46" i="5"/>
  <c r="L205" i="5"/>
  <c r="L243" i="3"/>
  <c r="D134" i="4"/>
  <c r="D202" i="4"/>
  <c r="D13" i="4"/>
  <c r="C129" i="3"/>
  <c r="E33" i="11"/>
  <c r="E37" i="11"/>
  <c r="D158" i="5"/>
  <c r="D193" i="5"/>
  <c r="D234" i="5"/>
  <c r="D245" i="5"/>
  <c r="D176" i="5"/>
  <c r="D148" i="5"/>
  <c r="D238" i="5"/>
  <c r="D199" i="5"/>
  <c r="F124" i="5"/>
  <c r="F72" i="5"/>
  <c r="F190" i="5"/>
  <c r="F232" i="5"/>
  <c r="F150" i="5"/>
  <c r="F38" i="5"/>
  <c r="F136" i="5"/>
  <c r="F54" i="5"/>
  <c r="F53" i="5"/>
  <c r="F79" i="5"/>
  <c r="F80" i="5"/>
  <c r="F44" i="5"/>
  <c r="F40" i="5"/>
  <c r="F110" i="5"/>
  <c r="F33" i="5"/>
  <c r="F125" i="5"/>
  <c r="F247" i="5"/>
  <c r="F189" i="5"/>
  <c r="F26" i="5"/>
  <c r="F168" i="5"/>
  <c r="F188" i="5"/>
  <c r="F81" i="5"/>
  <c r="F135" i="5"/>
  <c r="F19" i="5"/>
  <c r="F201" i="5"/>
  <c r="F25" i="5"/>
  <c r="F71" i="5"/>
  <c r="F24" i="5"/>
  <c r="F197" i="5"/>
  <c r="F155" i="5"/>
  <c r="F52" i="5"/>
  <c r="F171" i="5"/>
  <c r="F191" i="5"/>
  <c r="F27" i="5"/>
  <c r="F152" i="5"/>
  <c r="F77" i="5"/>
  <c r="F112" i="5"/>
  <c r="F113" i="5"/>
  <c r="F210" i="5"/>
  <c r="F62" i="5"/>
  <c r="F228" i="5"/>
  <c r="F240" i="5"/>
  <c r="F28" i="5"/>
  <c r="F68" i="5"/>
  <c r="F170" i="5"/>
  <c r="F129" i="5"/>
  <c r="F127" i="5"/>
  <c r="F78" i="5"/>
  <c r="F165" i="5"/>
  <c r="F178" i="5"/>
  <c r="F93" i="5"/>
  <c r="F203" i="5"/>
  <c r="F29" i="5"/>
  <c r="F160" i="5"/>
  <c r="F128" i="5"/>
  <c r="F50" i="5"/>
  <c r="F224" i="5"/>
  <c r="F88" i="5"/>
  <c r="F146" i="5"/>
  <c r="F106" i="5"/>
  <c r="F223" i="5"/>
  <c r="F70" i="5"/>
  <c r="F17" i="5"/>
  <c r="J9" i="15"/>
  <c r="F99" i="5"/>
  <c r="F214" i="5"/>
  <c r="F30" i="5"/>
  <c r="F86" i="5"/>
  <c r="F42" i="5"/>
  <c r="F221" i="5"/>
  <c r="F161" i="5"/>
  <c r="F243" i="5"/>
  <c r="F21" i="5"/>
  <c r="F186" i="5"/>
  <c r="F20" i="5"/>
  <c r="F229" i="5"/>
  <c r="F154" i="5"/>
  <c r="F185" i="5"/>
  <c r="F212" i="5"/>
  <c r="F209" i="5"/>
  <c r="F23" i="5"/>
  <c r="F118" i="5"/>
  <c r="F101" i="5"/>
  <c r="F231" i="5"/>
  <c r="F108" i="5"/>
  <c r="F153" i="5"/>
  <c r="F172" i="5"/>
  <c r="F32" i="5"/>
  <c r="F213" i="5"/>
  <c r="F117" i="5"/>
  <c r="F105" i="5"/>
  <c r="F82" i="5"/>
  <c r="F138" i="5"/>
  <c r="F95" i="5"/>
  <c r="F187" i="5"/>
  <c r="F41" i="5"/>
  <c r="F126" i="5"/>
  <c r="F119" i="5"/>
  <c r="F94" i="5"/>
  <c r="F196" i="5"/>
  <c r="F76" i="5"/>
  <c r="F109" i="5"/>
  <c r="F67" i="5"/>
  <c r="F151" i="5"/>
  <c r="F89" i="5"/>
  <c r="F39" i="5"/>
  <c r="F230" i="5"/>
  <c r="F222" i="5"/>
  <c r="F36" i="5"/>
  <c r="F60" i="5"/>
  <c r="F195" i="5"/>
  <c r="F236" i="5"/>
  <c r="F211" i="5"/>
  <c r="F58" i="5"/>
  <c r="F167" i="5"/>
  <c r="F111" i="5"/>
  <c r="F139" i="5"/>
  <c r="F184" i="5"/>
  <c r="F18" i="5"/>
  <c r="F37" i="5"/>
  <c r="F35" i="5"/>
  <c r="F22" i="5"/>
  <c r="F216" i="5"/>
  <c r="F145" i="5"/>
  <c r="F241" i="5"/>
  <c r="F31" i="5"/>
  <c r="F166" i="5"/>
  <c r="F137" i="5"/>
  <c r="F217" i="5"/>
  <c r="F169" i="5"/>
  <c r="F69" i="5"/>
  <c r="F144" i="5"/>
  <c r="F248" i="5"/>
  <c r="F215" i="5"/>
  <c r="F61" i="5"/>
  <c r="F100" i="5"/>
  <c r="F51" i="5"/>
  <c r="F156" i="5"/>
  <c r="F59" i="5"/>
  <c r="F107" i="5"/>
  <c r="F87" i="5"/>
  <c r="F120" i="5"/>
  <c r="F174" i="5"/>
  <c r="F202" i="5"/>
  <c r="F205" i="5"/>
  <c r="F143" i="5"/>
  <c r="J39" i="15"/>
  <c r="F43" i="5"/>
  <c r="Q39" i="15"/>
  <c r="F66" i="5"/>
  <c r="F131" i="5"/>
  <c r="D183" i="4"/>
  <c r="D207" i="5"/>
  <c r="F180" i="5"/>
  <c r="J247" i="4"/>
  <c r="D226" i="5"/>
  <c r="H247" i="4"/>
  <c r="C12" i="3"/>
  <c r="D141" i="5"/>
  <c r="D219" i="5"/>
  <c r="D163" i="5"/>
  <c r="H125" i="5"/>
  <c r="H145" i="5"/>
  <c r="H71" i="5"/>
  <c r="H169" i="5"/>
  <c r="H178" i="5"/>
  <c r="H144" i="5"/>
  <c r="H137" i="5"/>
  <c r="H99" i="5"/>
  <c r="H77" i="5"/>
  <c r="H43" i="5"/>
  <c r="H101" i="5"/>
  <c r="H24" i="5"/>
  <c r="H185" i="5"/>
  <c r="H201" i="5"/>
  <c r="H25" i="5"/>
  <c r="H26" i="5"/>
  <c r="H143" i="5"/>
  <c r="H188" i="5"/>
  <c r="H203" i="5"/>
  <c r="H60" i="5"/>
  <c r="H146" i="5"/>
  <c r="H100" i="5"/>
  <c r="H20" i="5"/>
  <c r="H209" i="5"/>
  <c r="H156" i="5"/>
  <c r="H119" i="5"/>
  <c r="H61" i="5"/>
  <c r="H31" i="5"/>
  <c r="H196" i="5"/>
  <c r="H165" i="5"/>
  <c r="H243" i="5"/>
  <c r="H138" i="5"/>
  <c r="H38" i="5"/>
  <c r="H107" i="5"/>
  <c r="H215" i="5"/>
  <c r="H78" i="5"/>
  <c r="H28" i="5"/>
  <c r="H30" i="5"/>
  <c r="H221" i="5"/>
  <c r="H230" i="5"/>
  <c r="H232" i="5"/>
  <c r="H166" i="5"/>
  <c r="H160" i="5"/>
  <c r="H129" i="5"/>
  <c r="H191" i="5"/>
  <c r="H39" i="5"/>
  <c r="H109" i="5"/>
  <c r="H152" i="5"/>
  <c r="H171" i="5"/>
  <c r="H117" i="5"/>
  <c r="H118" i="5"/>
  <c r="H248" i="5"/>
  <c r="H197" i="5"/>
  <c r="H168" i="5"/>
  <c r="H228" i="5"/>
  <c r="H229" i="5"/>
  <c r="H89" i="5"/>
  <c r="H189" i="5"/>
  <c r="H223" i="5"/>
  <c r="H58" i="5"/>
  <c r="H211" i="5"/>
  <c r="H52" i="5"/>
  <c r="H212" i="5"/>
  <c r="H72" i="5"/>
  <c r="H32" i="5"/>
  <c r="H247" i="5"/>
  <c r="H50" i="5"/>
  <c r="H44" i="5"/>
  <c r="H69" i="5"/>
  <c r="H17" i="5"/>
  <c r="H86" i="5"/>
  <c r="K9" i="15"/>
  <c r="K18" i="15" s="1"/>
  <c r="H128" i="5"/>
  <c r="H170" i="5"/>
  <c r="H87" i="5"/>
  <c r="H21" i="5"/>
  <c r="H108" i="5"/>
  <c r="H113" i="5"/>
  <c r="H36" i="5"/>
  <c r="H184" i="5"/>
  <c r="H217" i="5"/>
  <c r="H37" i="5"/>
  <c r="H80" i="5"/>
  <c r="H68" i="5"/>
  <c r="H18" i="5"/>
  <c r="H51" i="5"/>
  <c r="H202" i="5"/>
  <c r="H79" i="5"/>
  <c r="H195" i="5"/>
  <c r="H153" i="5"/>
  <c r="H95" i="5"/>
  <c r="H94" i="5"/>
  <c r="H19" i="5"/>
  <c r="H33" i="5"/>
  <c r="H216" i="5"/>
  <c r="H110" i="5"/>
  <c r="H81" i="5"/>
  <c r="H126" i="5"/>
  <c r="H241" i="5"/>
  <c r="H120" i="5"/>
  <c r="H236" i="5"/>
  <c r="H214" i="5"/>
  <c r="H82" i="5"/>
  <c r="H213" i="5"/>
  <c r="H70" i="5"/>
  <c r="H187" i="5"/>
  <c r="H124" i="5"/>
  <c r="H172" i="5"/>
  <c r="H151" i="5"/>
  <c r="H222" i="5"/>
  <c r="H23" i="5"/>
  <c r="H62" i="5"/>
  <c r="H111" i="5"/>
  <c r="H240" i="5"/>
  <c r="H42" i="5"/>
  <c r="H231" i="5"/>
  <c r="H53" i="5"/>
  <c r="H93" i="5"/>
  <c r="H22" i="5"/>
  <c r="H186" i="5"/>
  <c r="H40" i="5"/>
  <c r="H167" i="5"/>
  <c r="H66" i="5"/>
  <c r="H88" i="5"/>
  <c r="H29" i="5"/>
  <c r="H210" i="5"/>
  <c r="H76" i="5"/>
  <c r="H54" i="5"/>
  <c r="H161" i="5"/>
  <c r="H139" i="5"/>
  <c r="H106" i="5"/>
  <c r="H105" i="5"/>
  <c r="H150" i="5"/>
  <c r="H154" i="5"/>
  <c r="H136" i="5"/>
  <c r="H59" i="5"/>
  <c r="H155" i="5"/>
  <c r="H41" i="5"/>
  <c r="H135" i="5"/>
  <c r="H224" i="5"/>
  <c r="H35" i="5"/>
  <c r="H127" i="5"/>
  <c r="H190" i="5"/>
  <c r="H112" i="5"/>
  <c r="H27" i="5"/>
  <c r="H67" i="5"/>
  <c r="H14" i="5"/>
  <c r="H34" i="5"/>
  <c r="Q40" i="15"/>
  <c r="K39" i="15"/>
  <c r="C250" i="5"/>
  <c r="D205" i="5" s="1"/>
  <c r="H180" i="5"/>
  <c r="L112" i="5"/>
  <c r="L113" i="5"/>
  <c r="L59" i="5"/>
  <c r="L232" i="5"/>
  <c r="L101" i="5"/>
  <c r="L240" i="5"/>
  <c r="L202" i="5"/>
  <c r="L145" i="5"/>
  <c r="L100" i="5"/>
  <c r="L25" i="5"/>
  <c r="L224" i="5"/>
  <c r="L108" i="5"/>
  <c r="L67" i="5"/>
  <c r="L167" i="5"/>
  <c r="L50" i="5"/>
  <c r="L231" i="5"/>
  <c r="L54" i="5"/>
  <c r="L212" i="5"/>
  <c r="L69" i="5"/>
  <c r="L210" i="5"/>
  <c r="L52" i="5"/>
  <c r="L110" i="5"/>
  <c r="L190" i="5"/>
  <c r="L29" i="5"/>
  <c r="L137" i="5"/>
  <c r="L127" i="5"/>
  <c r="L129" i="5"/>
  <c r="L37" i="5"/>
  <c r="L72" i="5"/>
  <c r="L170" i="5"/>
  <c r="L93" i="5"/>
  <c r="L109" i="5"/>
  <c r="L160" i="5"/>
  <c r="L78" i="5"/>
  <c r="L156" i="5"/>
  <c r="L186" i="5"/>
  <c r="L21" i="5"/>
  <c r="L125" i="5"/>
  <c r="L70" i="5"/>
  <c r="L19" i="5"/>
  <c r="L247" i="5"/>
  <c r="L71" i="5"/>
  <c r="L209" i="5"/>
  <c r="L228" i="5"/>
  <c r="L28" i="5"/>
  <c r="L61" i="5"/>
  <c r="L171" i="5"/>
  <c r="L223" i="5"/>
  <c r="L60" i="5"/>
  <c r="L35" i="5"/>
  <c r="L107" i="5"/>
  <c r="L241" i="5"/>
  <c r="L23" i="5"/>
  <c r="L196" i="5"/>
  <c r="L120" i="5"/>
  <c r="L185" i="5"/>
  <c r="L111" i="5"/>
  <c r="L155" i="5"/>
  <c r="L118" i="5"/>
  <c r="L36" i="5"/>
  <c r="L138" i="5"/>
  <c r="L150" i="5"/>
  <c r="L248" i="5"/>
  <c r="L53" i="5"/>
  <c r="L18" i="5"/>
  <c r="L172" i="5"/>
  <c r="L38" i="5"/>
  <c r="L151" i="5"/>
  <c r="L80" i="5"/>
  <c r="L95" i="5"/>
  <c r="L43" i="5"/>
  <c r="L58" i="5"/>
  <c r="L26" i="5"/>
  <c r="L214" i="5"/>
  <c r="L94" i="5"/>
  <c r="L153" i="5"/>
  <c r="L24" i="5"/>
  <c r="L42" i="5"/>
  <c r="L44" i="5"/>
  <c r="L152" i="5"/>
  <c r="L213" i="5"/>
  <c r="L99" i="5"/>
  <c r="L33" i="5"/>
  <c r="L184" i="5"/>
  <c r="L88" i="5"/>
  <c r="L62" i="5"/>
  <c r="L106" i="5"/>
  <c r="M9" i="15"/>
  <c r="M18" i="15" s="1"/>
  <c r="L211" i="5"/>
  <c r="L87" i="5"/>
  <c r="L217" i="5"/>
  <c r="L169" i="5"/>
  <c r="L22" i="5"/>
  <c r="L76" i="5"/>
  <c r="L105" i="5"/>
  <c r="L86" i="5"/>
  <c r="L166" i="5"/>
  <c r="L178" i="5"/>
  <c r="L229" i="5"/>
  <c r="L31" i="5"/>
  <c r="L143" i="5"/>
  <c r="L51" i="5"/>
  <c r="L79" i="5"/>
  <c r="L188" i="5"/>
  <c r="L81" i="5"/>
  <c r="L236" i="5"/>
  <c r="L128" i="5"/>
  <c r="L230" i="5"/>
  <c r="L136" i="5"/>
  <c r="L146" i="5"/>
  <c r="L161" i="5"/>
  <c r="L77" i="5"/>
  <c r="L89" i="5"/>
  <c r="L203" i="5"/>
  <c r="L139" i="5"/>
  <c r="L119" i="5"/>
  <c r="L187" i="5"/>
  <c r="L154" i="5"/>
  <c r="L243" i="5"/>
  <c r="L189" i="5"/>
  <c r="L222" i="5"/>
  <c r="L165" i="5"/>
  <c r="L197" i="5"/>
  <c r="L195" i="5"/>
  <c r="L221" i="5"/>
  <c r="L32" i="5"/>
  <c r="L144" i="5"/>
  <c r="L82" i="5"/>
  <c r="L126" i="5"/>
  <c r="L201" i="5"/>
  <c r="L66" i="5"/>
  <c r="L68" i="5"/>
  <c r="L39" i="5"/>
  <c r="L30" i="5"/>
  <c r="L124" i="5"/>
  <c r="L215" i="5"/>
  <c r="L17" i="5"/>
  <c r="L20" i="5"/>
  <c r="L117" i="5"/>
  <c r="L27" i="5"/>
  <c r="L180" i="5"/>
  <c r="L191" i="5"/>
  <c r="L40" i="5"/>
  <c r="L216" i="5"/>
  <c r="L41" i="5"/>
  <c r="L135" i="5"/>
  <c r="L168" i="5"/>
  <c r="Q42" i="15"/>
  <c r="L46" i="5"/>
  <c r="M39" i="15"/>
  <c r="L34" i="5"/>
  <c r="C199" i="3"/>
  <c r="J210" i="5"/>
  <c r="J78" i="5"/>
  <c r="J196" i="5"/>
  <c r="J125" i="5"/>
  <c r="J113" i="5"/>
  <c r="J33" i="5"/>
  <c r="J221" i="5"/>
  <c r="J178" i="5"/>
  <c r="J106" i="5"/>
  <c r="J101" i="5"/>
  <c r="J184" i="5"/>
  <c r="J136" i="5"/>
  <c r="J222" i="5"/>
  <c r="J209" i="5"/>
  <c r="J79" i="5"/>
  <c r="J187" i="5"/>
  <c r="J129" i="5"/>
  <c r="J82" i="5"/>
  <c r="J107" i="5"/>
  <c r="J118" i="5"/>
  <c r="J108" i="5"/>
  <c r="J217" i="5"/>
  <c r="J43" i="5"/>
  <c r="J154" i="5"/>
  <c r="J214" i="5"/>
  <c r="J95" i="5"/>
  <c r="J52" i="5"/>
  <c r="J153" i="5"/>
  <c r="J236" i="5"/>
  <c r="J215" i="5"/>
  <c r="J23" i="5"/>
  <c r="J76" i="5"/>
  <c r="J44" i="5"/>
  <c r="J168" i="5"/>
  <c r="J224" i="5"/>
  <c r="J146" i="5"/>
  <c r="J42" i="5"/>
  <c r="J29" i="5"/>
  <c r="J30" i="5"/>
  <c r="J31" i="5"/>
  <c r="J245" i="5"/>
  <c r="J229" i="5"/>
  <c r="J26" i="5"/>
  <c r="J117" i="5"/>
  <c r="J86" i="5"/>
  <c r="J161" i="5"/>
  <c r="J22" i="5"/>
  <c r="J39" i="5"/>
  <c r="J110" i="5"/>
  <c r="J37" i="5"/>
  <c r="J27" i="5"/>
  <c r="J94" i="5"/>
  <c r="J20" i="5"/>
  <c r="J89" i="5"/>
  <c r="J167" i="5"/>
  <c r="J25" i="5"/>
  <c r="J223" i="5"/>
  <c r="J166" i="5"/>
  <c r="J50" i="5"/>
  <c r="J69" i="5"/>
  <c r="J51" i="5"/>
  <c r="J111" i="5"/>
  <c r="J155" i="5"/>
  <c r="J191" i="5"/>
  <c r="J201" i="5"/>
  <c r="J34" i="5"/>
  <c r="J213" i="5"/>
  <c r="J124" i="5"/>
  <c r="J72" i="5"/>
  <c r="J247" i="5"/>
  <c r="J151" i="5"/>
  <c r="J70" i="5"/>
  <c r="J54" i="5"/>
  <c r="J211" i="5"/>
  <c r="J87" i="5"/>
  <c r="J17" i="5"/>
  <c r="J197" i="5"/>
  <c r="J36" i="5"/>
  <c r="J80" i="5"/>
  <c r="J186" i="5"/>
  <c r="J216" i="5"/>
  <c r="J109" i="5"/>
  <c r="J100" i="5"/>
  <c r="J231" i="5"/>
  <c r="J81" i="5"/>
  <c r="J243" i="5"/>
  <c r="J119" i="5"/>
  <c r="J152" i="5"/>
  <c r="J160" i="5"/>
  <c r="J93" i="5"/>
  <c r="J203" i="5"/>
  <c r="J40" i="5"/>
  <c r="J66" i="5"/>
  <c r="J112" i="5"/>
  <c r="J127" i="5"/>
  <c r="J21" i="5"/>
  <c r="J41" i="5"/>
  <c r="J240" i="5"/>
  <c r="J139" i="5"/>
  <c r="J185" i="5"/>
  <c r="J202" i="5"/>
  <c r="J195" i="5"/>
  <c r="J156" i="5"/>
  <c r="J58" i="5"/>
  <c r="J165" i="5"/>
  <c r="J248" i="5"/>
  <c r="J35" i="5"/>
  <c r="J241" i="5"/>
  <c r="J138" i="5"/>
  <c r="L9" i="15"/>
  <c r="L18" i="15" s="1"/>
  <c r="J61" i="5"/>
  <c r="J188" i="5"/>
  <c r="J145" i="5"/>
  <c r="J38" i="5"/>
  <c r="J135" i="5"/>
  <c r="J88" i="5"/>
  <c r="J143" i="5"/>
  <c r="J126" i="5"/>
  <c r="J171" i="5"/>
  <c r="J170" i="5"/>
  <c r="J19" i="5"/>
  <c r="J59" i="5"/>
  <c r="J105" i="5"/>
  <c r="J99" i="5"/>
  <c r="J180" i="5"/>
  <c r="J62" i="5"/>
  <c r="J137" i="5"/>
  <c r="J128" i="5"/>
  <c r="J28" i="5"/>
  <c r="J228" i="5"/>
  <c r="J212" i="5"/>
  <c r="J189" i="5"/>
  <c r="J53" i="5"/>
  <c r="J120" i="5"/>
  <c r="J172" i="5"/>
  <c r="J190" i="5"/>
  <c r="J67" i="5"/>
  <c r="J150" i="5"/>
  <c r="J60" i="5"/>
  <c r="J232" i="5"/>
  <c r="J71" i="5"/>
  <c r="J18" i="5"/>
  <c r="J77" i="5"/>
  <c r="J169" i="5"/>
  <c r="J230" i="5"/>
  <c r="J144" i="5"/>
  <c r="J24" i="5"/>
  <c r="J32" i="5"/>
  <c r="J68" i="5"/>
  <c r="Q41" i="15"/>
  <c r="L39" i="15"/>
  <c r="C175" i="3"/>
  <c r="J205" i="5"/>
  <c r="F46" i="5"/>
  <c r="L131" i="5"/>
  <c r="J46" i="5"/>
  <c r="J14" i="5"/>
  <c r="H205" i="5"/>
  <c r="D97" i="5"/>
  <c r="D115" i="5"/>
  <c r="D48" i="5"/>
  <c r="D84" i="5"/>
  <c r="D74" i="5"/>
  <c r="D56" i="5"/>
  <c r="D91" i="5"/>
  <c r="D46" i="5" l="1"/>
  <c r="D180" i="5"/>
  <c r="D247" i="4"/>
  <c r="H250" i="5"/>
  <c r="D117" i="5"/>
  <c r="D42" i="5"/>
  <c r="D124" i="5"/>
  <c r="D87" i="5"/>
  <c r="D228" i="5"/>
  <c r="D69" i="5"/>
  <c r="D23" i="5"/>
  <c r="D105" i="5"/>
  <c r="D185" i="5"/>
  <c r="D231" i="5"/>
  <c r="D26" i="5"/>
  <c r="D95" i="5"/>
  <c r="D178" i="5"/>
  <c r="D78" i="5"/>
  <c r="D126" i="5"/>
  <c r="D212" i="5"/>
  <c r="D52" i="5"/>
  <c r="D138" i="5"/>
  <c r="D201" i="5"/>
  <c r="D107" i="5"/>
  <c r="D25" i="5"/>
  <c r="D236" i="5"/>
  <c r="D196" i="5"/>
  <c r="D89" i="5"/>
  <c r="D128" i="5"/>
  <c r="D211" i="5"/>
  <c r="D29" i="5"/>
  <c r="D214" i="5"/>
  <c r="D197" i="5"/>
  <c r="D184" i="5"/>
  <c r="D209" i="5"/>
  <c r="D50" i="5"/>
  <c r="D213" i="5"/>
  <c r="D152" i="5"/>
  <c r="D109" i="5"/>
  <c r="D62" i="5"/>
  <c r="D76" i="5"/>
  <c r="D153" i="5"/>
  <c r="D106" i="5"/>
  <c r="D80" i="5"/>
  <c r="D119" i="5"/>
  <c r="D189" i="5"/>
  <c r="D38" i="5"/>
  <c r="D215" i="5"/>
  <c r="D79" i="5"/>
  <c r="D81" i="5"/>
  <c r="D71" i="5"/>
  <c r="D188" i="5"/>
  <c r="D229" i="5"/>
  <c r="D51" i="5"/>
  <c r="D195" i="5"/>
  <c r="D136" i="5"/>
  <c r="D223" i="5"/>
  <c r="D86" i="5"/>
  <c r="D53" i="5"/>
  <c r="D217" i="5"/>
  <c r="D129" i="5"/>
  <c r="D165" i="5"/>
  <c r="D21" i="5"/>
  <c r="D37" i="5"/>
  <c r="D151" i="5"/>
  <c r="D186" i="5"/>
  <c r="D241" i="5"/>
  <c r="D155" i="5"/>
  <c r="D146" i="5"/>
  <c r="D167" i="5"/>
  <c r="D18" i="5"/>
  <c r="D247" i="5"/>
  <c r="D118" i="5"/>
  <c r="D58" i="5"/>
  <c r="D30" i="5"/>
  <c r="D156" i="5"/>
  <c r="D125" i="5"/>
  <c r="D172" i="5"/>
  <c r="D113" i="5"/>
  <c r="D99" i="5"/>
  <c r="D248" i="5"/>
  <c r="D82" i="5"/>
  <c r="D36" i="5"/>
  <c r="D33" i="5"/>
  <c r="D120" i="5"/>
  <c r="D70" i="5"/>
  <c r="D166" i="5"/>
  <c r="D203" i="5"/>
  <c r="D160" i="5"/>
  <c r="D17" i="5"/>
  <c r="D101" i="5"/>
  <c r="D137" i="5"/>
  <c r="D221" i="5"/>
  <c r="D77" i="5"/>
  <c r="D154" i="5"/>
  <c r="D108" i="5"/>
  <c r="D59" i="5"/>
  <c r="D161" i="5"/>
  <c r="D111" i="5"/>
  <c r="D22" i="5"/>
  <c r="D139" i="5"/>
  <c r="D44" i="5"/>
  <c r="D171" i="5"/>
  <c r="D100" i="5"/>
  <c r="D94" i="5"/>
  <c r="D39" i="5"/>
  <c r="D145" i="5"/>
  <c r="D170" i="5"/>
  <c r="D110" i="5"/>
  <c r="D28" i="5"/>
  <c r="D210" i="5"/>
  <c r="D54" i="5"/>
  <c r="D150" i="5"/>
  <c r="D20" i="5"/>
  <c r="C256" i="5"/>
  <c r="D222" i="5"/>
  <c r="D187" i="5"/>
  <c r="D61" i="5"/>
  <c r="D243" i="5"/>
  <c r="D40" i="5"/>
  <c r="D232" i="5"/>
  <c r="D19" i="5"/>
  <c r="D174" i="5"/>
  <c r="D88" i="5"/>
  <c r="D93" i="5"/>
  <c r="D72" i="5"/>
  <c r="D35" i="5"/>
  <c r="D240" i="5"/>
  <c r="D191" i="5"/>
  <c r="D31" i="5"/>
  <c r="D60" i="5"/>
  <c r="D202" i="5"/>
  <c r="D224" i="5"/>
  <c r="D190" i="5"/>
  <c r="D27" i="5"/>
  <c r="D34" i="5"/>
  <c r="D169" i="5"/>
  <c r="D66" i="5"/>
  <c r="D68" i="5"/>
  <c r="D168" i="5"/>
  <c r="D24" i="5"/>
  <c r="D43" i="5"/>
  <c r="D143" i="5"/>
  <c r="D135" i="5"/>
  <c r="D216" i="5"/>
  <c r="D230" i="5"/>
  <c r="D67" i="5"/>
  <c r="D112" i="5"/>
  <c r="D41" i="5"/>
  <c r="D144" i="5"/>
  <c r="D32" i="5"/>
  <c r="D127" i="5"/>
  <c r="F250" i="5"/>
  <c r="N9" i="15"/>
  <c r="N33" i="15" s="1"/>
  <c r="O33" i="15" s="1"/>
  <c r="J18" i="15"/>
  <c r="D14" i="5"/>
  <c r="C243" i="3"/>
  <c r="D129" i="3" s="1"/>
  <c r="G129" i="3" s="1"/>
  <c r="D131" i="5"/>
  <c r="J250" i="5"/>
  <c r="L250" i="5"/>
  <c r="D250" i="5" l="1"/>
  <c r="D175" i="3"/>
  <c r="G175" i="3" s="1"/>
  <c r="D12" i="3"/>
  <c r="G12" i="3" s="1"/>
  <c r="D15" i="5"/>
  <c r="D104" i="3"/>
  <c r="G104" i="3" s="1"/>
  <c r="D52" i="3"/>
  <c r="G52" i="3" s="1"/>
  <c r="D69" i="3"/>
  <c r="G69" i="3" s="1"/>
  <c r="D127" i="3"/>
  <c r="G127" i="3" s="1"/>
  <c r="D18" i="3"/>
  <c r="G18" i="3" s="1"/>
  <c r="D240" i="3"/>
  <c r="G240" i="3" s="1"/>
  <c r="D215" i="3"/>
  <c r="G215" i="3" s="1"/>
  <c r="D122" i="3"/>
  <c r="G122" i="3" s="1"/>
  <c r="D31" i="3"/>
  <c r="G31" i="3" s="1"/>
  <c r="D205" i="3"/>
  <c r="G205" i="3" s="1"/>
  <c r="D27" i="3"/>
  <c r="G27" i="3" s="1"/>
  <c r="D103" i="3"/>
  <c r="G103" i="3" s="1"/>
  <c r="D85" i="3"/>
  <c r="G85" i="3" s="1"/>
  <c r="D191" i="3"/>
  <c r="G191" i="3" s="1"/>
  <c r="D162" i="3"/>
  <c r="G162" i="3" s="1"/>
  <c r="D180" i="3"/>
  <c r="G180" i="3" s="1"/>
  <c r="D203" i="3"/>
  <c r="G203" i="3" s="1"/>
  <c r="D153" i="3"/>
  <c r="G153" i="3" s="1"/>
  <c r="D40" i="3"/>
  <c r="G40" i="3" s="1"/>
  <c r="D77" i="3"/>
  <c r="G77" i="3" s="1"/>
  <c r="D179" i="3"/>
  <c r="G179" i="3" s="1"/>
  <c r="D123" i="3"/>
  <c r="G123" i="3" s="1"/>
  <c r="D98" i="3"/>
  <c r="G98" i="3" s="1"/>
  <c r="D208" i="3"/>
  <c r="G208" i="3" s="1"/>
  <c r="D139" i="3"/>
  <c r="G139" i="3" s="1"/>
  <c r="D241" i="3"/>
  <c r="G241" i="3" s="1"/>
  <c r="D67" i="3"/>
  <c r="G67" i="3" s="1"/>
  <c r="D231" i="3"/>
  <c r="G231" i="3" s="1"/>
  <c r="D238" i="3"/>
  <c r="D106" i="3"/>
  <c r="G106" i="3" s="1"/>
  <c r="D156" i="3"/>
  <c r="G156" i="3" s="1"/>
  <c r="D146" i="3"/>
  <c r="G146" i="3" s="1"/>
  <c r="D50" i="3"/>
  <c r="G50" i="3" s="1"/>
  <c r="D111" i="3"/>
  <c r="G111" i="3" s="1"/>
  <c r="D95" i="3"/>
  <c r="G95" i="3" s="1"/>
  <c r="D160" i="3"/>
  <c r="G160" i="3" s="1"/>
  <c r="D105" i="3"/>
  <c r="G105" i="3" s="1"/>
  <c r="D79" i="3"/>
  <c r="G79" i="3" s="1"/>
  <c r="D24" i="3"/>
  <c r="G24" i="3" s="1"/>
  <c r="D48" i="3"/>
  <c r="G48" i="3" s="1"/>
  <c r="D19" i="3"/>
  <c r="G19" i="3" s="1"/>
  <c r="D59" i="3"/>
  <c r="G59" i="3" s="1"/>
  <c r="D184" i="3"/>
  <c r="G184" i="3" s="1"/>
  <c r="D181" i="3"/>
  <c r="G181" i="3" s="1"/>
  <c r="D117" i="3"/>
  <c r="G117" i="3" s="1"/>
  <c r="D51" i="3"/>
  <c r="G51" i="3" s="1"/>
  <c r="D236" i="3"/>
  <c r="G236" i="3" s="1"/>
  <c r="D197" i="3"/>
  <c r="G197" i="3" s="1"/>
  <c r="D211" i="3"/>
  <c r="G211" i="3" s="1"/>
  <c r="D108" i="3"/>
  <c r="G108" i="3" s="1"/>
  <c r="D151" i="3"/>
  <c r="G151" i="3" s="1"/>
  <c r="D68" i="3"/>
  <c r="G68" i="3" s="1"/>
  <c r="D36" i="3"/>
  <c r="G36" i="3" s="1"/>
  <c r="D118" i="3"/>
  <c r="G118" i="3" s="1"/>
  <c r="D206" i="3"/>
  <c r="G206" i="3" s="1"/>
  <c r="D216" i="3"/>
  <c r="G216" i="3" s="1"/>
  <c r="D209" i="3"/>
  <c r="G209" i="3" s="1"/>
  <c r="D84" i="3"/>
  <c r="G84" i="3" s="1"/>
  <c r="D109" i="3"/>
  <c r="G109" i="3" s="1"/>
  <c r="D204" i="3"/>
  <c r="G204" i="3" s="1"/>
  <c r="D76" i="3"/>
  <c r="G76" i="3" s="1"/>
  <c r="D188" i="3"/>
  <c r="G188" i="3" s="1"/>
  <c r="D195" i="3"/>
  <c r="G195" i="3" s="1"/>
  <c r="D167" i="3"/>
  <c r="G167" i="3" s="1"/>
  <c r="D141" i="3"/>
  <c r="G141" i="3" s="1"/>
  <c r="D149" i="3"/>
  <c r="G149" i="3" s="1"/>
  <c r="D21" i="3"/>
  <c r="G21" i="3" s="1"/>
  <c r="D150" i="3"/>
  <c r="G150" i="3" s="1"/>
  <c r="D135" i="3"/>
  <c r="G135" i="3" s="1"/>
  <c r="D57" i="3"/>
  <c r="G57" i="3" s="1"/>
  <c r="D225" i="3"/>
  <c r="G225" i="3" s="1"/>
  <c r="D145" i="3"/>
  <c r="G145" i="3" s="1"/>
  <c r="C250" i="3"/>
  <c r="D99" i="3"/>
  <c r="G99" i="3" s="1"/>
  <c r="D116" i="3"/>
  <c r="G116" i="3" s="1"/>
  <c r="D143" i="3"/>
  <c r="G143" i="3" s="1"/>
  <c r="D113" i="3"/>
  <c r="G113" i="3" s="1"/>
  <c r="D74" i="3"/>
  <c r="G74" i="3" s="1"/>
  <c r="D136" i="3"/>
  <c r="G136" i="3" s="1"/>
  <c r="D20" i="3"/>
  <c r="G20" i="3" s="1"/>
  <c r="D16" i="3"/>
  <c r="G16" i="3" s="1"/>
  <c r="D161" i="3"/>
  <c r="G161" i="3" s="1"/>
  <c r="D75" i="3"/>
  <c r="G75" i="3" s="1"/>
  <c r="D80" i="3"/>
  <c r="G80" i="3" s="1"/>
  <c r="D92" i="3"/>
  <c r="G92" i="3" s="1"/>
  <c r="D222" i="3"/>
  <c r="G222" i="3" s="1"/>
  <c r="D56" i="3"/>
  <c r="G56" i="3" s="1"/>
  <c r="D97" i="3"/>
  <c r="G97" i="3" s="1"/>
  <c r="D60" i="3"/>
  <c r="G60" i="3" s="1"/>
  <c r="D155" i="3"/>
  <c r="G155" i="3" s="1"/>
  <c r="D93" i="3"/>
  <c r="G93" i="3" s="1"/>
  <c r="D35" i="3"/>
  <c r="G35" i="3" s="1"/>
  <c r="D87" i="3"/>
  <c r="G87" i="3" s="1"/>
  <c r="D72" i="3"/>
  <c r="G72" i="3" s="1"/>
  <c r="D171" i="3"/>
  <c r="G171" i="3" s="1"/>
  <c r="D26" i="3"/>
  <c r="G26" i="3" s="1"/>
  <c r="D173" i="3"/>
  <c r="G173" i="3" s="1"/>
  <c r="D190" i="3"/>
  <c r="G190" i="3" s="1"/>
  <c r="D78" i="3"/>
  <c r="G78" i="3" s="1"/>
  <c r="D23" i="3"/>
  <c r="G23" i="3" s="1"/>
  <c r="D165" i="3"/>
  <c r="G165" i="3" s="1"/>
  <c r="D183" i="3"/>
  <c r="G183" i="3" s="1"/>
  <c r="D34" i="3"/>
  <c r="G34" i="3" s="1"/>
  <c r="D147" i="3"/>
  <c r="G147" i="3" s="1"/>
  <c r="D137" i="3"/>
  <c r="G137" i="3" s="1"/>
  <c r="D134" i="3"/>
  <c r="G134" i="3" s="1"/>
  <c r="D28" i="3"/>
  <c r="G28" i="3" s="1"/>
  <c r="D207" i="3"/>
  <c r="G207" i="3" s="1"/>
  <c r="D126" i="3"/>
  <c r="G126" i="3" s="1"/>
  <c r="D169" i="3"/>
  <c r="G169" i="3" s="1"/>
  <c r="D217" i="3"/>
  <c r="G217" i="3" s="1"/>
  <c r="D37" i="3"/>
  <c r="G37" i="3" s="1"/>
  <c r="D115" i="3"/>
  <c r="G115" i="3" s="1"/>
  <c r="D230" i="3"/>
  <c r="G230" i="3" s="1"/>
  <c r="D223" i="3"/>
  <c r="G223" i="3" s="1"/>
  <c r="D166" i="3"/>
  <c r="G166" i="3" s="1"/>
  <c r="D148" i="3"/>
  <c r="G148" i="3" s="1"/>
  <c r="D124" i="3"/>
  <c r="G124" i="3" s="1"/>
  <c r="D49" i="3"/>
  <c r="G49" i="3" s="1"/>
  <c r="D46" i="3"/>
  <c r="G46" i="3" s="1"/>
  <c r="D107" i="3"/>
  <c r="G107" i="3" s="1"/>
  <c r="D42" i="3"/>
  <c r="G42" i="3" s="1"/>
  <c r="D182" i="3"/>
  <c r="G182" i="3" s="1"/>
  <c r="D228" i="3"/>
  <c r="G228" i="3" s="1"/>
  <c r="D15" i="3"/>
  <c r="G15" i="3" s="1"/>
  <c r="D29" i="3"/>
  <c r="G29" i="3" s="1"/>
  <c r="D186" i="3"/>
  <c r="G186" i="3" s="1"/>
  <c r="D17" i="3"/>
  <c r="G17" i="3" s="1"/>
  <c r="D226" i="3"/>
  <c r="G226" i="3" s="1"/>
  <c r="D235" i="3"/>
  <c r="G235" i="3" s="1"/>
  <c r="D91" i="3"/>
  <c r="G91" i="3" s="1"/>
  <c r="D38" i="3"/>
  <c r="G38" i="3" s="1"/>
  <c r="D33" i="3"/>
  <c r="G33" i="3" s="1"/>
  <c r="D70" i="3"/>
  <c r="G70" i="3" s="1"/>
  <c r="D58" i="3"/>
  <c r="G58" i="3" s="1"/>
  <c r="D86" i="3"/>
  <c r="G86" i="3" s="1"/>
  <c r="D32" i="3"/>
  <c r="G32" i="3" s="1"/>
  <c r="D25" i="3"/>
  <c r="G25" i="3" s="1"/>
  <c r="D218" i="3"/>
  <c r="G218" i="3" s="1"/>
  <c r="D65" i="3"/>
  <c r="G65" i="3" s="1"/>
  <c r="D82" i="3"/>
  <c r="G82" i="3" s="1"/>
  <c r="D41" i="3"/>
  <c r="G41" i="3" s="1"/>
  <c r="D164" i="3"/>
  <c r="G164" i="3" s="1"/>
  <c r="D66" i="3"/>
  <c r="G66" i="3" s="1"/>
  <c r="D185" i="3"/>
  <c r="G185" i="3" s="1"/>
  <c r="D210" i="3"/>
  <c r="G210" i="3" s="1"/>
  <c r="D22" i="3"/>
  <c r="G22" i="3" s="1"/>
  <c r="D110" i="3"/>
  <c r="G110" i="3" s="1"/>
  <c r="D30" i="3"/>
  <c r="G30" i="3" s="1"/>
  <c r="D133" i="3"/>
  <c r="G133" i="3" s="1"/>
  <c r="D54" i="3"/>
  <c r="G54" i="3" s="1"/>
  <c r="D39" i="3"/>
  <c r="G39" i="3" s="1"/>
  <c r="D163" i="3"/>
  <c r="G163" i="3" s="1"/>
  <c r="D125" i="3"/>
  <c r="G125" i="3" s="1"/>
  <c r="D224" i="3"/>
  <c r="G224" i="3" s="1"/>
  <c r="D196" i="3"/>
  <c r="G196" i="3" s="1"/>
  <c r="D89" i="3"/>
  <c r="G89" i="3" s="1"/>
  <c r="D233" i="3"/>
  <c r="G233" i="3" s="1"/>
  <c r="D64" i="3"/>
  <c r="G64" i="3" s="1"/>
  <c r="D131" i="3"/>
  <c r="G131" i="3" s="1"/>
  <c r="D62" i="3"/>
  <c r="G62" i="3" s="1"/>
  <c r="D213" i="3"/>
  <c r="G213" i="3" s="1"/>
  <c r="D201" i="3"/>
  <c r="G201" i="3" s="1"/>
  <c r="D101" i="3"/>
  <c r="G101" i="3" s="1"/>
  <c r="D220" i="3"/>
  <c r="G220" i="3" s="1"/>
  <c r="D177" i="3"/>
  <c r="G177" i="3" s="1"/>
  <c r="D193" i="3"/>
  <c r="G193" i="3" s="1"/>
  <c r="D44" i="3"/>
  <c r="G44" i="3" s="1"/>
  <c r="D158" i="3"/>
  <c r="G158" i="3" s="1"/>
  <c r="D13" i="3"/>
  <c r="G13" i="3" s="1"/>
  <c r="D120" i="3"/>
  <c r="G120" i="3" s="1"/>
  <c r="D199" i="3"/>
  <c r="G199" i="3" s="1"/>
  <c r="D243" i="3" l="1"/>
  <c r="G243" i="3" s="1"/>
  <c r="G238" i="3"/>
</calcChain>
</file>

<file path=xl/sharedStrings.xml><?xml version="1.0" encoding="utf-8"?>
<sst xmlns="http://schemas.openxmlformats.org/spreadsheetml/2006/main" count="11559" uniqueCount="1484">
  <si>
    <t>INSTITUTO NACIONAL DE ESTADISTICA Y CENSOS</t>
  </si>
  <si>
    <t>INGRESOS</t>
  </si>
  <si>
    <t>Ingresos Corrientes</t>
  </si>
  <si>
    <t>Total de Ingresos</t>
  </si>
  <si>
    <t>SERIE HISTORICA DE INGRESOS EFECTIVOS</t>
  </si>
  <si>
    <t>%</t>
  </si>
  <si>
    <t>Presupuesto</t>
  </si>
  <si>
    <t>(a)</t>
  </si>
  <si>
    <t>(a-b)</t>
  </si>
  <si>
    <t>(b)</t>
  </si>
  <si>
    <t xml:space="preserve">% </t>
  </si>
  <si>
    <t>Variación</t>
  </si>
  <si>
    <t>(b-c)</t>
  </si>
  <si>
    <t>CUADRO COMPARATIVO DE INGRESOS</t>
  </si>
  <si>
    <t>Decimotercer mes</t>
  </si>
  <si>
    <t>EGRESOS</t>
  </si>
  <si>
    <t>para cada programa (análisis horizontal)</t>
  </si>
  <si>
    <t>Dietas</t>
  </si>
  <si>
    <t>Salario Escolar</t>
  </si>
  <si>
    <t>TRANSFERENCIAS CORRIENTES</t>
  </si>
  <si>
    <t>TOTAL GENERAL</t>
  </si>
  <si>
    <t>MATERIALES Y SUMINISTROS</t>
  </si>
  <si>
    <t>SERVICIOS PERSONALES</t>
  </si>
  <si>
    <t>Ingresos de Capital</t>
  </si>
  <si>
    <t>Ingresos Reales</t>
  </si>
  <si>
    <t>( c )</t>
  </si>
  <si>
    <t>Programa  01</t>
  </si>
  <si>
    <t>Programa 02</t>
  </si>
  <si>
    <t>Programa 03</t>
  </si>
  <si>
    <t>TOTAL</t>
  </si>
  <si>
    <t>Distribución del Presupuesto por Objeto del Gasto</t>
  </si>
  <si>
    <t>Programa 01</t>
  </si>
  <si>
    <t>Partidas/Subpartidas</t>
  </si>
  <si>
    <t>Tiempo Extraordinario</t>
  </si>
  <si>
    <t>Prestaciones Legales</t>
  </si>
  <si>
    <t>Egresos Reales</t>
  </si>
  <si>
    <t>Evolución del Gasto</t>
  </si>
  <si>
    <t>(en colones)</t>
  </si>
  <si>
    <t>INSTITUTO NACIONAL DE ESTADISTICAS Y CENSOS</t>
  </si>
  <si>
    <t>Resumen de los Egresos</t>
  </si>
  <si>
    <t>PARTIDA</t>
  </si>
  <si>
    <t xml:space="preserve">MONTO </t>
  </si>
  <si>
    <t xml:space="preserve">(artículo 3 del reglamento sobre el Refrendo de </t>
  </si>
  <si>
    <t>las Contrataciones de la Administración Pública)</t>
  </si>
  <si>
    <t>DESCRIPCION</t>
  </si>
  <si>
    <t>Ingresos</t>
  </si>
  <si>
    <t>Transferencias de Capital</t>
  </si>
  <si>
    <t>MONTO</t>
  </si>
  <si>
    <t>Detalle</t>
  </si>
  <si>
    <t>Ingresos por concepto de intereses sobre saldos en cuenta corriente e inversiones transitorias, así como la venta de servicios.</t>
  </si>
  <si>
    <t>REMUNERACIONES</t>
  </si>
  <si>
    <t>SERVICIOS</t>
  </si>
  <si>
    <t>CARGAS SOCIALES</t>
  </si>
  <si>
    <t>BIENES DURADEROS</t>
  </si>
  <si>
    <t>CUENTAS ESPECIALES</t>
  </si>
  <si>
    <t>Sumas Libres sin Asignación Presupuestaria</t>
  </si>
  <si>
    <t xml:space="preserve">SERVICIOS </t>
  </si>
  <si>
    <t>Superávit Libre</t>
  </si>
  <si>
    <t>Superávit Específico</t>
  </si>
  <si>
    <t>Sumas con destino específico sin asign. Pres.</t>
  </si>
  <si>
    <t>Aporte del Instituto del Café (ICAFE) para la elaboración del Censo Cafetalero.</t>
  </si>
  <si>
    <t>PROGRAMA 01</t>
  </si>
  <si>
    <t>PROGRAMA 02</t>
  </si>
  <si>
    <t>PROGRAMA 03</t>
  </si>
  <si>
    <t>SUBP.</t>
  </si>
  <si>
    <t>0</t>
  </si>
  <si>
    <t>REMUNERACIONES BASICAS</t>
  </si>
  <si>
    <t>0.01.01</t>
  </si>
  <si>
    <t>0.01.03</t>
  </si>
  <si>
    <t>0.02</t>
  </si>
  <si>
    <t>REMUNERACIONES EVENTUALES</t>
  </si>
  <si>
    <t>0.02.01</t>
  </si>
  <si>
    <t>0.02.05</t>
  </si>
  <si>
    <t>0.03</t>
  </si>
  <si>
    <t>INCENTIVOS SALARIALES</t>
  </si>
  <si>
    <t>0.03.01</t>
  </si>
  <si>
    <t>0.03.02</t>
  </si>
  <si>
    <t>0.03.03</t>
  </si>
  <si>
    <t>0.03.04</t>
  </si>
  <si>
    <t>0.03.99</t>
  </si>
  <si>
    <t>Otros Incentivos Salariales</t>
  </si>
  <si>
    <t>0.04</t>
  </si>
  <si>
    <t>0.04.01</t>
  </si>
  <si>
    <t>0.04.02</t>
  </si>
  <si>
    <t>0.04.03</t>
  </si>
  <si>
    <t>0.04.04</t>
  </si>
  <si>
    <t>0.04.05</t>
  </si>
  <si>
    <t>0.05</t>
  </si>
  <si>
    <t>CONT. PATR. A FONDOS DE PENS. Y CAPITALIZACION</t>
  </si>
  <si>
    <t>0.05.02</t>
  </si>
  <si>
    <t>0.05.03</t>
  </si>
  <si>
    <t>1</t>
  </si>
  <si>
    <t>1.01</t>
  </si>
  <si>
    <t>ALQUILERES</t>
  </si>
  <si>
    <t>1.01.01</t>
  </si>
  <si>
    <t>1.01.02</t>
  </si>
  <si>
    <t>Alquiler de Maquinaria, Equipo y Mobiliario</t>
  </si>
  <si>
    <t>1.01.03</t>
  </si>
  <si>
    <t>Alquiler de Equipo de Cómputo</t>
  </si>
  <si>
    <t>1.01.99</t>
  </si>
  <si>
    <t>Otros Alquileres</t>
  </si>
  <si>
    <t>1.02</t>
  </si>
  <si>
    <t>SERVICIOS BASICOS</t>
  </si>
  <si>
    <t>1.02.01</t>
  </si>
  <si>
    <t>Servicio de Agua y Alcantarillado</t>
  </si>
  <si>
    <t>1.02.02</t>
  </si>
  <si>
    <t>Servicio de Energía Eléctrica</t>
  </si>
  <si>
    <t>1.02.03</t>
  </si>
  <si>
    <t>Servicio de Correo</t>
  </si>
  <si>
    <t>1.02.99</t>
  </si>
  <si>
    <t>Otros Servicios Básicos</t>
  </si>
  <si>
    <t>1.03</t>
  </si>
  <si>
    <t>SERVICIOS COMERCIALES Y FINANCIEROS</t>
  </si>
  <si>
    <t>1.03.01</t>
  </si>
  <si>
    <t>1.03.02</t>
  </si>
  <si>
    <t>1.03.03</t>
  </si>
  <si>
    <t>1.03.04</t>
  </si>
  <si>
    <t>1.03.05</t>
  </si>
  <si>
    <t>1.03.06</t>
  </si>
  <si>
    <t>1.04</t>
  </si>
  <si>
    <t>SERVICIOS DE GESTION Y APOYO</t>
  </si>
  <si>
    <t>1.04.04</t>
  </si>
  <si>
    <t>Servicios en Ciencias Económicas y Sociales</t>
  </si>
  <si>
    <t>1.04.05</t>
  </si>
  <si>
    <t>Servicios de Desarrollo de Sistemas Informáticos</t>
  </si>
  <si>
    <t>1.04.06</t>
  </si>
  <si>
    <t>Servicios Generales</t>
  </si>
  <si>
    <t>1.04.99</t>
  </si>
  <si>
    <t>Otros Servicios de Gestión y Apoyo</t>
  </si>
  <si>
    <t>1.05</t>
  </si>
  <si>
    <t>GASTOS DE VIAJE Y DE TRANSPORTE</t>
  </si>
  <si>
    <t>1.05.01</t>
  </si>
  <si>
    <t>Transporte dentro del País</t>
  </si>
  <si>
    <t>1.05.02</t>
  </si>
  <si>
    <t>1.05.03</t>
  </si>
  <si>
    <t>Transporte al Exterior</t>
  </si>
  <si>
    <t>1.05.04</t>
  </si>
  <si>
    <t>1.06</t>
  </si>
  <si>
    <t>1.06.01</t>
  </si>
  <si>
    <t xml:space="preserve">Seguros </t>
  </si>
  <si>
    <t>1.07</t>
  </si>
  <si>
    <t>CAPACITACION Y PROTOCOLO</t>
  </si>
  <si>
    <t>1.07.01</t>
  </si>
  <si>
    <t>Actividades de Capacitación</t>
  </si>
  <si>
    <t>1.07.02</t>
  </si>
  <si>
    <t>Actividades Protocolarias y Sociales</t>
  </si>
  <si>
    <t>1.07.03</t>
  </si>
  <si>
    <t>Gastos de Representación Institucional</t>
  </si>
  <si>
    <t>1.08</t>
  </si>
  <si>
    <t>MANTENIMIENTO Y REPARACION</t>
  </si>
  <si>
    <t>1.08.01</t>
  </si>
  <si>
    <t>1.08.03</t>
  </si>
  <si>
    <t>Mant. y Rep. de Instalaciones y otras Obras</t>
  </si>
  <si>
    <t>1.08.05</t>
  </si>
  <si>
    <t>1.08.06</t>
  </si>
  <si>
    <t>1.08.07</t>
  </si>
  <si>
    <t>1.08.08</t>
  </si>
  <si>
    <t>1.08.99</t>
  </si>
  <si>
    <t>1.99</t>
  </si>
  <si>
    <t>SERVICIOS DIVERSOS</t>
  </si>
  <si>
    <t>1.99.05</t>
  </si>
  <si>
    <t>Deducibles</t>
  </si>
  <si>
    <t>1.99.99</t>
  </si>
  <si>
    <t>Otros Servicios No Especificados</t>
  </si>
  <si>
    <t>2.01</t>
  </si>
  <si>
    <t>PRODUCTOS QUIMICOS Y CONEXOS</t>
  </si>
  <si>
    <t>2.01.01</t>
  </si>
  <si>
    <t>Combustibles y Lubricantes</t>
  </si>
  <si>
    <t>2.01.02</t>
  </si>
  <si>
    <t>Productos Farmacéuticos y Medicinales</t>
  </si>
  <si>
    <t>2.01.04</t>
  </si>
  <si>
    <t>Tintas, Pinturas y Diluyentes</t>
  </si>
  <si>
    <t>2.01.99</t>
  </si>
  <si>
    <t>2.03</t>
  </si>
  <si>
    <t>2.03.01</t>
  </si>
  <si>
    <t>Materiales y Productos Metálicos</t>
  </si>
  <si>
    <t>2.03.03</t>
  </si>
  <si>
    <t>Madera y sus derivados</t>
  </si>
  <si>
    <t>2.03.04</t>
  </si>
  <si>
    <t>Materiales y Productos Eléctricos, Telefónicos y de Cómputo</t>
  </si>
  <si>
    <t>2.03.05</t>
  </si>
  <si>
    <t>Materiales y Productos de Vidrio</t>
  </si>
  <si>
    <t>2.03.06</t>
  </si>
  <si>
    <t>Materiales y Productos de Plástico</t>
  </si>
  <si>
    <t>2.03.99</t>
  </si>
  <si>
    <t>2.04</t>
  </si>
  <si>
    <t>HERRAMIENTAS, REPUESTOS Y ACCESORIOS</t>
  </si>
  <si>
    <t>2.04.01</t>
  </si>
  <si>
    <t>Herramientas e Instrumentos</t>
  </si>
  <si>
    <t>2.04.02</t>
  </si>
  <si>
    <t>Repuestos y Accesorios</t>
  </si>
  <si>
    <t>2.99</t>
  </si>
  <si>
    <t>2.99.01</t>
  </si>
  <si>
    <t>Utiles y Materiales de Oficina y Cómputo</t>
  </si>
  <si>
    <t>2.99.02</t>
  </si>
  <si>
    <t>2.99.03</t>
  </si>
  <si>
    <t>Productos de Papel, Cartón e Impresos</t>
  </si>
  <si>
    <t>2.99.04</t>
  </si>
  <si>
    <t>Textiles y Vestuarios</t>
  </si>
  <si>
    <t>2.99.05</t>
  </si>
  <si>
    <t>Utiles y Materiales de Limpieza</t>
  </si>
  <si>
    <t>2.99.06</t>
  </si>
  <si>
    <t>Utiles y Materiales de Resguardo y Seguridad</t>
  </si>
  <si>
    <t>2.99.99</t>
  </si>
  <si>
    <t>5.01</t>
  </si>
  <si>
    <t>MAQUINARIA, EQUIPO Y MOBILIARIO</t>
  </si>
  <si>
    <t>5.01.02</t>
  </si>
  <si>
    <t>Equipo de Transporte</t>
  </si>
  <si>
    <t>5.01.03</t>
  </si>
  <si>
    <t>Equipo de Comunicación</t>
  </si>
  <si>
    <t>5.01.04</t>
  </si>
  <si>
    <t>Equipo y Mobiliario de Oficina</t>
  </si>
  <si>
    <t>5.01.05</t>
  </si>
  <si>
    <t>Equipo y Programas de Cómputo</t>
  </si>
  <si>
    <t>5.01.06</t>
  </si>
  <si>
    <t>Equipo Sanitario, de Laboratorio e Investigación</t>
  </si>
  <si>
    <t>5.01.07</t>
  </si>
  <si>
    <t>Equipo y Mobiliario Educacional, Deportivo y  Recreativo</t>
  </si>
  <si>
    <t>5.01.99</t>
  </si>
  <si>
    <t>5.02</t>
  </si>
  <si>
    <t>CONSTRUCCIONES, ADICIONES Y MEJORAS</t>
  </si>
  <si>
    <t>5.02.01</t>
  </si>
  <si>
    <t>Edificios</t>
  </si>
  <si>
    <t>5.02.07</t>
  </si>
  <si>
    <t>Instalaciones</t>
  </si>
  <si>
    <t>Otras Construcciones, Adiciones y Mejoras</t>
  </si>
  <si>
    <t>5.99</t>
  </si>
  <si>
    <t>5.99.99</t>
  </si>
  <si>
    <t>Otros Bienes Duraderos</t>
  </si>
  <si>
    <t xml:space="preserve">TRANSFERENCIAS CORRIENTES </t>
  </si>
  <si>
    <t>6.01</t>
  </si>
  <si>
    <t>6.01.02</t>
  </si>
  <si>
    <t>6.03</t>
  </si>
  <si>
    <t>PRESTACIONES LEGALES</t>
  </si>
  <si>
    <t>6.07</t>
  </si>
  <si>
    <t>6.07.01</t>
  </si>
  <si>
    <t>9.02</t>
  </si>
  <si>
    <t>SUMAS SIN ASIGNACION PRESUPUESTARIA</t>
  </si>
  <si>
    <t>9.02.01</t>
  </si>
  <si>
    <t>9.02.02</t>
  </si>
  <si>
    <t>Financiamiento</t>
  </si>
  <si>
    <t>CONTRIB. PATR. AL DESARROLLO Y SEG. SOCIAL</t>
  </si>
  <si>
    <t>SEGUROS, REASEGUROS Y OTRAS OBLIGACIONES</t>
  </si>
  <si>
    <t>MATERIALES PARA CONSTRUCCION Y MANTENIMIENTO</t>
  </si>
  <si>
    <t>UTILES, MATERIALES Y SUMINISTROS DIVERSOS</t>
  </si>
  <si>
    <t>Utiles y Materiales Médico, Hospitalario y de Investigación</t>
  </si>
  <si>
    <t>TRANSFERENCIAS CORRIENTES AL SECTOR PUBLICO</t>
  </si>
  <si>
    <t>TRANSFERENCIAS CORRIENTES AL SECTOR EXTERNO</t>
  </si>
  <si>
    <t>Sumas con Destino Específico sin Asignación Presupuestaria</t>
  </si>
  <si>
    <t>CLASIFICACION DE GASTOS POR PROGRAMAS</t>
  </si>
  <si>
    <t>UNIDAD DE FINANZAS</t>
  </si>
  <si>
    <t>CLASIFICACION DE INGRESOS</t>
  </si>
  <si>
    <t>INGRESOS TOTALES</t>
  </si>
  <si>
    <t>1.0.0.0.00.00.0.0.000</t>
  </si>
  <si>
    <t>INGRESOS CORRIENTES</t>
  </si>
  <si>
    <t>1.3.0.0.00.00.0.0.000</t>
  </si>
  <si>
    <t xml:space="preserve">   INGRESOS NO TRIBUTARIOS</t>
  </si>
  <si>
    <t>1.3.1.0.00.00.0.0.000</t>
  </si>
  <si>
    <t xml:space="preserve">      Venta de bienes y servicios</t>
  </si>
  <si>
    <t xml:space="preserve"> 1.3.1.2.09.09.0.0.000</t>
  </si>
  <si>
    <t xml:space="preserve">          Venta de otros servicios</t>
  </si>
  <si>
    <t>1.4.0.0.00.00.0.0.000</t>
  </si>
  <si>
    <t>1.4.1.0.00.00.0.0.000</t>
  </si>
  <si>
    <t>3.0.0.0.00.00.0.0.000</t>
  </si>
  <si>
    <t>FINANCIAMIENTO</t>
  </si>
  <si>
    <t>3.3.0.0.00.00.0.0.000</t>
  </si>
  <si>
    <t xml:space="preserve">      Recursos de vigencias anteriores</t>
  </si>
  <si>
    <t xml:space="preserve"> 3.3.1.0.00.00.0.0.000</t>
  </si>
  <si>
    <t>AREA DE ADMINISTRACION Y FINANZAS</t>
  </si>
  <si>
    <t xml:space="preserve">ESTADO DE ORIGEN Y APLICACIÓN DE RECURSOS </t>
  </si>
  <si>
    <t>en colones</t>
  </si>
  <si>
    <t>ORIGEN DE LOS RECURSOS</t>
  </si>
  <si>
    <t>TRANSFERENCIAS CORRIENTES DEL SECTOR PUBLICO</t>
  </si>
  <si>
    <t xml:space="preserve">   TRANSFERENCIAS CTES DEL GOBIERNO CENTRAL</t>
  </si>
  <si>
    <t xml:space="preserve">   TRANSF. CTES INST. PUBLICAS FINANCIERAS B.C.C.R.</t>
  </si>
  <si>
    <t>APLICACIÓN DE LOS RECURSOS</t>
  </si>
  <si>
    <t>TRANSFERENCIAS CORRIENTES DE ORGANISMOS INTERNAC.</t>
  </si>
  <si>
    <t>1.4.1.1.00.00.0.0.000</t>
  </si>
  <si>
    <t>1.4.3.0.00.00.0.0.000</t>
  </si>
  <si>
    <t>1.4.3.1.00.00.0.0.000</t>
  </si>
  <si>
    <t>Transferencias Corrientes del Sector Externo</t>
  </si>
  <si>
    <t>Transferencias Corrientes de Organismos Internacionales</t>
  </si>
  <si>
    <t>Recursos de Vigencias Anteriores</t>
  </si>
  <si>
    <t>Recursos de Vig. Ant.</t>
  </si>
  <si>
    <t>Transferencias corrientes de Organismos Internacionales</t>
  </si>
  <si>
    <t>0.01</t>
  </si>
  <si>
    <t>1.02.04</t>
  </si>
  <si>
    <t>SUMAS SIN ASIG. PRESUPUESTARIA</t>
  </si>
  <si>
    <t>CONSTRUC., ADICIONES Y MEJORAS</t>
  </si>
  <si>
    <t>Transferencias Corrientes del Gobierno Central</t>
  </si>
  <si>
    <t>TRANSFERENCIAS CORRIENTES DEL SECTOR EXTERNO</t>
  </si>
  <si>
    <t>1.4.1.6.00.00.0.0.000</t>
  </si>
  <si>
    <t>¢</t>
  </si>
  <si>
    <t>1.04.03</t>
  </si>
  <si>
    <t>6.03.01</t>
  </si>
  <si>
    <t>Transferencias corrientes  de Instituciones Públicas Financieras - BCCR.</t>
  </si>
  <si>
    <t>Transferencias Ctes de Instituciones Públicas Financieras</t>
  </si>
  <si>
    <t xml:space="preserve">Transferencias corrientes de Instituciones Públicas Desconcentradas </t>
  </si>
  <si>
    <t>2.02</t>
  </si>
  <si>
    <t>ALIMENTOS Y PRODUCTOS AGROPECUARIOS</t>
  </si>
  <si>
    <t>2.02.03</t>
  </si>
  <si>
    <t>Alimentos y Bebidas</t>
  </si>
  <si>
    <t>6.01.01</t>
  </si>
  <si>
    <t>Transferencias Corrientes al Gobierno Central</t>
  </si>
  <si>
    <t>PROGRAMA 04</t>
  </si>
  <si>
    <t xml:space="preserve">    INGRESOS NO TRIBUTARIOS</t>
  </si>
  <si>
    <t>RECURSOS DE VIGENCIAS ANTERIORES</t>
  </si>
  <si>
    <t>6.07.02</t>
  </si>
  <si>
    <t>Ingresos No Tributarios</t>
  </si>
  <si>
    <t>Programa 04</t>
  </si>
  <si>
    <t>Alimentos y bebidas</t>
  </si>
  <si>
    <t>CLASIFICACION</t>
  </si>
  <si>
    <t xml:space="preserve">JUSTIFICACION </t>
  </si>
  <si>
    <t xml:space="preserve">TOTAL INGRESOS </t>
  </si>
  <si>
    <t>2.99.07</t>
  </si>
  <si>
    <t>Otras Transferencias Corrientes al Sector Externo</t>
  </si>
  <si>
    <t xml:space="preserve">          Superávit libre</t>
  </si>
  <si>
    <t xml:space="preserve"> 3.3.2.0.00.00.0.0.000</t>
  </si>
  <si>
    <t xml:space="preserve">          Superávit específico</t>
  </si>
  <si>
    <t>Suplencias</t>
  </si>
  <si>
    <t>Otras Remuneraciones</t>
  </si>
  <si>
    <t xml:space="preserve">Superávit Libre </t>
  </si>
  <si>
    <t>6.06</t>
  </si>
  <si>
    <t>6.06.01</t>
  </si>
  <si>
    <t>Indemnizaciones</t>
  </si>
  <si>
    <t xml:space="preserve"> </t>
  </si>
  <si>
    <t>6.0601</t>
  </si>
  <si>
    <t>Imdemnizaciones</t>
  </si>
  <si>
    <t>Ingresos por concepto de intereses sobre saldos en cuenta corriente e inversiones transitorias, así como la venta de bienes y servicios.</t>
  </si>
  <si>
    <t>Transferencias corrientes de Organismos Internacionales -</t>
  </si>
  <si>
    <t xml:space="preserve">Corresponde a los recursos aprobados por el Gobierno de la República para Proyecto Censo Nacional Agropecuario 2012 - 2014 según ley N°9071 del 17 de setiembre del 2012 </t>
  </si>
  <si>
    <t>(en  colones)</t>
  </si>
  <si>
    <t>SUBTOTAL REMUNERACIONES E INCENTIVOS</t>
  </si>
  <si>
    <t>0.01.05</t>
  </si>
  <si>
    <t>SUBTOTAL CARGAS SOCIALES</t>
  </si>
  <si>
    <t>0.99</t>
  </si>
  <si>
    <t>REMUNERACIONES DIVERSAS</t>
  </si>
  <si>
    <t>0.99.99</t>
  </si>
  <si>
    <t>Otras remuneraciones</t>
  </si>
  <si>
    <t>1.03.07</t>
  </si>
  <si>
    <t>Servicio de transferencia electrónica de información</t>
  </si>
  <si>
    <t>1.04.02</t>
  </si>
  <si>
    <t>Servicios jurídicos</t>
  </si>
  <si>
    <t>Servicios de ingeniería</t>
  </si>
  <si>
    <t>1.08.04</t>
  </si>
  <si>
    <t>1.09</t>
  </si>
  <si>
    <t>IMPUESTOS</t>
  </si>
  <si>
    <t>1.09.99</t>
  </si>
  <si>
    <t>Otros impuestos</t>
  </si>
  <si>
    <t>1.99.02</t>
  </si>
  <si>
    <t>Intereses moratorios y multas</t>
  </si>
  <si>
    <t>Útiles y materiales de cocina y comedor</t>
  </si>
  <si>
    <t>5.99.03</t>
  </si>
  <si>
    <t>Bienes intangibles</t>
  </si>
  <si>
    <t>Transferencias corrientes al Gobierno Central</t>
  </si>
  <si>
    <t>OTRAS TRANSFERENCIAS CORRIENTES AL SECTOR PRIVADO</t>
  </si>
  <si>
    <t>5.01.01</t>
  </si>
  <si>
    <t>Maquinaria y Equipo para la Producción</t>
  </si>
  <si>
    <t>ENAHO</t>
  </si>
  <si>
    <t xml:space="preserve">      SUPERAVIT LIBRE</t>
  </si>
  <si>
    <t xml:space="preserve">      SUPERAVIT ESPECIFICO</t>
  </si>
  <si>
    <t>Información</t>
  </si>
  <si>
    <t>Publicidad y Propaganda</t>
  </si>
  <si>
    <t>Impresión, Encuadernación y Otros</t>
  </si>
  <si>
    <t>Transporte de Bienes</t>
  </si>
  <si>
    <t>Viáticos en el Exterior</t>
  </si>
  <si>
    <t>Sueldos por Cargos Fijos</t>
  </si>
  <si>
    <t>Servicios Especiales</t>
  </si>
  <si>
    <t>Retribución por años servidos</t>
  </si>
  <si>
    <t>Restricción al ejercicio liberal de la profesión</t>
  </si>
  <si>
    <t>Salario escolar</t>
  </si>
  <si>
    <t>Contribución Patronal al Seguro de Salud de la C.C.S.S.</t>
  </si>
  <si>
    <t>Contribución Patronal al Instituto Mixto de Ayuda Social</t>
  </si>
  <si>
    <t>Contribución Patronal al Instituto Nacional de Aprendizaje</t>
  </si>
  <si>
    <t>Comisiones y Gastos por Servicios Financieros y Comerciales</t>
  </si>
  <si>
    <t>Viáticos dentro del País</t>
  </si>
  <si>
    <t>Viáticos al Exterior</t>
  </si>
  <si>
    <t>Mant. y Rep. de Maquinaria y Equipo de Producción</t>
  </si>
  <si>
    <t>Otros Productos Químicos y Conexos</t>
  </si>
  <si>
    <t>Madera y sus Derivados</t>
  </si>
  <si>
    <t>Otros Materiales de Uso en la Construcción y Mantenimiento</t>
  </si>
  <si>
    <t>Otros Utiles, Materiales y Suministros Diversos</t>
  </si>
  <si>
    <t>Maquinaria y Equipo y Mobiliario Diverso</t>
  </si>
  <si>
    <t>Transferencias Corrientes a Organos Desconcentrados</t>
  </si>
  <si>
    <t>Servicio de Telecomunicaciones</t>
  </si>
  <si>
    <t>INDICE</t>
  </si>
  <si>
    <t>Justificación de Ingresos</t>
  </si>
  <si>
    <t>Comparativo de Ingresos</t>
  </si>
  <si>
    <t>Distribución de Presupuesto por Objeto del Gasto</t>
  </si>
  <si>
    <t xml:space="preserve">Egresos </t>
  </si>
  <si>
    <t>Estado de Origen y Aplicación de Recursos</t>
  </si>
  <si>
    <t>Clasificación de Gastos</t>
  </si>
  <si>
    <t xml:space="preserve">Justificación de Gastos </t>
  </si>
  <si>
    <t>Justificación de Partidas y/o Subpartidas</t>
  </si>
  <si>
    <t>Partida /
Subpartida</t>
  </si>
  <si>
    <t>Monto
(en colones)</t>
  </si>
  <si>
    <t>Justificación</t>
  </si>
  <si>
    <t xml:space="preserve">Relación objetivos específicos o metas
</t>
  </si>
  <si>
    <t>Se relaciona con todos los objetivos y metas del programa</t>
  </si>
  <si>
    <t>Reconocimiento adicional al salario base que se paga cada vez que el funcionario cumple años de laborar en la institución pública, de acuerdo con la categoría de salarios en que esté ubicado su puesto.</t>
  </si>
  <si>
    <t>Compensación económica al servidor al que por legislación vigente se le ha impuesto la restricción al ejercicio de la profesión que ostenta en su cargo.</t>
  </si>
  <si>
    <t>Pago de salario adicional para los funcionarios, en cumplimiento de lo establecido en la ley de aguinaldos para Instituciones Autónomas.</t>
  </si>
  <si>
    <t>Pago de salario escolar para los funcionarios, en cumplimiento a lo establecido en la ley de salario escolar.</t>
  </si>
  <si>
    <t>Comprende el pago de otros incentivos como carrera profesional, de los profesionales de diferentes especialidades según corresponda. Asimismo, pago de incentivos que se reconocen a los profesionales y técnicos en Ciencias Médicas e incentivo para los estadísticos.</t>
  </si>
  <si>
    <t>Cuota patronal a la Caja Costarricense de Seguro Social por concepto de salud.</t>
  </si>
  <si>
    <t>Aporte patronal que se debe cancelar al I.M.A.S, según la Ley N°4760, artículo 3°.</t>
  </si>
  <si>
    <t>Aporte patronal que se debe cancelar al I.N.A., según la Ley N°6868, artículo 15.</t>
  </si>
  <si>
    <t>Aporte patronal al Fondo de Desarrollo Social y Asignaciones Familiares, según la  Ley N°5662, artículo 15.</t>
  </si>
  <si>
    <t>Aporte patronal que se debe cancelar al Banco Popular, según la Ley N°4351, artículo 5°.</t>
  </si>
  <si>
    <t>Aporte patronal al Régimen Obligatorio de Pensiones Complementarias, según lo establecido en la Ley de Protección al Trabajador Ley N°7983.</t>
  </si>
  <si>
    <t>TOTAL PARTIDA</t>
  </si>
  <si>
    <t>Compra de artículos de plástico y otros necesarios para el mantenimiento del edificio y en atención al artículo 36 de la Ley Nacional de Emergencias.</t>
  </si>
  <si>
    <t>Medicamentos y otros implementos que la C.C.S.S. no distribuye y son necesarios para la atención médica de los funcionarios, tales como gasa, alcohol, jeringas, papel para camilla, tiras reactivas entre otros.</t>
  </si>
  <si>
    <t>Recursos necesarios para la adquisición de papel de todo tipo, necesario para la operación normal de la Institución.</t>
  </si>
  <si>
    <t>Parte de los recursos necesarios para la compra de bolsas plásticas para basura, escobas, ceras, desinfectantes, jabón y cualquier otro producto para la limpieza de las instalaciones.</t>
  </si>
  <si>
    <t>Pago de Cuotas a Organismos Internacionales, según corresponde al Instituto establecido en la Ley 3418 artículo 1° proyectado en base a los gastos administrativos del año 2010 según lo establece el artículo 2° de la mencionada ley.</t>
  </si>
  <si>
    <t xml:space="preserve">TOTAL PROGRAMA </t>
  </si>
  <si>
    <t>TOTAL PROGRAMA 01</t>
  </si>
  <si>
    <t>TOTAL PROGRAMA 02</t>
  </si>
  <si>
    <t>Programa Nº 03: Producción Estadística</t>
  </si>
  <si>
    <t>Útiles y materiales de oficina requeridos para las labores ordinarias del Programa</t>
  </si>
  <si>
    <t>TOTAL PROGRAMA 03</t>
  </si>
  <si>
    <t>TOTAL PROGRAMA 04</t>
  </si>
  <si>
    <t>Contempla la compra de cartuchos para las impresoras de los diferentes subproceso del Programa.</t>
  </si>
  <si>
    <t xml:space="preserve">Para atender lo establecido en el artículo 46 de la Ley Nacional de Emergencias, donde el Instituto debe trasladar el 3% del superávit del año anterior. </t>
  </si>
  <si>
    <t>0.05.01</t>
  </si>
  <si>
    <t>Recursos necesarios para la sustitución de teléfonos ya que algunos se encuentran dañados por el uso diario y la antigüedad de los mismos</t>
  </si>
  <si>
    <t>Programa Nº 01: Administración Superior y Servicios de Apoyo</t>
  </si>
  <si>
    <t>Administración Superior y Servicios de Apoyo</t>
  </si>
  <si>
    <t>Por concepto de suplencias del personal de campo, en casos de incapacidades por maternidad y/o enfermedad que ameriten estar fuera por un lapso prolongado de tiempo</t>
  </si>
  <si>
    <t>Adquisición de materiales y productos eléctricos para los diferentes proyectos, ya que se dañan por el uso constante</t>
  </si>
  <si>
    <t>Difusión y Promoción de la Producción  Estadística</t>
  </si>
  <si>
    <t>Programa Nº 04: Difusión y Promoción de la Producción Estadística</t>
  </si>
  <si>
    <t>UNICEF</t>
  </si>
  <si>
    <t>5</t>
  </si>
  <si>
    <t>Producción Estadística</t>
  </si>
  <si>
    <t>Rectoría Técnica de las Estadísticas Nacionales</t>
  </si>
  <si>
    <t>Programa Nº 02: Rectoría Técnica de las Estadísticas Nacionales</t>
  </si>
  <si>
    <t xml:space="preserve">Para la cancelación de un incentivo a estudiantes que realicen práctica estudiantil,  esto debido al apoyo que se necesita en la elaboración de los procesos institucionales </t>
  </si>
  <si>
    <t>Para la adquisición de computadoras e impresoras según el plan de sustitución de equipo de computo realizado por la Unidad Técnica de Sistemas de Información, además  activos para el proyecto de rediseño de la infraestructura  tecnológica del INEC.</t>
  </si>
  <si>
    <t>Para la adquisición de Coffe Maker utilizado en las reuniones y actividades del Área que se realicen con representantes de otras instituciones tanto nacionales como internacionales y del CONACE.</t>
  </si>
  <si>
    <t>Esta solicitud se hace con el fin de tener horas extras aprobadas para funcionarios del Área del SEN y de Diseño Gráfico, quienes normalmente nos apoyan en trabajos especiales urgentes y en algunas ocasiones imprevistos.</t>
  </si>
  <si>
    <t>Comprende los recursos para la compra de agua, café, galletas y bocadillos necesarios para la atención de funcionarios de otras instituciones en actividades oficiales, así como la atención de las reuniones.</t>
  </si>
  <si>
    <t>Para la compra y sustitución de sillas ya que se encuentran dañadas por el uso constante . Estas sillas deben ser ergonómica 100% (cervical y lumbar), avalada por la comisión de salud ocupacional de INEC.</t>
  </si>
  <si>
    <t>Para la actualizar de varias licencias que requiere la institución para su labor ordinaria</t>
  </si>
  <si>
    <t>Adquisición de camisetas para el personal del ASIDE que va participar en la Feria del Libro así tener más presencia, consideramos es un medio donde se logra  divulgar nuestros servicios y productos de una manera más oportuna a la ciudadanía que frecuenta a ese evento. así como la compra de banderas</t>
  </si>
  <si>
    <t>Corresponde al pago de prestaciones legales de los funcionarios de este programa que se acogerán a la jubilación laboral por años de servicio</t>
  </si>
  <si>
    <t>Banco Mundial</t>
  </si>
  <si>
    <t>BCCR</t>
  </si>
  <si>
    <t xml:space="preserve">   TRANSFERENCIAS CTES DE INST. DESENTRALIZADAS</t>
  </si>
  <si>
    <t>TRANSFERENCIAS CORRIENTES DE INSTITUCIONES DESCENTRALIZADAS</t>
  </si>
  <si>
    <t xml:space="preserve">      CONSEJO NACIONAL DE LA PERSONA CON DISCAPACIDAD (CONAPDIS)</t>
  </si>
  <si>
    <t>BANCO MUNDIAL</t>
  </si>
  <si>
    <t>Pago de Cuotas a Organismos Internacionales, según corresponde al Instituto establecido en la Ley 3418 artículo 1° proyectado en base a los gastos administrativos del año 2017 según lo establece el artículo 2° de la mencionada ley.</t>
  </si>
  <si>
    <t xml:space="preserve">Para la cancelación de un incentivo a estudiantes que realicen práctica estudiantil,  esto debido al apoyo que se necesita en la elaboración de los procesos institucionales Y recursos que son aportados por el BCCR para el proceso de reestructura </t>
  </si>
  <si>
    <t>.</t>
  </si>
  <si>
    <t>Viáticos Dentro del País</t>
  </si>
  <si>
    <t>Aporte Patronal al Fondo de Capitalización Laboral</t>
  </si>
  <si>
    <t>Transporte Dentro del País</t>
  </si>
  <si>
    <t>1.4.1.3.00.00.0.0.000</t>
  </si>
  <si>
    <t xml:space="preserve">   TRANSF. CTES INST.   DESCENTRALIZADASNO EMPRESARIALES</t>
  </si>
  <si>
    <t>Corresponde a la estimación por concepto de la compra de productos para velar por la salud y protección del personal.</t>
  </si>
  <si>
    <t>Para el mantenimiento preventivo y habitual de oficinas, bodegas, áreas verdes, reparaciones menores en techos, paredes, pisos, servicios sanitarios, piletas, así como la reparación de los sistemas eléctricos y telefónicos.</t>
  </si>
  <si>
    <t>Materiales requeridos para la impresión de gafetes por parte de la Unidad de Recursos Humanos</t>
  </si>
  <si>
    <t>Para las diferentes reuniones, talleres y capacitaciones que se llevan a cabo a lo largo del año con representantes de otras instituciones tanto nacionales como internacionales.</t>
  </si>
  <si>
    <t>Insumos para el buen funcionamiento del consultorio para la atención de los pacientes</t>
  </si>
  <si>
    <t>Compra de herramientas para el  mantenimiento preventivo y reapariciones menores del edificio y mobiliario</t>
  </si>
  <si>
    <t>Recursos para el pago de extremos laborales de funcionarios que se acogen así pensión por años de servicio.</t>
  </si>
  <si>
    <t>Se requiere la compra de indumentaria y artículos básicos de prevención</t>
  </si>
  <si>
    <t>Recursos para la compra de Vehículos de los Proyectos Encuesta Nacional de Ingreso y Gastos (ENIGH), que se realizara durante todo el 2018, y el inicio de las diferentes etapas del Censo Nacional de Vivienda 2020, dichos vehículos son requeridos ya que según estudio realizado y por la cantidad de tiempo requeridos es mas conveniente para la Institución en el ahorro de recursos la compra que el alquiler de los mismos, pasada estas encuestas estos vehículos entraran dentro del plan de sustitución de la flotilla que tiene mas de 5 años de antigüedad.</t>
  </si>
  <si>
    <t>Compra de repelente, bloqueadores solares para uso de los funcionarios del programa.</t>
  </si>
  <si>
    <t>El kit se requiere debido al desgaste normal causado por su uso constante y según lo analizado durante el primer año de uso. El flash se requiere para que las sesiones fotografías que se realizan en interiores queden con la calidad y luz requerida.</t>
  </si>
  <si>
    <t>Para compra de vasos, platos entre otros artículos que se requieren para la atención de diferentes reuniones  del programa.</t>
  </si>
  <si>
    <t xml:space="preserve">Para la compra y sustitución de sillas ya que se encuentran dañadas por el uso constante,  estas sillas deben ser ergonómica 100% (cervical y lumbar), avalada por la comisión de salud ocupacional de INEC y mobiliario de oficina </t>
  </si>
  <si>
    <t>Otros materiales para el mantenimiento preventivo y habitual de oficinas</t>
  </si>
  <si>
    <t>Para la compra y sustitución de sillas ya que se encuentran dañadas por el uso constante,  estas sillas deben ser ergonómica 100% (cervical y lumbar), avalada por la comisión de salud ocupacional de INEC, para la compra de mobiliario de oficina para nuevos funcionarios o sustitución de los que se dañan.</t>
  </si>
  <si>
    <t>Se requiere para el mantenimiento habitual del edificio, pegamento de contacto</t>
  </si>
  <si>
    <t>0.02.02</t>
  </si>
  <si>
    <t>Recargo de funciones</t>
  </si>
  <si>
    <t>1.04.01</t>
  </si>
  <si>
    <t>Servicios médicos y de laboratorio</t>
  </si>
  <si>
    <t>0.02.03</t>
  </si>
  <si>
    <t xml:space="preserve">Sueldos para cargos fijos </t>
  </si>
  <si>
    <t>0.01.02</t>
  </si>
  <si>
    <t>Jornales</t>
  </si>
  <si>
    <t>Servicios especiales</t>
  </si>
  <si>
    <t>0.01.04</t>
  </si>
  <si>
    <t>Sueldos a base de comisión</t>
  </si>
  <si>
    <t xml:space="preserve">Suplencias </t>
  </si>
  <si>
    <t>Tiempo extraordinario</t>
  </si>
  <si>
    <t>Disponibilidad laboral</t>
  </si>
  <si>
    <t>0.02.04</t>
  </si>
  <si>
    <t>Compensación de vacaciones</t>
  </si>
  <si>
    <t>Otros incentivos salariales</t>
  </si>
  <si>
    <t>0.99.01</t>
  </si>
  <si>
    <t>Gastos de representación personal</t>
  </si>
  <si>
    <t>Contribución Patronal al Seguro de Salud de la Caja Costarricense de Seguro Social</t>
  </si>
  <si>
    <t xml:space="preserve">Contribución Patronal al Instituto Mixto de Ayuda Social </t>
  </si>
  <si>
    <t xml:space="preserve">Contribución Patronal al Instituto Nacional de Aprendizaje  </t>
  </si>
  <si>
    <t>Contribución Patronal al Fondo de Desarrollo Social  y Asignaciones Familiares</t>
  </si>
  <si>
    <t>Contribución Patronal al Banco Popular y de Desarrollo  Comunal</t>
  </si>
  <si>
    <t xml:space="preserve">Contribución Patronal al Seguro de Pensiones de la Caja Costarricense de Seguro Social  </t>
  </si>
  <si>
    <t xml:space="preserve">Aporte Patronal al Régimen Obligatorio de Pensiones  Complementarias </t>
  </si>
  <si>
    <t xml:space="preserve">Aporte Patronal al Fondo de Capitalización Laboral </t>
  </si>
  <si>
    <t>0.05.04</t>
  </si>
  <si>
    <t>Contribución Patronal a otros fondos administrados por entes públicos</t>
  </si>
  <si>
    <t>0.05.05</t>
  </si>
  <si>
    <t>Contribución Patronal a otros fondos administrados por entes privados</t>
  </si>
  <si>
    <t>Alquiler de edificios, locales y terrenos</t>
  </si>
  <si>
    <t>Alquiler de maquinaria, equipo y mobiliario</t>
  </si>
  <si>
    <t>Alquiler de equipo de cómputo</t>
  </si>
  <si>
    <t>1.01.04</t>
  </si>
  <si>
    <t>Alquiler  de equipo y derechos para telecomunicaciones</t>
  </si>
  <si>
    <t>Otros alquileres</t>
  </si>
  <si>
    <t xml:space="preserve">Servicio de agua y alcantarillado </t>
  </si>
  <si>
    <t>Servicio de energía eléctrica</t>
  </si>
  <si>
    <t>Servicio de correo</t>
  </si>
  <si>
    <t>Servicio de telecomunicaciones</t>
  </si>
  <si>
    <t xml:space="preserve">Otros servicios básicos </t>
  </si>
  <si>
    <t xml:space="preserve">Información </t>
  </si>
  <si>
    <t>Publicidad y propaganda</t>
  </si>
  <si>
    <t>Impresión, encuadernación y otros</t>
  </si>
  <si>
    <t>Transporte de bienes</t>
  </si>
  <si>
    <t>Servicios aduaneros</t>
  </si>
  <si>
    <t>Comisiones y gastos por servicios financieros y comerciales</t>
  </si>
  <si>
    <t>Servicios de tecnologías de información</t>
  </si>
  <si>
    <t xml:space="preserve">Servicios jurídicos </t>
  </si>
  <si>
    <t>Servicios en ciencias económicas y sociales</t>
  </si>
  <si>
    <t>Servicios informáticos</t>
  </si>
  <si>
    <t xml:space="preserve">Servicios generales </t>
  </si>
  <si>
    <t>Otros servicios de gestión y apoyo</t>
  </si>
  <si>
    <t>Transporte dentro del país</t>
  </si>
  <si>
    <t>Viáticos dentro del país</t>
  </si>
  <si>
    <t>Transporte en el exterior</t>
  </si>
  <si>
    <t>Viáticos en el exterior</t>
  </si>
  <si>
    <t>1.06.02</t>
  </si>
  <si>
    <t xml:space="preserve">Reaseguros </t>
  </si>
  <si>
    <t>1.06.03</t>
  </si>
  <si>
    <t>Obligaciones por contratos de seguros</t>
  </si>
  <si>
    <t>Actividades de capacitación</t>
  </si>
  <si>
    <t xml:space="preserve">Actividades protocolarias y sociales </t>
  </si>
  <si>
    <t>Gastos de representación institucional</t>
  </si>
  <si>
    <t>Mantenimiento de edificios, locales y terrenos</t>
  </si>
  <si>
    <t>1.08.02</t>
  </si>
  <si>
    <t>Mantenimiento de vías de comunicación</t>
  </si>
  <si>
    <t>Mantenimiento de instalaciones y otras obras</t>
  </si>
  <si>
    <t>Mantenimiento y reparación de maquinaria y equipo de producción</t>
  </si>
  <si>
    <t>Mantenimiento y reparación de equipo de transporte</t>
  </si>
  <si>
    <t>Mantenimiento y reparación de equipo de comunicación</t>
  </si>
  <si>
    <t>Mantenimiento y reparación de equipo y mobiliario de oficina</t>
  </si>
  <si>
    <t>Mantenimiento y reparación de otros equipos</t>
  </si>
  <si>
    <t>1.99.01</t>
  </si>
  <si>
    <t>Servicios de regulación</t>
  </si>
  <si>
    <t>1.99.03</t>
  </si>
  <si>
    <t>Gastos de oficinas en el exterior</t>
  </si>
  <si>
    <t>1.99.04</t>
  </si>
  <si>
    <t>Gastos de misiones especiales en el exterior</t>
  </si>
  <si>
    <t>Otros servicios no especificados</t>
  </si>
  <si>
    <t>Combustibles y lubricantes</t>
  </si>
  <si>
    <t>Productos farmacéuticos y medicinales</t>
  </si>
  <si>
    <t>2.01.03</t>
  </si>
  <si>
    <t>Productos veterinarios</t>
  </si>
  <si>
    <t xml:space="preserve">Tintas, pinturas y diluyentes </t>
  </si>
  <si>
    <t>Otros productos químicos y conexos</t>
  </si>
  <si>
    <t>2.02.01</t>
  </si>
  <si>
    <t>Productos pecuarios y otras especies</t>
  </si>
  <si>
    <t>2.02.02</t>
  </si>
  <si>
    <t>Productos agroforestales</t>
  </si>
  <si>
    <t>2.02.04</t>
  </si>
  <si>
    <t>Alimentos para animales</t>
  </si>
  <si>
    <t>MATERIALES Y PRODUCTOS DE USO EN LA CONSTRUCCIÓN Y MANTENIMIENTO</t>
  </si>
  <si>
    <t>Materiales y productos metálicos</t>
  </si>
  <si>
    <t>2.03.02</t>
  </si>
  <si>
    <t>Materiales y productos minerales y asfálticos</t>
  </si>
  <si>
    <t>Materiales y productos eléctricos, telefónicos y de cómputo</t>
  </si>
  <si>
    <t>Materiales y productos de vidrio</t>
  </si>
  <si>
    <t>Materiales y productos de plástico</t>
  </si>
  <si>
    <t>Otros materiales y productos de uso en la construcción y mantenimiento.</t>
  </si>
  <si>
    <t>Herramientas e instrumentos</t>
  </si>
  <si>
    <t>Repuestos y accesorios</t>
  </si>
  <si>
    <t>ÚTILES, MATERIALES Y SUMINISTROS DIVERSOS</t>
  </si>
  <si>
    <t>Útiles y materiales de oficina y cómputo</t>
  </si>
  <si>
    <t>Útiles y materiales médico, hospitalario y de investigación</t>
  </si>
  <si>
    <t>Productos de papel, cartón e impresos</t>
  </si>
  <si>
    <t>Textiles y vestuario</t>
  </si>
  <si>
    <t>Útiles y materiales de limpieza</t>
  </si>
  <si>
    <t>Útiles y materiales de resguardo y seguridad</t>
  </si>
  <si>
    <t>Otros útiles, materiales y suministros diversos</t>
  </si>
  <si>
    <t>TRANSFERENCIAS CORRIENTES AL SECTOR PÚBLICO</t>
  </si>
  <si>
    <t>Transferencias corrientes a Órganos Desconcentrados</t>
  </si>
  <si>
    <t>6.01.03</t>
  </si>
  <si>
    <t>Transferencias corrientes a Instituciones Descentralizadas no  Empresariales</t>
  </si>
  <si>
    <t>6.01.04</t>
  </si>
  <si>
    <t>Transferencias corrientes a Gobiernos Locales.</t>
  </si>
  <si>
    <t>6.01.05</t>
  </si>
  <si>
    <t>Transferencias corrientes a Empresas Públicas no Financieras</t>
  </si>
  <si>
    <t>6.01.06</t>
  </si>
  <si>
    <t xml:space="preserve">Transferencias corrientes a Instituciones  Públicas Financieras </t>
  </si>
  <si>
    <t>6.01.07</t>
  </si>
  <si>
    <t>Dividendos</t>
  </si>
  <si>
    <t>6.01.08</t>
  </si>
  <si>
    <t>Fondos en fideicomiso para gasto corriente</t>
  </si>
  <si>
    <t>6.01.09</t>
  </si>
  <si>
    <t>Impuestos por transferir</t>
  </si>
  <si>
    <t>1.09.01</t>
  </si>
  <si>
    <t>Impuestos sobre ingresos y utilidades</t>
  </si>
  <si>
    <t>1.09.02</t>
  </si>
  <si>
    <t xml:space="preserve">Impuestos sobre la propiedad de  bienes inmuebles          </t>
  </si>
  <si>
    <t>1.09.03</t>
  </si>
  <si>
    <t>Impuestos de patentes</t>
  </si>
  <si>
    <t>6.02</t>
  </si>
  <si>
    <t>TRANSFERENCIAS CORRIENTES A PERSONAS</t>
  </si>
  <si>
    <t>6.02.01</t>
  </si>
  <si>
    <t>Becas a funcionarios</t>
  </si>
  <si>
    <t>6.02.02</t>
  </si>
  <si>
    <t>Becas a terceras personas</t>
  </si>
  <si>
    <t>6.02.03</t>
  </si>
  <si>
    <t xml:space="preserve">Ayudas a funcionarios </t>
  </si>
  <si>
    <t>6.02.99</t>
  </si>
  <si>
    <t>Otras transferencias a personas</t>
  </si>
  <si>
    <t>Prestaciones legales</t>
  </si>
  <si>
    <t>6.03.02</t>
  </si>
  <si>
    <t xml:space="preserve">Pensiones y jubilaciones contributivas </t>
  </si>
  <si>
    <t>6.03.03</t>
  </si>
  <si>
    <t xml:space="preserve">Pensiones no contributivas </t>
  </si>
  <si>
    <t>6.03.04</t>
  </si>
  <si>
    <t>Decimotercer mes de jubilaciones y pensiones</t>
  </si>
  <si>
    <t>6.03.99</t>
  </si>
  <si>
    <t xml:space="preserve">Otras prestaciones </t>
  </si>
  <si>
    <t>OTRAS TRANSFERENCIAS CORRIENTES AL  SECTOR PRIVADO</t>
  </si>
  <si>
    <t>6.06.02</t>
  </si>
  <si>
    <t>Reintegros o devoluciones</t>
  </si>
  <si>
    <t>Transferencias corrientes a organismos internacionales</t>
  </si>
  <si>
    <t xml:space="preserve">Otras transferencias corrientes al sector externo </t>
  </si>
  <si>
    <t>Maquinaria y equipo para la producción</t>
  </si>
  <si>
    <t>Equipo de transporte</t>
  </si>
  <si>
    <t>Equipo de comunicación</t>
  </si>
  <si>
    <t>Equipo y mobiliario de oficina</t>
  </si>
  <si>
    <t>Equipo de  cómputo</t>
  </si>
  <si>
    <t>Equipo sanitario, de laboratorio e investigación</t>
  </si>
  <si>
    <t>Equipo y mobiliario educacional, deportivo y recreativo</t>
  </si>
  <si>
    <t>Maquinaria, equipo y mobiliario  diverso</t>
  </si>
  <si>
    <t>BIENES DURADEROS DIVERSOS</t>
  </si>
  <si>
    <t>5.99.02</t>
  </si>
  <si>
    <t>Piezas y obras de colección</t>
  </si>
  <si>
    <t>Otros bienes duraderos</t>
  </si>
  <si>
    <t>ACTIVOS FINANCIEROS</t>
  </si>
  <si>
    <t>4.99</t>
  </si>
  <si>
    <t>4.99.99</t>
  </si>
  <si>
    <t>Otros activos financieros</t>
  </si>
  <si>
    <t>Sumas libres sin asignación presupuestaria</t>
  </si>
  <si>
    <t>Sumas con destino específico sin asignación presupuestaria</t>
  </si>
  <si>
    <t xml:space="preserve">Diferencias salariales que se reconocen a los funcionarios en forma adicional a su salario habitual, que se derivan del reconocimiento por asumir en forma temporal los deberes y responsabilidades de un cargo de nivel superior por ausencia de su titular. </t>
  </si>
  <si>
    <t xml:space="preserve">Suma requerida para el pago del servicio de envío y recepción de documentos y materiales hacia las distintas zonas de trabajo de campo, mediante contrato según demanda por 4 años con la empresa Correos de Costa Rica. </t>
  </si>
  <si>
    <t>Recursos necesarios para publicaciones institucionales en la Gaceta</t>
  </si>
  <si>
    <t>Corresponde al pago de comisiones y gastos financieros a entidades bancarias por concepto de transferencias bancarias, uso de la Plataforma de compras SICOP y otros.</t>
  </si>
  <si>
    <t>Se requiere para el mantenimiento habitual de las instalaciones y remodelaciones internas menores y cumplimiento de la Ley 7600</t>
  </si>
  <si>
    <t>Contempla parte de los recursos necesarios para los gastos por mantenimiento y reparación preventiva y habitual de los vehículos que son utilizados en las diferentes etapas de las Encuestas.</t>
  </si>
  <si>
    <t>Corresponde a una provisión mínima requerida para el pago eventual de deducibles en caso de accidentes de tránsito de alguno de los vehículos asegurados de la institución.</t>
  </si>
  <si>
    <t>Conforme a los artículos 167 y 168 del Código Procesal Contencioso Administrativo, es necesario presupuestar un monto estimado para la atención de indemnizaciones por la eventual cancelación de obligaciones judiciales con sentencia en firme.</t>
  </si>
  <si>
    <t>Se consideran recursos para el pago del servicio de agua potable, estimación se realiza de acuerdo al espacio asignado y estimación consumo según del personal del programa.</t>
  </si>
  <si>
    <t xml:space="preserve">Para cubrir el pago de peajes, parqueos y taxis ante posibles eventualidades en donde funcionarios (as) del Área del SEN, deben asistir a talleres, reuniones, capacitaciones y otras actividades propias de sus funciones, para las cuales en ocasiones no se cuenta con el servicio de transporte institucional disponible en el momento. </t>
  </si>
  <si>
    <t>Materiales requeridos para la impresión de gafetes</t>
  </si>
  <si>
    <t>Cancelación de tiempo extraordinario del personal que labora para el programa y proyectos que deba realizara trabajos extraordinarios fuera del tiempo laboral</t>
  </si>
  <si>
    <t>Alquiler de Servidores Virtuales para Censo Piloto. Alquiler de 10 servidores virtuales durante 3 meses para el Censo 2021</t>
  </si>
  <si>
    <t>Considera el pago de servicio de traslado nacional e internacional de toda clase de correspondencia postal, alquiler de apartados postales y adquisición de estampillas.</t>
  </si>
  <si>
    <t>Se consideran recursos para realizar una medicina preventiva en los puestos de trabajo de centro de llamadas, aparte de los aspectos de ergonomía, dentro de la medicina preventiva, es importante realizarles a los trabajadores la audiometría de rastreo, para poder evidenciar a futuro si el uso o carga de trabajo influye en la pérdida de la audición de los trabajadores. Recomendado por el doctor.</t>
  </si>
  <si>
    <t>Participar en la Feria del Libro, se necesita alquilar un stand espacioso para poner pantalla táctil y poder divulgar el Censo Nacional2021. Es un espacio donde se aprovecha para promocionar los servicios y productos que produce el INEC.</t>
  </si>
  <si>
    <t>Mantenimiento preventivo de guillotina eléctrica y afilado de cuchilla. Modelo Máxima 480V6 V8.2. Se requiere que el equipo este funcionando correctamente para el refilado de los diferentes trabajos que se reproducen para la promoción y divulgación de los productos institucionales tales como: boletines, folletos, libros, tarjetas de presentación entre otros.</t>
  </si>
  <si>
    <t>Mantenimiento de impresora RICOH SP C830DNA. Se requiere para que el equipo este funcionando correctamente durante la reproducción de los diferentes trabajos para la promoción y divulgación de los productos institucionales tales como: boletines, folletos, libros, tarjetas de presentación entre otros.</t>
  </si>
  <si>
    <t xml:space="preserve">Para continuar con el plan de sustitución y reemplazar la silla de seis funcionarios las cuales se encuentran en mal estado por uso diario, estas sillas cumplen los requerimientos de ergonomía </t>
  </si>
  <si>
    <t>Consultoría Jurídica en lo referente a los términos la  contratación del personal censista que participara en el Censo Nacional</t>
  </si>
  <si>
    <t>Recursos para la compra de microondas para el ingreso de mas personal por motivo del Censo Nacional , además se requiere la sustitución de otros que se han dañado por el uso constante, y para la compra de extintores de vehículos</t>
  </si>
  <si>
    <t>Transferencias Corrientes del Gobierno Central (Primas de Seguros)</t>
  </si>
  <si>
    <t xml:space="preserve">   TRANSFERENCIAS CTES DEL GOBIERNO CENTRAL (PRIMAS DE SEGUROS)</t>
  </si>
  <si>
    <t>Transferencias Ctes de Instituciones Descentralizadas No Empresariales</t>
  </si>
  <si>
    <t>Recursos del Banco Mundial para la elaboración del Sistema Integrado de Encuesta a Hogares (SIEH)</t>
  </si>
  <si>
    <t>Transferencias corrientes del Ejercicio del Gobierno Central. Ley N° 9694</t>
  </si>
  <si>
    <t xml:space="preserve">Recursos del Instituto Nacional de la Mujer (INAMU) para el financiamiento de la Encuesta Nacional de Violencia contra la Mujer. </t>
  </si>
  <si>
    <t>Remuneración básica o salario base que se otorga al personal que sustituye temporalmente al titular de un puesto, que se encuentra ausente por motivo de licencias, vacaciones, incapacidades u otros que impliquen el goce de salario del titular, por un periodo predefinido e implica relación laboral con la institución.</t>
  </si>
  <si>
    <t>Comprende los recursos para la compra de agua, café, galletas y bocadillos necesarios para la atención de reuniones de colaboradores y  funcionarios de otras instituciones en actividades oficiales, así como la atención de las reuniones del Consejo Directivo</t>
  </si>
  <si>
    <t>Transferencias corrientres de Institutciones Desc no Empresariales</t>
  </si>
  <si>
    <t xml:space="preserve"> Ingresos por Venta de Servicios proyectados para el próximo año, con el fin de financiar actividades propuestas para el próximo año. 
</t>
  </si>
  <si>
    <t xml:space="preserve">Proyecto de Inversión </t>
  </si>
  <si>
    <t>Para reuniones y talleres que se llevan a cabo como parte de las funciones de coordinación de las entidades del Sistema Estadístico Nacional (SEN).</t>
  </si>
  <si>
    <t xml:space="preserve">Recursos para el mantenimiento y la reparación de línea blanca , que por el constante uso se deteriora </t>
  </si>
  <si>
    <t>Para la compra y sustitución de sillas ya que se encuentran dañadas por el uso constante,  estas sillas deben ser ergonómica 100% (cervical y lumbar), avalada por la comisión de salud ocupacional, así como mobiliario de oficina que se debe sustituir.</t>
  </si>
  <si>
    <t>Compra de candados de seguridad para las computadoras portátiles.</t>
  </si>
  <si>
    <t>Cancelación de prestaciones legales del personal que termina contrato en el año 2021</t>
  </si>
  <si>
    <t>Transferencias Corrientes del Gobierno Central (Censo Nacional)</t>
  </si>
  <si>
    <t>Estimado</t>
  </si>
  <si>
    <t>Acumulado Labor Ordinario</t>
  </si>
  <si>
    <t>Acumulado Ley 9694</t>
  </si>
  <si>
    <t>CNPV</t>
  </si>
  <si>
    <t>PNUD</t>
  </si>
  <si>
    <t>ENADIS</t>
  </si>
  <si>
    <t>CONAPE</t>
  </si>
  <si>
    <t xml:space="preserve">Pago administrativo de los dispositivos quick pass por concepto de peaje. </t>
  </si>
  <si>
    <t>Comprende los recursos para la compra de agua, café, galletas y bocadillos necesarios para la atención de funcionarios de otras instituciones en actividades oficiales, incluido el Censo Nacional de Población y Vivienda</t>
  </si>
  <si>
    <t xml:space="preserve">Para organizar la actividad con la participación de todo el sector del Sistema de Estadística Nacional.
Para actividades con diferentes actores sociales, a partir de la estrategia para impulsar la cultura estadística.
Con la Política de Servicio a la ciudadanía el INEC se compromete a mejorar el acceso a la información y demás servicios que ofrece para el conocimiento de la realidad nacional y la toma informada de decisiones.  En un contexto de modernización institucional donde se incrementan las necesidades por las estadísticas nacionales, es indispensable mejorar y expandir los medios y contenidos de la comunicación estadística institucional, que no sólo contemple la difusión y promoción, sino también su acceso y uso. De ahí que impulsar la cultura estadística mediante acciones estratégicas con los distintos actores sociales, requiere de la organización de una serie de actividades protocolarias, para sensibilizar a grupos de interés y ejecutar una serie de acciones para promover el acceso y uso de la producción estadística oficial. </t>
  </si>
  <si>
    <t>Para la adquisición de computadoras según el plan de sustitución de equipo de computo realizado por la Unidad Técnica de Sistemas de Información</t>
  </si>
  <si>
    <t>Para el pago de Cuotas a Organismos Internacionales, según corresponde al Instituto establecido en la Ley 3418 artículo 1° proyectado en base a los gastos administrativos del año 2017 según lo establece el artículo 2° de la mencionada ley.</t>
  </si>
  <si>
    <t xml:space="preserve">Transferencias corrientes del Ejercicio del Gobierno Central. Aporte Ley N° 9694, </t>
  </si>
  <si>
    <t>Transferencias corrientes del Ejercicio del Gobierno Central. Aporte Ley N°9694</t>
  </si>
  <si>
    <t>Transferencias corrientes del Ejercicio del Gobierno Central. (CNPV)</t>
  </si>
  <si>
    <t>ENAHO  Estimado</t>
  </si>
  <si>
    <t>CONAPE Estimado</t>
  </si>
  <si>
    <t xml:space="preserve">Transferencias corrientes el Presupuesto Nacional de la Republica, para la realización del XI Censo Nacional de Población y VII de vivienda </t>
  </si>
  <si>
    <t xml:space="preserve">   TRANSFERENCIAS CTES DEL GOBIERNO CENTRAL (CNPV)</t>
  </si>
  <si>
    <t>Erogaciones por concepto de multas e intereses, por atrasos en pago de sus obligaciones</t>
  </si>
  <si>
    <t>Pago administrativo de los dispositivos quick pass por concepto de peaje.</t>
  </si>
  <si>
    <t>Compra de microondas para sustituir el dañado por el uso.</t>
  </si>
  <si>
    <t>Para el mantenimiento preventivo y habitual de las oficinas del Instituto en el cambio o sustitución de ventanas, celosías, vidrios de seguridad entre otros</t>
  </si>
  <si>
    <t xml:space="preserve">Continuidad del servicio de desarrollo e implementación del nuevo sitio web del INEC.  Se requiere que el sitio web satisfaga las demandas de la población usuaria en forma fácil y accesible. La mejora del sitio se desarrolla en varias etapas, unas realizadas en el 2020 y otras propias de la implementación que se llevarán a cabo en el 2021 y 2022. Es importante recordar que el actual sitio fue diseñado en el 2015, bajo análisis de mercado y con las plataformas existentes en el momento, aunado a un acelerado cambio en recursos tecnológicos y un fuerte incremento de la demanda de nuestras estadísticas. Además el sitio actual obtuvo una baja calificación por parte del OTAI y el INCAE, en lo que a posibilidades de acceso para personas con discapacidad se refiere.  </t>
  </si>
  <si>
    <t>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t>
  </si>
  <si>
    <t>Transferencias corrientes del Ejercicio del Gobierno Central. (Primas de seguros)  Ley N° 9694</t>
  </si>
  <si>
    <t>Transferencias Ctes de Instituciones Públicas Financieras Ley N° 9694</t>
  </si>
  <si>
    <t xml:space="preserve">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 C-465-2020 de 25 de noviembre de 2020
Recursos para ser modificados en cumplimiento de la regla fiscal, como parte de  limite de crecimiento del gasto corriente en el proceso de ejecución y así cubrir algunas necesidades propias del programa </t>
  </si>
  <si>
    <t>4</t>
  </si>
  <si>
    <t>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 C-465-2020 de 25 de noviembre de 2020
Se incluyen recursos para ser modificados en cumplimiento de la regla fiscal, como parte de  limite de crecimiento del gasto corriente en el proceso de ejecución y así cubrir algunas necesidades propias del programa, entre ellos plazas , servicios, materiales de los proyectos ENADEL, ENIHG y ENFIHO
Adicionalmente en esta subpartida se  incluyen recursos por  el monto de ¢2 200 millones para el financiamiento de la continuidad de las plazas del proyecto CNPV 2022, y de  los proyectos que se avalen financiar en el momento que el poder Legislativo apruebe la reforma a la ley que se presentó el  expediente 22.702, con el cual se ajusta la redacción del artículo 53 y adiciona un artículo 53 bis a la Ley del Sistema de Estadística Nacional (Ley 9694) para que la aplicación de la regla fiscal no impida la presupuestarían de los recursos necesarios para la ejecución del Censo y otros ejercicios estadísticos que tengan una periodicidad superior a los 2 años y se financien con los recursos de superávit que reserve el INEC.</t>
  </si>
  <si>
    <t>SUBPARTIDA</t>
  </si>
  <si>
    <t>01 - PROGRAMA 01: Administración Superior</t>
  </si>
  <si>
    <t>02 - PROGRAMA 02: Coordinación del Sistema Estadístico Nacional</t>
  </si>
  <si>
    <t>03 - PROGRAMA 03: Producción Estadística</t>
  </si>
  <si>
    <t>04 - PROGRAMA 04: Divulgación y promoción de la producción estadí</t>
  </si>
  <si>
    <t>Sueldos para Cargos Fijos</t>
  </si>
  <si>
    <t>0.01 - REMUNERACIONES BASICAS</t>
  </si>
  <si>
    <t>0.02 - REMUNERACIONES EVENTUALES</t>
  </si>
  <si>
    <t>Decimotercer Mes</t>
  </si>
  <si>
    <t>0.03 - INCENTIVOS SALARIALES</t>
  </si>
  <si>
    <t>Contribución Patronal al Seguro de Salud de la Caja Costarricense del Seguro Social</t>
  </si>
  <si>
    <t>Contribución Patronal al Banco Popular y de Desarrollo Comunal</t>
  </si>
  <si>
    <t>0.04 - CONTRIBUCIONES PATRONALES AL DESARROLLO Y SEGURIDAD SOCIAL</t>
  </si>
  <si>
    <t>Contribución Patronal al Seguro de Pensiones  de la Caja Costarricense de Seguro Social</t>
  </si>
  <si>
    <t>Aporte Patronal al Régimen Obligatorio de Pensiones Complementarias</t>
  </si>
  <si>
    <t>0.05 - CONTRIBUCIONES PATRONALES A FONDOS DE PENSIONES Y OTROS FOND</t>
  </si>
  <si>
    <t>0 - REMUNERACIONES</t>
  </si>
  <si>
    <t>1.01 - ALQUILERES</t>
  </si>
  <si>
    <t>(ICE) Servicio de telecomunicaciones</t>
  </si>
  <si>
    <t>1.02 - SERVICIOS BASICOS</t>
  </si>
  <si>
    <t>1.03 - SERVICIOS COMERCIALES Y FINANCIEROS</t>
  </si>
  <si>
    <t>Servicios Jurídicos</t>
  </si>
  <si>
    <t>1.04 - SERVICIOS DE GESTION Y APOYO</t>
  </si>
  <si>
    <t>1.05 - GASTOS DE VIAJE Y DE TRANSPORTE</t>
  </si>
  <si>
    <t>1.06.01.01</t>
  </si>
  <si>
    <t>Seguro de Riesgos del Trabajo (INS)</t>
  </si>
  <si>
    <t>1.06 - SEGUROS, REASEGUROS Y OTRAS OBLIGACIONES</t>
  </si>
  <si>
    <t>1.07 - CAPACITACION Y PROTOCOLO</t>
  </si>
  <si>
    <t>Mantenimiento y Reparación de Equipo de Transporte</t>
  </si>
  <si>
    <t>Mantenimiento y Reparación de Equipo de Comunicación</t>
  </si>
  <si>
    <t>Mantenimiento y Reparación de Equipo y Mobiliario de Oficina</t>
  </si>
  <si>
    <t>Mantenimiento y reparación de equipo de cómputo y  sistemas de información</t>
  </si>
  <si>
    <t>1.08 - MANTENIMIENTO Y REPARACION</t>
  </si>
  <si>
    <t>Otros Impuestos</t>
  </si>
  <si>
    <t>1.09 - IMPUESTOS</t>
  </si>
  <si>
    <t>1.99 - SERVICIOS DIVERSOS</t>
  </si>
  <si>
    <t>1 - SERVICIOS</t>
  </si>
  <si>
    <t>2.01 - PRODUCTOS QUIMICOS Y CONEXOS</t>
  </si>
  <si>
    <t>2.03 - MATERIALES Y PRODUCTOS DE USO EN LA CONSTRUCCIÓN Y MANTENIMI</t>
  </si>
  <si>
    <t>2.04 - HERRAMIENTAS, REPUESTOS Y ACCESORIOS</t>
  </si>
  <si>
    <t>Textiles y Vestuario</t>
  </si>
  <si>
    <t>Otros Utiles, Materiales y Suministros diversos</t>
  </si>
  <si>
    <t>2.99 - UTILES, MATERIALES Y SUMINISTROS DIVERSOS</t>
  </si>
  <si>
    <t>2 - MATERIALES Y SUMINISTROS</t>
  </si>
  <si>
    <t>5.01 - MAQUINARIA, EQUIPO Y MOBILIARIO</t>
  </si>
  <si>
    <t>Derechos de autor</t>
  </si>
  <si>
    <t>5.99 - CONSTRUCCIONES, ADICIONES Y MEJORAS</t>
  </si>
  <si>
    <t>5 - BIENES DURADEROS</t>
  </si>
  <si>
    <t>6.01 - TRANSFERENCIAS CORRIENTES AL SECTOR PUBLICO</t>
  </si>
  <si>
    <t>6.02 - TRANSFERENCIAS CORRIENTES A PERSONAS</t>
  </si>
  <si>
    <t>6.03 - PRESTACIONES</t>
  </si>
  <si>
    <t>Otras Transferencias corrientes al Sector Externo</t>
  </si>
  <si>
    <t>6.07 - TRANSFERENCIAS CORRIENTES AL SECTOR EXTERNO</t>
  </si>
  <si>
    <t>6 - TRANSFERENCIAS CORRIENTES</t>
  </si>
  <si>
    <t>INEC</t>
  </si>
  <si>
    <t>Reporte Clasificación de Gastos (CGR)</t>
  </si>
  <si>
    <t>Transferencias corrientes  de Instituciones Públicas Financieras BCCR. Aporte Ley N°9694</t>
  </si>
  <si>
    <t>Se requieren recursos para el servicio de grúa para remolcar vehículos institucionales que por algún factor mecánico u otra sea requerido.</t>
  </si>
  <si>
    <t xml:space="preserve">OTROS ACTIVOS FINANCIEROS </t>
  </si>
  <si>
    <t>Salario Base de servicios especial para cubrir  plazas en cumplimiento del Decreto N°.43.542-MP-MICITT sobre la Emergencia Nacional en el Sector Público, debido a los cibercrímenes que han afectado la estructura de los Sistemas de Información de distintas instituciones del país.
Plaza requerida para el cumplimiento normativo y el fortalecimiento e implementación del Sistema Específico de Valoración del Riesgo Institucional (SEVRI) el INEC dispone del Marco orientador y metodología para la implementación del Sistema Específico de Valoración del Riesgo Institucional (SEVRI)</t>
  </si>
  <si>
    <t xml:space="preserve">Recursos para contratar la elaboración de presupuestos detallados de la construcción de edificios, a partir de los planos constructivos e información agregada de la estructura de costos de cada obra. Estos presupuestos deben tener un nivel de desagregación adecuado para clasificar los materiales, maquinaria, equipo y servicios según el nivel establecido de la clasificación estadística a utilizar.   
Se considera necesario para el rediseño de los Índice de Precios de la Construcción, los servicios de una contratación con el propósito de obtener la información requerida para definir los índices a calcular, sus estructuras y ponderaciones; sin esta información no es posible finalizar el rediseño de dichos indicadores. </t>
  </si>
  <si>
    <t>Recursos para la compra de la cámara fotográfica digital marca PENTAX modelo K-70, por cuanto corresponde a la versión actualizada de la cámara que tiene asignada actualmente el ASIDE y al comprar este modelo se podrán aprovechar algunos accesorios de los cuales ya se dispone, funcionan perfectamente y son compatibles con el modelo del equipo por adquirir, a saber:  PENTAX AF 360 GFZ II FLASH,  SIGMA 10-20MM F3.5 EX DC HSM PENTAX lente gran angular, TARJETA SD 32 GB, estuche general con correa de mano y hombro, trípode y cabezal de trípode.
Cabe mencionar que la cámara asignada actualmente al ASIDE fue adquirida hace poco más de 15 años y ha venido presentando problemas de funcionamiento. Se le realizó una limpieza pero el problema persiste. Asimismo, se consultó con un proveedor para intentar repararla, obteniendo como respuesta, que por tratarse de un equipo de mucho años en el mercado, sería necesario enviarlo a revisión fuera del país, para ver si tiene arreglo.</t>
  </si>
  <si>
    <t xml:space="preserve">
La Ley 9694 establece en su artículo 53, la autorización (dada la naturaleza de la institución) de crear un fondo con los recursos que se reciben, que funcione de reserva destinada exclusivamente al financiamiento costos de los censos nacionales, de otras operaciones estadísticas con una periodicidad superior a los dos años y de la revisión y actualización de las metodologías utilizadas en la producción de las estadísticas oficiales.
Dada la periodicidad e inversión que requieren las diversas operaciones estadísticas, el Instituto ha desarrollado una planificación con enfoque plurianual, de acuerdo con sus competencias y finalidades, donde se proyecta el costo requerido para el desarrollo de las diversas operaciones y las previsiones presupuestarias que se requieren para cada año durante un periodo de 10 años. 
Por antes expuesto se incluye la siguiente meta en el POI "Reservado el 100% de los recursos destinados a la ejecución de proyectos estadísticos conforme al Plan Plurianual de Producción Estadística, a diciembre 2023."</t>
  </si>
  <si>
    <t xml:space="preserve">JUSTIFICACION DE LA CLASIFICACION DE INGRESOS </t>
  </si>
  <si>
    <t>Recursos que provienen de una partida con cargo al presupuesto del Banco Central de Costa Rica para el diseño y ejecución de diferentes proyectos relacionados con la producción de estadísticas básicas para el Sistema de Cuentas Nacionales de conformidad con lo establecido en la ley N° 9694 Sistema de Estadística Nacional publicada el 13 de junio 2019.</t>
  </si>
  <si>
    <t>Consultoría por servicios profesionales  en el campo de las ciencias económicas como apoyo en la elaboración de una metodología para la identificación de nuevas demandas de información estadística.
Continuidad consultoría elaboración ENDE y PEN, así como los respectivos proyectos derivados y planes operativos para su desarrollo e implementación</t>
  </si>
  <si>
    <t>Recursos para la elaboración de videos promocionales de la Encuesta Nacional de Ingresos y gastos (ENIGH), que realizará su trabaja de campo en el año 2024</t>
  </si>
  <si>
    <t>Mantenimiento y Reparación de Otros Equipos</t>
  </si>
  <si>
    <t>53 Bis</t>
  </si>
  <si>
    <t>LO</t>
  </si>
  <si>
    <t>Se contempla la compra de cajas plásticas necesarias para el traslado de materiales de los grupos de campo de las encuestas, esto con el fin de ir reponiendo las que se dañan por el uso constante en campo.</t>
  </si>
  <si>
    <t xml:space="preserve">Salario base del personal por servicios especiales  para cumplir con las actividades especiales, según las Directrices técnicas y metodológicas para la formulación del Presupuesto 2024, Decretos y directriz Presidencial emitidas para este fin.  </t>
  </si>
  <si>
    <t xml:space="preserve">Salario base del personal por servicios especiales  para cumplir con las actividades de  Proyectos Especiales, según las Directrices técnicas y metodológicas para la formulación del Presupuesto 2024, Decretos y directriz Presidencial emitidas para este fin.  </t>
  </si>
  <si>
    <t>Recursos para la  adquisición de seis (6) vehículos tipo pick up, para el Instituto Nacional de Estadística y Censos (INEC); con el fin de renovar la flota y cubrir la necesidad operativa con flotilla apta para el trabajo de campo que realiza el instituto, esto corresponde a sustitución de vehículos que se adquirieron en el año 2014 y ya cumplieron su vida útil.</t>
  </si>
  <si>
    <r>
      <t xml:space="preserve">MONTO                    </t>
    </r>
    <r>
      <rPr>
        <sz val="10"/>
        <color indexed="9"/>
        <rFont val="Open Sans SemiCondensed"/>
      </rPr>
      <t>(en colones)</t>
    </r>
  </si>
  <si>
    <r>
      <t>PROGRAMA 01:</t>
    </r>
    <r>
      <rPr>
        <sz val="10"/>
        <rFont val="Open Sans SemiCondensed"/>
      </rPr>
      <t xml:space="preserve"> Administración Superior y Servicios de Apoyo</t>
    </r>
  </si>
  <si>
    <r>
      <t xml:space="preserve">PROGRAMA O2: </t>
    </r>
    <r>
      <rPr>
        <sz val="10"/>
        <rFont val="Open Sans SemiCondensed"/>
      </rPr>
      <t>Rectoría Técnica de las Estadísticas Nacionales</t>
    </r>
  </si>
  <si>
    <r>
      <rPr>
        <b/>
        <sz val="10"/>
        <rFont val="Open Sans SemiCondensed"/>
      </rPr>
      <t>PROGRAMA O3:</t>
    </r>
    <r>
      <rPr>
        <sz val="10"/>
        <rFont val="Open Sans SemiCondensed"/>
      </rPr>
      <t xml:space="preserve"> Producción Estadística</t>
    </r>
  </si>
  <si>
    <r>
      <t>PROGRAMA O4:</t>
    </r>
    <r>
      <rPr>
        <sz val="10"/>
        <rFont val="Open Sans SemiCondensed"/>
      </rPr>
      <t xml:space="preserve"> Difusión y Promoción de la Producción Estadística</t>
    </r>
  </si>
  <si>
    <t>0.03.01 Retribución por Años Servidos</t>
  </si>
  <si>
    <t>0.03.02 Restricción al Ejercicio Liberal de la Profesión</t>
  </si>
  <si>
    <t>0.03.99 Otros Incentivos Salariales</t>
  </si>
  <si>
    <t>Equipo de Cómputo</t>
  </si>
  <si>
    <t>0.01.01 Sueldos para Cargos Fijos</t>
  </si>
  <si>
    <t>0.01.03 Servicios Especiales</t>
  </si>
  <si>
    <t>0.01.05 Suplencias</t>
  </si>
  <si>
    <t>0.02.01 Tiempo Extraordinario</t>
  </si>
  <si>
    <t>0.02.02 Recargo de funciones</t>
  </si>
  <si>
    <t>0.02.05 Dietas</t>
  </si>
  <si>
    <t>0.03.03 Decimotercer Mes</t>
  </si>
  <si>
    <t>0.03.04 Salario Escolar</t>
  </si>
  <si>
    <t>0.04.01 Contribución Patronal al Seguro de Salud de la Caja Costarricense del Seguro Social</t>
  </si>
  <si>
    <t>0.04.02 Contribución Patronal al Instituto Mixto de Ayuda Social</t>
  </si>
  <si>
    <t>0.04.03 Contribución Patronal al Instituto Nacional de Aprendizaje</t>
  </si>
  <si>
    <t>0.04.04 Contribución Patronal al Fondo de Desarrollo Social  y Asignaciones Familiares</t>
  </si>
  <si>
    <t>0.04.05 Contribución Patronal al Banco Popular y de Desarrollo Comunal</t>
  </si>
  <si>
    <t>0.05.01 Contribución Patronal al Seguro de Pensiones  de la Caja Costarricense de Seguro Social</t>
  </si>
  <si>
    <t>0.05.02 Aporte Patronal al Régimen Obligatorio de Pensiones Complementarias</t>
  </si>
  <si>
    <t>0.05.03 Aporte Patronal al Fondo de Capitalización Laboral</t>
  </si>
  <si>
    <t>1.01.01 Alquiler de edificios, locales y terrenos</t>
  </si>
  <si>
    <t>1.01.02 Alquiler de Maquinaria, Equipo y Mobiliario</t>
  </si>
  <si>
    <t>1.02.01 Servicio de Agua y Alcantarillado</t>
  </si>
  <si>
    <t>1.02.02 Servicio de Energía Eléctrica</t>
  </si>
  <si>
    <t>1.02.03 Servicio de Correo</t>
  </si>
  <si>
    <t>1.02.99 Otros Servicios Básicos</t>
  </si>
  <si>
    <t>1.03.01 Información</t>
  </si>
  <si>
    <t>1.03.02 Publicidad y Propaganda</t>
  </si>
  <si>
    <t>1.03.03 Impresión, Encuadernación y Otros</t>
  </si>
  <si>
    <t>1.03.04 Transporte de Bienes</t>
  </si>
  <si>
    <t>1.03.06 Comisiones y Gastos por Servicios Financieros y Comerciales</t>
  </si>
  <si>
    <t>1.03.07 Servicios de tecnologías de información</t>
  </si>
  <si>
    <t>1.04.02 Servicios Jurídicos</t>
  </si>
  <si>
    <t>1.04.04 Servicios en Ciencias Económicas y Sociales</t>
  </si>
  <si>
    <t>1.04.06 Servicios Generales</t>
  </si>
  <si>
    <t>1.04.99 Otros Servicios de Gestión y Apoyo</t>
  </si>
  <si>
    <t>1.05.01 Transporte Dentro del País</t>
  </si>
  <si>
    <t>1.05.02 Viáticos Dentro del País</t>
  </si>
  <si>
    <t>1.05.03 Transporte al Exterior</t>
  </si>
  <si>
    <t>1.05.04 Viáticos en el Exterior</t>
  </si>
  <si>
    <t>1.07.01 Actividades de Capacitación</t>
  </si>
  <si>
    <t>1.07.03 Gastos de Representación Institucional</t>
  </si>
  <si>
    <t>1.08.01 Mantenimiento de edificios, locales y terrenos</t>
  </si>
  <si>
    <t>1.08.05 Mantenimiento y Reparación de Equipo de Transporte</t>
  </si>
  <si>
    <t>1.08.06 Mantenimiento y Reparación de Equipo de Comunicación</t>
  </si>
  <si>
    <t>1.08.07 Mantenimiento y Reparación de Equipo y Mobiliario de Oficina</t>
  </si>
  <si>
    <t>1.08.08 Mantenimiento y reparación de equipo de cómputo y  sistemas de información</t>
  </si>
  <si>
    <t>1.08.99 Mantenimiento y Reparación de Otros Equipos</t>
  </si>
  <si>
    <t>1.09.99 Otros Impuestos</t>
  </si>
  <si>
    <t>1.99.02 Intereses Moratorios y Multas</t>
  </si>
  <si>
    <t>1.99.05 Deducibles</t>
  </si>
  <si>
    <t>1.99.99 Otros Servicios No Especificados</t>
  </si>
  <si>
    <t>2.01.01 Combustibles y Lubricantes</t>
  </si>
  <si>
    <t>2.01.02 Productos Farmacéuticos y Medicinales</t>
  </si>
  <si>
    <t>2.01.04 Tintas, Pinturas y Diluyentes</t>
  </si>
  <si>
    <t>2.03.04 Materiales y Productos Eléctricos, Telefónicos y de Cómputo</t>
  </si>
  <si>
    <t>2.04.02 Repuestos y Accesorios</t>
  </si>
  <si>
    <t>2.99.01 Utiles y Materiales de Oficina y Cómputo</t>
  </si>
  <si>
    <t>2.99.02 Utiles y Materiales Médico, Hospitalario y de Investigación</t>
  </si>
  <si>
    <t>2.99.03 Productos de Papel, Cartón e Impresos</t>
  </si>
  <si>
    <t>2.99.04 Textiles y Vestuario</t>
  </si>
  <si>
    <t>2.99.05 Utiles y Materiales de Limpieza</t>
  </si>
  <si>
    <t>2.99.06 Utiles y Materiales de Resguardo y Seguridad</t>
  </si>
  <si>
    <t>2.99.99 Otros Utiles, Materiales y Suministros diversos</t>
  </si>
  <si>
    <t>5.01.03 Equipo de Comunicación</t>
  </si>
  <si>
    <t>5.01.05 Equipo de Cómputo</t>
  </si>
  <si>
    <t>6.01.01 Transferencias corrientes al Gobierno Central</t>
  </si>
  <si>
    <t>6.03.01 Prestaciones Legales</t>
  </si>
  <si>
    <t>6.07.02 Otras Transferencias corrientes al Sector Externo</t>
  </si>
  <si>
    <t>PROGRAMA</t>
  </si>
  <si>
    <t>SUBPROPCESO</t>
  </si>
  <si>
    <t>JUSTIFICACIÓN</t>
  </si>
  <si>
    <t>FINANCIAMIENTO 2</t>
  </si>
  <si>
    <t>SP101 Despacho gerencial</t>
  </si>
  <si>
    <t>0 REMUNERACIONES</t>
  </si>
  <si>
    <t>1 SERVICIOS</t>
  </si>
  <si>
    <t>SP102 Consejo Directivo</t>
  </si>
  <si>
    <t>SP103 Auditoría Interna</t>
  </si>
  <si>
    <t>La Ley de Control Interno indica: Cuando el personal de la auditoría interna, en el cumplimiento de sus funciones, se involucre en un conflicto legal o una demanda, la Institución dará todo su respaldo tanto jurídico como técnico y cubrirá los costos para atender ese proceso hasta su resolución final, por lo que se presupuesta este monto para cualquier eventualidad. Asimismo, la Contraloría General de la República ha indicado que cuando la Auditoría Interna requiere profesionales en ciertos campos no debe recurrir a los profesionales que laboran para la institución. Adicionalmente se requiere realizar consultorías externas jurídicas como apoyo a los estudios de fiscalización</t>
  </si>
  <si>
    <t xml:space="preserve">Por limitación de recurso humano en la Auditoría se requiere de la fiscalización de las áreas sustantivas, además de la atención de aquellos estudios considerados de carácter especial que por el nivel de riesgos y por el escaso recurso humano y agilidad se requieran utilizando bajo la modalidad de contratación de auditoria externa, por aspectos técnicos es necesario que sean tratados por personal calificado. </t>
  </si>
  <si>
    <t xml:space="preserve">Para lograr una información con evidencia y más detallada en la ejecución de las encuestas es necesario hacer los desplazamientos a los lugares donde se realizan las actividades, por lo que es necesario contar con recursos para el transporte requerido </t>
  </si>
  <si>
    <t>Para lograr una información con evidencia y más detallada en la ejecución de las encuestas es necesario hacer los desplazamientos a los lugares donde se realizan las actividades, por lo que es necesario contar con recursos para el transporte requerido</t>
  </si>
  <si>
    <t>Según las normas para el ejercicio de la auditoría interna emitida por la Contraloría General de República, el personal de esta dependencia debe estar en un mejoramiento continuo, incluyendo su capacitación, por lo cual se requiere cumplir con el Programa de capacitación, el cual incluye certificaciones del personal de la AI, Congresos.</t>
  </si>
  <si>
    <t>SP104 Unidad de Planificación Institucional</t>
  </si>
  <si>
    <t>SP105 Unidad de Asesoría Jurídica</t>
  </si>
  <si>
    <t>SP107 Área de Administración y Finanzas</t>
  </si>
  <si>
    <t>SP108 Unidad de Finanzas</t>
  </si>
  <si>
    <t>Para comisiones bancarias</t>
  </si>
  <si>
    <t xml:space="preserve">Erogaciones por concepto de multas e intereses, por atrasos en pago de sus obligaciones </t>
  </si>
  <si>
    <t>6 TRANSFERENCIAS CORRIENTES</t>
  </si>
  <si>
    <t>SP109 Unidad de Proveeduría</t>
  </si>
  <si>
    <t>SP110 Unidad de Recursos Humanos</t>
  </si>
  <si>
    <t>2 MATERIALES Y SUMINISTROS</t>
  </si>
  <si>
    <t>6.02.02 Becas a terceras personas</t>
  </si>
  <si>
    <t>Se requiere para el mantenimiento y reparación de vehículos institucionales</t>
  </si>
  <si>
    <t>Para el pago de deducibles por la reparación de vehículos institucionales por medio del INS</t>
  </si>
  <si>
    <t>5 BIENES DURADEROS</t>
  </si>
  <si>
    <t>5.01.02 Equipo de Transporte</t>
  </si>
  <si>
    <t xml:space="preserve">Se formula presupuesto para la reparación de linea blanca , que por el uso habitual de los electrodomésticos que se deterioran </t>
  </si>
  <si>
    <t>Se formula presupuesto para la compra de insumos de aseo e higiene</t>
  </si>
  <si>
    <t>Se formula presupuesto para la compra de cajas para resguardo de material</t>
  </si>
  <si>
    <t>SP113 Archivo</t>
  </si>
  <si>
    <t xml:space="preserve">Reparación y mantenimiento preventivo de la estantería móvil del Depósito de Archivo Central y del Archivo de Getión de Recursos Humanos. </t>
  </si>
  <si>
    <t>SP114 Consultorio Médico</t>
  </si>
  <si>
    <t>SP119  Departamento de Tecnologías de información</t>
  </si>
  <si>
    <t>SP120 Departamento Administrativo Financiero</t>
  </si>
  <si>
    <t>SP203 Dirección de Rectoría de la Estadística Nacional</t>
  </si>
  <si>
    <t>SP301 Área de Censos y Encuestas</t>
  </si>
  <si>
    <t>Productos farmacéuticos requeridos para la adecuada desinfección, prevención y cumplimiento de protocolos sanitarios durante la ejecución de los operativos de campo. Se incluye alcohol en gel, bloqueadores y repelentes.</t>
  </si>
  <si>
    <t xml:space="preserve">Se contempla la compra de materiales como cargadores de tablet, cargadores y baterias de computadoras portátiles necesarios para los equipos utilizados durante la recolección de la información en campo y/o del personal de oficina. </t>
  </si>
  <si>
    <t>Se contempla la compra de inversores para cargar los dispositivos móviles en los vehiculos durante el operativo de campo de las encuestas, asi como repuestos y accesorios para los vehículos intitucionales.</t>
  </si>
  <si>
    <t>Textiles requeridos para ser utilizados durante la ejecución de los operativos de campo de las operaciones estadisticas, con el fin de resguardar al personal ante las inclemencias climaticas, asi como para que este identificado a la hora de visitar las viviendas y pueda generar mayor credibilidad y acceder mas fácilmente a la información.</t>
  </si>
  <si>
    <t>Materiales requeridos para el empaque de materiales y herramientes a utilizar durante las giras del personal de trabajo de campo.</t>
  </si>
  <si>
    <t>SP302 Encuesta Nacional de Hogares (ENAHO)</t>
  </si>
  <si>
    <t>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160 personas.</t>
  </si>
  <si>
    <t>SP303 Unidad de Estadísticas Demográficas</t>
  </si>
  <si>
    <t>SP304 Encuesta Continua de Empleo (ECE)</t>
  </si>
  <si>
    <t>Gastos correspondientes a las actividades de capacitación del personal nuevo de trabajo de campo, dado que es indispensable capacitarlos en conceptos técnicos, los cuales son fundamentales para sus labores en campo. Asimismo, tambié se incluye capacitación para el personal de campo existente, con el fin de reatroalimentarlos en nuevos conceptos y técnicas de entrevista que les permita desarrollar su trabajo de la mejor manera.</t>
  </si>
  <si>
    <t>Montos previstos en caso de renuncia o despido de funcionarios contratados por el proyecto.</t>
  </si>
  <si>
    <t>SP305 Encuesta Nacional de Microempresas y Hogares (ENAMEH)</t>
  </si>
  <si>
    <t>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65 personas.</t>
  </si>
  <si>
    <t>SP307 Unidad de Diseño, análisis y operaciones</t>
  </si>
  <si>
    <t>SP308 Unidad de Cartografía</t>
  </si>
  <si>
    <t>SP309 Muestreo</t>
  </si>
  <si>
    <t>SP313 Área de Estadísticas Continuas</t>
  </si>
  <si>
    <t>SP314 Unidad de Índice de Precios</t>
  </si>
  <si>
    <t>SP315 Encuesta Nacional Agropecuaria (ENA)</t>
  </si>
  <si>
    <t>SP317 Directorio de Empresas y Establecimientos (DEE)</t>
  </si>
  <si>
    <t>SP318 Unidad de Estadísticas Económicas</t>
  </si>
  <si>
    <t>SP321 Sistema Integrado Encuesta a Hogares (SIEH) (CF)</t>
  </si>
  <si>
    <t>SP322 Encuesta Económica de Empresa</t>
  </si>
  <si>
    <t>Aporte patronal que se debe cancelar al I.N.A., según la Ley N°6868, artículo 15</t>
  </si>
  <si>
    <t>SP338 Censos Nacionales (CF)</t>
  </si>
  <si>
    <t>SP339 Sistema Integrado Encuesta a Hogares (SIEH) (SE)</t>
  </si>
  <si>
    <t>a</t>
  </si>
  <si>
    <t>SP343 ENCUESTAS ESPECIALES (CF)</t>
  </si>
  <si>
    <t>SP401 Área de Información y Divulgación Estadística</t>
  </si>
  <si>
    <t>SP402 Centro de Información</t>
  </si>
  <si>
    <t>SP403 Producción Gráfica</t>
  </si>
  <si>
    <t>SP404 Biblioteca</t>
  </si>
  <si>
    <t>SP405 Comunicación</t>
  </si>
  <si>
    <t>Aporte patronal que se debe cancelar al I.M.A.S, según la Ley N°4760, artículo 3°</t>
  </si>
  <si>
    <t>SP406 Servicios de Información</t>
  </si>
  <si>
    <t>Afiliación del INEC al Instituto Interamericano de Estadística (IASI). Es importante que el INEC, esté afiliado a este instituto. Es una organización técnica para fomentar el desarrollo estadístico en la región americana. Como afiliado se recibe una revista.</t>
  </si>
  <si>
    <t>SP407 Difusión y Promoción</t>
  </si>
  <si>
    <t>NOMBRE SUBPARTIDA</t>
  </si>
  <si>
    <t>Contribución Patronal al Seguro de Pensiones  de la Caja Costarricense de Seguro Social, según lo establecido en la Ley de Protección al Trabajador Ley N°7983.</t>
  </si>
  <si>
    <t>Se requiere para contratar el servicio de recolección de desechos infecto contagioso del consultorio médico.</t>
  </si>
  <si>
    <t>Adquisición de Aro de luz para que sea regulable permitirá mejorar el control de iluminación para la grabación de videos de los voceros institucionales en espacios interiores, especialmente en condiciones de iluminación ambiental insuficiente. 
Compra de micrófonos inalámbricos, que permite el registro de audio con calidad apropiada durante entrevistas o declaraciones de personas voceras</t>
  </si>
  <si>
    <t>años por cambiar</t>
  </si>
  <si>
    <t xml:space="preserve">años </t>
  </si>
  <si>
    <t>Estimación ejecución 90% del PO MODIFICADO</t>
  </si>
  <si>
    <t xml:space="preserve">Salario base del personal por cargos fijos para cumplir con las actividades permanentes del Instituto, según las Directrices técnicas y metodológicas para la formulación del Presupuesto 2024,se aplica el ajuste por costo de vida del 2020, deberán incluir en el ejercicio presupuestario del 2024 los recursos presupuestarios necesarios para realizar el pago retroactivo del aumento salarial, para hacer efectivo dicho pago a partir del 2024, según lo indicado en los  Decretos y Directrices Presidenciales emitidas para este fin. </t>
  </si>
  <si>
    <t>PRESUPUESTO ORDINARIO - AÑO 2025</t>
  </si>
  <si>
    <t>AÑO 2025</t>
  </si>
  <si>
    <t>INGRESOS AÑO 2025</t>
  </si>
  <si>
    <t>PRESUPUESTO ORDINARIO 2025</t>
  </si>
  <si>
    <t>Años 2020- 2025</t>
  </si>
  <si>
    <t>Año 2025</t>
  </si>
  <si>
    <t>proyectados a Dic. 2024</t>
  </si>
  <si>
    <t>Año 2023</t>
  </si>
  <si>
    <t>Ingresos reales a Jun. 2024</t>
  </si>
  <si>
    <t>Presupuesto Año 2025</t>
  </si>
  <si>
    <t>Servicios de desarrollo de sistemas informáticos</t>
  </si>
  <si>
    <t>4. ACTIVOS FINANCIEROS</t>
  </si>
  <si>
    <t>5. BIENES DURADEROS</t>
  </si>
  <si>
    <t>2. MATERIALES Y SUMINISTROS</t>
  </si>
  <si>
    <t>1. SERVICIOS</t>
  </si>
  <si>
    <t>0. REMUNERACIONES</t>
  </si>
  <si>
    <t>9. CUENTAS ESPECIALES</t>
  </si>
  <si>
    <t>Egresos reales a junio 2024</t>
  </si>
  <si>
    <t>proyectados a Dic, 2024</t>
  </si>
  <si>
    <t>Retribución por Años Servidos</t>
  </si>
  <si>
    <t>Restricción al Ejercicio Liberal de la Profesión</t>
  </si>
  <si>
    <t>SP323 ENIGH</t>
  </si>
  <si>
    <t>PO2024 APROB CGR</t>
  </si>
  <si>
    <t>PO_2025</t>
  </si>
  <si>
    <t>FINANCIAMIENTO 1</t>
  </si>
  <si>
    <t>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t>
  </si>
  <si>
    <t>Servicio de suministro de agua potable, según consumo. Esta estimación se realiza con base en el promedio real de enero a junio y un promedio proyectado al segundo semestre 2024.</t>
  </si>
  <si>
    <t>Servicio de energía eléctrica, según consumo. Esta estimación se realiza con base en el promedio real de enero a junio y un promedio proyectado al segundo semestre 2024.</t>
  </si>
  <si>
    <t>1.02.04 (ICE) Servicio de telecomunicaciones</t>
  </si>
  <si>
    <t>Comprende el pago de servicio de telefonía, fax, redes de información y otros a nivel nacional e internacional según consumo estimado espacio asignado. Esta estimación se realiza con base en el promedio real de enero a junio y un promedio proyectado de junio 2024.</t>
  </si>
  <si>
    <t>Empaste de los libros de actas del Comité de TI ¢50 000</t>
  </si>
  <si>
    <t>1.04.99 Otros servicios de gestión y apoyo</t>
  </si>
  <si>
    <t>Viáticos para participar en reuniones de las Naciones Unidas, Comisión de Estadística de OCDE y la CEA._x000D_
Asistencia a eventos internacionales para formación en diversos temas, algunos asumidos por participar en grupos de trabajo de la OCDE y otros de interes institucional por su temática</t>
  </si>
  <si>
    <t>1.06.01 Seguro de Riesgos del Trabajo (INS)</t>
  </si>
  <si>
    <t xml:space="preserve">RT ¢1 153 00_Seguro de Riesgos del Trabajo que debe cubrir la Institución a los funcionarios por todo el año. La póliza de Riesgos del Trabajo se estima en base al 0,69% del total remuneraciones formulada para el año 2025._x000D_
</t>
  </si>
  <si>
    <t>Actividades de capacitacion presenciales de la CIE y el CONACE  ¢1 000 000</t>
  </si>
  <si>
    <t xml:space="preserve">Actividades autorizadas por Gerencia atención de personas ajenas a la institución </t>
  </si>
  <si>
    <t>Salario base del personal por cargos fijos para cumplir con las actividades permanentes del Instituto, según las Directrices técnicas y metodológicas para la formulación del Presupuesto 2025.</t>
  </si>
  <si>
    <t>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t>
  </si>
  <si>
    <t xml:space="preserve">Salario base del personal por cargos fijos para cumplir con las actividades permanentes del Instituto, según las Directrices técnicas y metodológicas para la formulación del Presupuesto 2025. </t>
  </si>
  <si>
    <t>Cancelación de tiempo extraordinario para las personas funcionarias, que laboran fuera de horario, para el cumplimiento de actividades que requieren su atención urgente.</t>
  </si>
  <si>
    <t>Pago de dietas para los cinco miembros del Consejo Directivo, que sesionan una vez a la semana, lo que corresponde a 4 sesiones al mes y 48 sesiones al año.</t>
  </si>
  <si>
    <t xml:space="preserve">Pago de salario escolar para los funcionarios, en cumplimiento a lo establecido en la ley de salario escolar._x000D_
</t>
  </si>
  <si>
    <t xml:space="preserve">Cuota patronal a la Caja Costarricense de Seguro Social por concepto de salud._x000D_
</t>
  </si>
  <si>
    <t xml:space="preserve">Aporte patronal que se debe cancelar al I.M.A.S, según la Ley N°4760, artículo 3°._x000D_
</t>
  </si>
  <si>
    <t xml:space="preserve">Aporte patronal que se debe cancelar al I.N.A., según la Ley N°6868, artículo 15._x000D_
</t>
  </si>
  <si>
    <t xml:space="preserve">Aporte patronal al Fondo de Desarrollo Social y Asignaciones Familiares, según la  Ley N°5662, artículo 15._x000D_
</t>
  </si>
  <si>
    <t xml:space="preserve">Aporte patronal que se debe cancelar al Banco Popular, según la Ley N°4351, artículo 5°._x000D_
</t>
  </si>
  <si>
    <t xml:space="preserve">Contribución Patronal al Seguro de Pensiones  de la Caja Costarricense de Seguro Social, según lo establecido en la Ley de Protección al Trabajador Ley N°7983._x000D_
</t>
  </si>
  <si>
    <t xml:space="preserve">Aporte patronal al Régimen Obligatorio de Pensiones Complementarias, según lo establecido en la Ley de Protección al Trabajador Ley N°7983._x000D_
</t>
  </si>
  <si>
    <t xml:space="preserve">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
</t>
  </si>
  <si>
    <t xml:space="preserve">Servicio de energía eléctrica, según consumo. Esta estimación se realiza con base en el promedio real de enero a junio y un promedio proyectado al segundo semestre 2024._x000D_
</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</si>
  <si>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180 000 / Limpieza ¢ 150 000"_x000D_
</t>
  </si>
  <si>
    <t xml:space="preserve">RT ¢ 74 000_Seguro de Riesgos del Trabajo que debe cubrir la Institución a los funcionarios por todo el año. La póliza de Riesgos del Trabajo se estima en base al 0,69% del total remuneraciones formulada para el año 2025._x000D_
</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</si>
  <si>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Distribuidos de la siguiente Forma:_x000D_
Seguridad: ¢ 718 000 / Limpieza ¢ 598 000</t>
  </si>
  <si>
    <t>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transporte.</t>
  </si>
  <si>
    <t>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viáticos y alimentación.</t>
  </si>
  <si>
    <t xml:space="preserve">RT ¢ 1 187 000_Seguro de Riesgos del Trabajo que debe cubrir la Institución a los funcionarios por todo el año. La póliza de Riesgos del Trabajo se estima en base al 0,69% del total remuneraciones formulada para el año 2025._x000D_
</t>
  </si>
  <si>
    <t>Mantenimiento, soporte, actualizaciones y migraciones de versiones de Argos Sistema Integrado de Auditoría", adquirido por la institución, para brindar los servicios profesionales correspondientes.</t>
  </si>
  <si>
    <t xml:space="preserve">Salario base del personal por cargos fijos para cumplir con las actividades permanentes del Instituto, según las Directrices técnicas y metodológicas para la formulación del Presupuesto 2025. _x000D_
</t>
  </si>
  <si>
    <t xml:space="preserve">Cancelación de tiempo extraordinario para las personas funcionarias, que laboran fuera de horario, para el cumplimiento de actividades que requieren su atención urgente._x000D_
</t>
  </si>
  <si>
    <t xml:space="preserve">Reconocimiento adicional al salario base que se paga cada vez que el funcionario cumple años de laborar en la institución pública, de acuerdo con la categoría de salarios en que esté ubicado su puesto._x000D_
</t>
  </si>
  <si>
    <t xml:space="preserve">Compensación económica al servidor al que por legislación vigente se le ha impuesto la restricción al ejercicio de la profesión que ostenta en su cargo._x000D_
</t>
  </si>
  <si>
    <t xml:space="preserve">Pago de salario adicional para los funcionarios, en cumplimiento de lo establecido en la ley de aguinaldos para Instituciones Autónomas._x000D_
</t>
  </si>
  <si>
    <t xml:space="preserve">Comprende el pago de otros incentivos como carrera profesional, de los profesionales de diferentes especialidades según corresponda. Asimismo, pago de incentivos que se reconocen a los profesionales y técnicos en Ciencias Médicas e incentivo para los estadísticos._x000D_
</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</si>
  <si>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Distribuidos de la siguiente Forma:_x000D_
Seguridad: ¢ 406 000 / Limpieza ¢ 338 000</t>
  </si>
  <si>
    <t xml:space="preserve">RT ¢ 1 677 000_Seguro de Riesgos del Trabajo que debe cubrir la Institución a los funcionarios por todo el año. La póliza de Riesgos del Trabajo se estima en base al 0,69% del total remuneraciones formulada para el año 2025._x000D_
</t>
  </si>
  <si>
    <t xml:space="preserve">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
</t>
  </si>
  <si>
    <t xml:space="preserve">Servicio de suministro de agua potable, según consumo. Esta estimación se realiza con base en el promedio real de enero a junio y un promedio proyectado al segundo semestre 2024._x000D_
</t>
  </si>
  <si>
    <t xml:space="preserve">Comprende el pago de servicio de telefonía, fax, redes de información y otros a nivel nacional e internacional según consumo estimado espacio asignado. Esta estimación se realiza con base en el promedio real de enero a junio y un promedio proyectado de junio 2024._x000D_
</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</si>
  <si>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64 000 / Limpieza ¢ 54 000"_x000D_
</t>
  </si>
  <si>
    <t xml:space="preserve">RT ¢ 605 000_Seguro de Riesgos del Trabajo que debe cubrir la Institución a los funcionarios por todo el año. La póliza de Riesgos del Trabajo se estima en base al 0,69% del total remuneraciones formulada para el año 2025._x000D_
</t>
  </si>
  <si>
    <t>Salario base del personal por cargos fijos para cumplir con las actividades permanentes del Instituto, según las Directrices técnicas y metodológicas para la formulación del Presupuesto 2025</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</si>
  <si>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232 000 / Limpieza ¢ 192 000"_x000D_
</t>
  </si>
  <si>
    <t xml:space="preserve">RT ¢ 654 000_Seguro de Riesgos del Trabajo que debe cubrir la Institución a los funcionarios por todo el año. La póliza de Riesgos del Trabajo se estima en base al 0,69% del total remuneraciones formulada para el año 2025._x000D_
</t>
  </si>
  <si>
    <t xml:space="preserve">Salario base del personal por cargos fijos para cumplir con las actividades permanentes del Instituto, según las Directrices técnicas y metodológicas para la formulación del Presupuesto 2025._x000D_
</t>
  </si>
  <si>
    <t>¢3 000 000 millones para realizar estimación del valor de  las cesantías para los funcionarios de servicios especiales y cargos fijos e incorporar en la adopción de las NICSP 39 Beneficios a empleados en el INEC. (Contabilidad)</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</si>
  <si>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1 030 000 / Limpieza ¢ 856 000"_x000D_
</t>
  </si>
  <si>
    <t>RT ¢ 1 515 000_Seguro de Riesgos del Trabajo que debe cubrir la Institución a los funcionarios por todo el año. La póliza de Riesgos del Trabajo se estima en base al 0,69% del total remuneraciones formulada para el año 2025.</t>
  </si>
  <si>
    <t>Compra de timbres fiscales</t>
  </si>
  <si>
    <t xml:space="preserve"> Salario base del personal por cargos fijos para cumplir con las actividades permanentes del Instituto, según las Directrices técnicas y metodológicas para la formulación del Presupuesto 2025.</t>
  </si>
  <si>
    <t>Comprende el pago de servicio de telefonía, fax, redes de información y otros a nivel nacional e internacional según consumo estimado espacio asignado. Esta estimación se realiza con base en el promedio real de enero a junio y un promedio proyectado de junio 2024</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</si>
  <si>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Distribuidos de la siguiente Forma:_x000D_
Seguridad: ¢ 440 000 / Limpieza ¢ 366 000</t>
  </si>
  <si>
    <t>RT ¢ 1 102 000_Seguro de Riesgos del Trabajo que debe cubrir la Institución a los funcionarios por todo el año. La póliza de Riesgos del Trabajo se estima en base al 0,69% del total remuneraciones formulada para el año 2025.</t>
  </si>
  <si>
    <t>Se incorpora este monto para cubrir suplencias o recargos del persona del INEC.</t>
  </si>
  <si>
    <t>Servicio de vigilancia, monitoreo y respuesta armada las 24 horas, se estima de acuerdo a la base real del primer semestre y a la proyección del segundo semestre del 2024._x000D_
_x000D_
Distribuidos de la siguiente Forma:_x000D_
Seguridad: ¢ 1 900 000 / Limpieza ¢ 1 578 000</t>
  </si>
  <si>
    <t>(2) Compra de pruebas por competencias (Benziger, SOSIA, CPS, MATRICES, 16PF),  para el proceso de reclutamiento y selección de personal (31 500 000,00).</t>
  </si>
  <si>
    <t>Seguros viajero para la  atención a los  funcionarios que representan a la Institución en el exterior. ¢1 500 000</t>
  </si>
  <si>
    <t>Para pago de actividades de capacitación según  Plan de Capacitación aprobado por Gerencia</t>
  </si>
  <si>
    <t>Capacitación COACH</t>
  </si>
  <si>
    <t>1.07.02 Actividades protocolarias</t>
  </si>
  <si>
    <t>Para efectuar celebraciones institucionales.</t>
  </si>
  <si>
    <t>Mantenimiento de reloj marcador institucional</t>
  </si>
  <si>
    <t>Compra de Lanyard para gafetes, para el persronal de INEC</t>
  </si>
  <si>
    <t>Para reconocimiento de personal pensionado, y reconocimiento por años de labor, Para la compra de tarjetas PVC para carnet de los funcionarios del INEC</t>
  </si>
  <si>
    <t>Disco duro respaldo de la información de recursos humanos</t>
  </si>
  <si>
    <t>Para pago de pasantes o practicantes para la Unidad de Recursos Humanos. + ¢ 3 000 000 agregados.</t>
  </si>
  <si>
    <t>Para el pago de prestaciones legales, personal que se pensiona en el año 2025 + ¢ 20 000 000 AGREGADOS</t>
  </si>
  <si>
    <t xml:space="preserve"> 1.000.000 colones para la renovación de 20 Certificados de Firma Digital y compra de los Certificados de Firma Digital para el personal del INEC.</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</si>
  <si>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Distribuidos de la siguiente Forma:_x000D_
Seguridad: ¢ 490 000 / Limpieza ¢ 408 000</t>
  </si>
  <si>
    <t>400.000 colones para el servicio de bodegaje de documentos con una empresa externa.</t>
  </si>
  <si>
    <t>RT ¢ 1 937 000_Seguro de Riesgos del Trabajo que debe cubrir la Institución a los funcionarios por todo el año. La póliza de Riesgos del Trabajo se estima en base al 0,69% del total remuneraciones formulada para el año 2025.</t>
  </si>
  <si>
    <t>RT ¢ 303 000_Seguro de Riesgos del Trabajo que debe cubrir la Institución a los funcionarios por todo el año. La póliza de Riesgos del Trabajo se estima en base al 0,69% del total remuneraciones formulada para el año 2025.</t>
  </si>
  <si>
    <t xml:space="preserve">El uso de guantes, en especial los de plástico, ayudan a proteger a los funcionarios del Proceso Gestión de Archivo cuando los materiales tienen un exceso de polvo o la posible presencia de microorganismos. </t>
  </si>
  <si>
    <t xml:space="preserve">La necesidad de adquirir cajas de archivo para la preservación adecuada de documentos es constante por tratarse de un suministro de uso cotidiano, pues para la correcta disposición de los documentos de archivo se debe contar con este medio de almacenamiento. </t>
  </si>
  <si>
    <t xml:space="preserve">Se requiere de las jackets pues el deposito de archivo esta fuera del edificio en el parqueo y cuando llueve es dificil salir al baño o comedor dentro del edificio. </t>
  </si>
  <si>
    <t>Pago de desecho de material infectocontagioso</t>
  </si>
  <si>
    <t>(d)Viaticos para la plaza de salud ocupacional</t>
  </si>
  <si>
    <t>RT ¢ 296 000_Seguro de Riesgos del Trabajo que debe cubrir la Institución a los funcionarios por todo el año. La póliza de Riesgos del Trabajo se estima en base al 0,69% del total remuneraciones formulada para el año 2025.</t>
  </si>
  <si>
    <t>Considera recursos para el pago de alquiler de edificio Ana Lorena según el espacio asignado. La estomación se realiza con base al contrato existente y metodológicas para la formulación del Presupuesto 2025 emitidas por el Ministerio de Hacienda</t>
  </si>
  <si>
    <t>1.01.99 Otros Alquileres</t>
  </si>
  <si>
    <t>Servicio de suministros de agua potable, según consumo. Esta estimación se realiza con base en el promedio real de enero a junio y un promedio proyectado al segundo semestre 2024</t>
  </si>
  <si>
    <t>Servicio de energía eléctrica, según consumo. Esta etimación se realiza con bae en el promedio real de enero a junio y un primedio proyectado al segundo semestre 2024.</t>
  </si>
  <si>
    <t>Comprende el pago de servicio de telefonía, fax, redes de información y otros a ivel nacional e internacional según consumo estimado espacio asignadi. Esta estimación se realiza con base en el promedio real de enero a junio y un promedio proyecta al segundo semestre 2024.</t>
  </si>
  <si>
    <t>(Internet) Se requiere continuar con el servicio de internet para que los diferentes colaboradores del INEC puedan accesar a internet para que realicen su trabajo desde el Ana Lorena. Este servicio es imprescindible para que el personal del INEC pueda trabajar sin problemas.La velocidad del internet es de 500MB.</t>
  </si>
  <si>
    <t xml:space="preserve">7.000.000 colones para el escaneo de documentos e indexado de documentos en la herramienta ePower. </t>
  </si>
  <si>
    <t>Se requiere continuar con los servicios contratados por el ICE en el datacenter, los cuales incluyen: servidor linux, servidor Windows, Seguridad, servidor para moodle</t>
  </si>
  <si>
    <t>1.04.05 Servicios informáticos</t>
  </si>
  <si>
    <t>Dado que las personas usuarias han señalado en diferentes consultas, que el INEC produce información valiosa, pero se presentan dificultades para su accesibilidad en el sitio web y que por lo tanto sería muy útil que se les facilite una herramienta de consulta sobre los recursos de información ágil, automatizada con la que sepan que pueden encontrar y donde asi como tener a mano datos puntuales o de uso frecuente en forma rapida.</t>
  </si>
  <si>
    <t>Servicio de vigilancia, monitoreo y respuesta armada las 24 horas, se estima de acuerdo a la base real del primer semestre y a la proyección del segundo semestre del 2024. Servicio de limpieza de oficinas y áreas comunes de acuerdoa a la base real del primer semestre y a la proyección del segundio semestre del 2024 Distribuidos de la sigueinte forma Seguridad ¢3 256 000 / Limpieza ¢2 706 000.</t>
  </si>
  <si>
    <t>(3) Pago de actuario por calculo de vacaciones y demás (3 500 00,00).</t>
  </si>
  <si>
    <t>(Nuevo Ingreso) Estudio de clima organizacional para el año 2025, para todo el INEC (25 000 000,00) + ¢ 15 MILLONES AGREGADOS</t>
  </si>
  <si>
    <t>(6) Asesoría en el desarrollo e implementación del Marco de Gobierno y Gestión de Tecnologías de Información 2023-2026 ¢40 000 000.00</t>
  </si>
  <si>
    <t>RT ¢ 4 441 000_Seguro de Riesgos del Trabajo que debe cubrir la Institución a los funcionarios por todo el año. La póliza de Riesgos del Trabajo se estima en base al 0,69% del total remuneraciones formulada para el año 2025.</t>
  </si>
  <si>
    <t>El sitio web, sus subsitios y aplicativo móvil fueron desarrollados bajo altos estándares tecnológicos que dieron pie a una avanzada plataforma integrada de contenido, el cual cuenta con su respectivo Backend (administrador de contenido) que a su vez alimenta al Fronted (sitio web publicados a los usuarios)</t>
  </si>
  <si>
    <t>5.99.03 Derechos de autor</t>
  </si>
  <si>
    <t>(Uso Restringido) Monto agregado para otras necesidades</t>
  </si>
  <si>
    <t>Publicaciones en la GACETA: ¢ 500 000 CAAF</t>
  </si>
  <si>
    <t>uso de SICOP (sistema de compras públicas con RACSA)</t>
  </si>
  <si>
    <t>SP122 SERVICIOS INSTITUCIONALES</t>
  </si>
  <si>
    <t>(Uso no restringido) Agregado para otras necesidades</t>
  </si>
  <si>
    <t>Monto Agregado</t>
  </si>
  <si>
    <t xml:space="preserve">Se formula prespuesto, debido  a que se mantiene un contrato con Correos de C.R por un monto de  ¢15.000.000,00 por 4 años. </t>
  </si>
  <si>
    <t>Se consideran recursos para el pago del servicio de grúas y servicios de chapulines de la flota institucional</t>
  </si>
  <si>
    <t xml:space="preserve">Se formula presupuesto para:
1-Corresponde al contrato del servicio de mantenimiento de los rótulos  según demanda, ¢ 1 200 000, </t>
  </si>
  <si>
    <t>2-Corresponde al contrato según demanda del servicio de Handyman para ambos edificios para un total anual: ¢4 000 000</t>
  </si>
  <si>
    <t>3-Corresponde al contrato,según demanda  servicios de fumigación, (4 Veces al año)
Total anual ¢ 390 000</t>
  </si>
  <si>
    <t>4-Corresponde al contrato,según demanda  servicios de recarga de extintores: 
Total anual ¢ 400 000</t>
  </si>
  <si>
    <t xml:space="preserve">5-Corresponde al contrato, de Mantenimiento Zonas verdes:
Total anual ¢ 1 080 000,00 </t>
  </si>
  <si>
    <t>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1 230 000 / Limpieza ¢ 1 022 000</t>
  </si>
  <si>
    <t xml:space="preserve">8-Se consideran ¢3.100.000 para el pago del servicio de monitoreo de los vehículos institucionales </t>
  </si>
  <si>
    <t xml:space="preserve">9- ¢400.000 para lavado de vehículos </t>
  </si>
  <si>
    <t>10-¢250.000 para recarga de extintores de vehículos</t>
  </si>
  <si>
    <t>(7) Asesoria para la implementación de una nueva tecnología para el Desarrollo de software de TI 2023-2025 ¢30 000 000.00</t>
  </si>
  <si>
    <t xml:space="preserve">(8) Plan de mejoras a la ciberseguridad basada en el Diagnóstico del estado actual de la ciberseguridad del INEC y una hoja de ruta para cerrar las brechas de ciberseguridad identificadas ¢50 000 000.00 </t>
  </si>
  <si>
    <t>(9) Inspección Técnica</t>
  </si>
  <si>
    <t>Se require para el uso de los dispositivos quick pass por concepto de peaje, por un monto de 750 000.</t>
  </si>
  <si>
    <t>(nuevo) Se  requiere para las visitas de campo que son requeridas por los operativos de trabajo de campo, para custodias de vehículos o cambios de lugares donde se custodia el vehículo y requiere la re inspección</t>
  </si>
  <si>
    <t>Póliza Equipo Electrónico ¢ 1 250 000</t>
  </si>
  <si>
    <t>Pago de seguro obligatorio de automoviles institucional ¢ 2 690 476.19</t>
  </si>
  <si>
    <t>Se formula presupuesto que Corresponde al contrato de mantenimiento  preventivo y correctivo de  cámaras de seguridad.</t>
  </si>
  <si>
    <t>Se formula presupuesto que Corresponde  al contrato de mantenimiento ,reparación preventivo y correctivo habitual de  aires acondicionados ¢ 3000000</t>
  </si>
  <si>
    <t>Para el pago de derechos de circulación de la flotilla del INEC se estima en 1 800 000 y por concepto de infracciones de tránsito un monto de 160 000 mil</t>
  </si>
  <si>
    <t>Pago administrativo de los dispositivos quick pass por concepto de peaje</t>
  </si>
  <si>
    <t>1- Se formula presupuesto para la compra de combustible para la planta eléctrica del Edificio Ana Lorena  
2- Monto correspondiente a la compra de combustible requerido para llevar a cabo el operativo de campo y procesos adscritos a las encuestas + ¢ 50 000 000 AGREGADOS</t>
  </si>
  <si>
    <t xml:space="preserve">Se formula presupuesto para la sustitución del sistema biométrico para el comedor externo que constantemente se desconfigura </t>
  </si>
  <si>
    <t>Se requiere para suministar al personal tecnico de equipo de seguridad (1 par de guantes/1 par de zapatos)</t>
  </si>
  <si>
    <t>Aporte patronal para el financiamiento del Fondo de Capitalización Laboral, según la Ley de Protección al Trabajador, Ley N°7983, artículo 3°. reformada mediante el artículo 1 de la Ley para resguardar el derecho de los trabajadores a retirar los recursos.</t>
  </si>
  <si>
    <t>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1 382 000 / Limpieza ¢ 1 150 000</t>
  </si>
  <si>
    <t>(11) Rotulación Vehicular</t>
  </si>
  <si>
    <t>(10) Rotulación interna INEC</t>
  </si>
  <si>
    <t>Continuidad procedimiento 2024LD-000028-0014400001 denominado "Diseño de un plan de capacitación sobre normativa estadística, el diseño instruccional de dos cursos de capacitación para el Sistema de Estadística" (10 MILLl)</t>
  </si>
  <si>
    <t>Pasantía a Colombia o Chile, para una persona del Área con el propósito de conocer respecto a las experiencia sen normativa estadística, para el fortalecimiento del SEN.</t>
  </si>
  <si>
    <t>RT ¢ 982 000_Seguro de Riesgos del Trabajo que debe cubrir la Institución a los funcionarios por todo el año. La póliza de Riesgos del Trabajo se estima en base al 0,69% del total remuneraciones formulada para el año 2025.</t>
  </si>
  <si>
    <t>Póliza de responsabilidad civil ¢ 400 000</t>
  </si>
  <si>
    <t>RT ¢ 3 438 000_Seguro de Riesgos del Trabajo que debe cubrir la Institución a los funcionarios por todo el año. La póliza de Riesgos del Trabajo se estima en base al 0,69% del total remuneraciones formulada para el año 2025.</t>
  </si>
  <si>
    <t>Actividades de capacitación con integrantes del SEN y personas encargadas de las OE´s,  en continuidad con las acciones llevadas a cabo como parte de la implementación de la ENDE 2023-2032 y el PEN 2023-2027.</t>
  </si>
  <si>
    <t>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
Distribución Presupuesto:_x000D_
SP301 Área de Censos y Encuestas ¢12 878 000_x000D_
SP303 Unidad de Estadísticas Demográficas ¢11 188 000_x000D_
SP304 Encuesta Continua de Empleo (ECE) ¢8 114 000_x000D_
SP305 Encuesta Nacional de Micro Empresas de los Hogares (ENAMEH) ¢3 714 000_x000D_
SP307 Unidad de Diseño, análisis y operaciones ¢ 746 000_x000D_
SP308 Unidad de Cartografía ¢10 644 000_x000D_
SP309 Muestreo ¢9 790 000_x000D_
SP321 Sistema Integrado de Encuestas a Hogares (SIEH) (CF) ¢7 398 000_x000D_
SP343 Encuestas Especiales (CF) ¢1 806 000</t>
  </si>
  <si>
    <t>Se contempla el alquiler de vehículos requeridos para el operativo de campo de la encuestas del área según la estimación realizada por el Proceso de Transportes, de acuerdo a la revisión de necesidades y planificación de vehiculos intitucionales. 
ENAHO ¢45 000 000  ENAMEH: ¢ 15 000 000</t>
  </si>
  <si>
    <t>Servicio de suministro de agua potable, según consumo. Esta estimación se realiza con base en el promedio real de enero a junio y un promedio proyectado al segundo semestre 2024._x000D_
Distribución Presupuesto:_x000D_
SP301 Área de Censos y Encuestas ¢556 000_x000D_
SP303 Unidad de Estadísticas Demográficas ¢482 000_x000D_
SP304 Encuesta Continua de Empleo (ECE) ¢350 000_x000D_
SP305 Encuesta Nacional de Micro Empresas de los Hogares (ENAMEH) ¢160 000_x000D_
SP307 Unidad de Diseño, análisis y operaciones ¢ 32 000_x000D_
SP308 Unidad de Cartografía ¢460 000_x000D_
SP309 Muestreo ¢422 000_x000D_
SP321 Sistema Integrado de Encuestas a Hogares (SIEH) (CF) ¢320 000_x000D_
SP343 Encuestas Especiales (CF) ¢78 000</t>
  </si>
  <si>
    <t>Servicio de energía eléctrica, según consumo. Esta estimación se realiza con base en el promedio real de enero a junio y un promedio proyectado al segundo semestre 2024._x000D_
Distribución Presupuesto:_x000D_
SP301 Área de Censos y Encuestas ¢1 740 000_x000D_
SP303 Unidad de Estadísticas Demográficas ¢1 512 000_x000D_
SP304 Encuesta Continua de Empleo (ECE) ¢1 096 000_x000D_
SP305 Encuesta Nacional de Micro Empresas de los Hogares (ENAMEH) ¢502 000_x000D_
SP307 Unidad de Diseño, análisis y operaciones ¢ 100 000_x000D_
SP308 Unidad de Cartografía ¢1 438 000_x000D_
SP309 Muestreo ¢1 324 000_x000D_
SP321 Sistema Integrado de Encuestas a Hogares (SIEH) (CF) ¢1 000 000_x000D_
SP343 Encuestas Especiales (CF) ¢244 000</t>
  </si>
  <si>
    <t>Comprende el pago de servicio de telefonía, fax, redes de información y otros a nivel nacional e internacional según consumo estimado espacio asignado. Esta estimación se realiza con base en el promedio real de enero a junio y un promedio proyectado de junio 2024.
Distribución Presupuesto:
SP301 Área de Censos y Encuestas ¢904 000
SP303 Unidad de Estadísticas Demográficas ¢786 000
SP304 Encuesta Continua de Empleo (ECE) ¢570 000
SP305 Encuesta Nacional de Micro Empresas de los Hogares (ENAMEH) ¢260 000
SP307 Unidad de Diseño, análisis y operaciones ¢ 52 000
SP308 Unidad de Cartografía ¢746 000
SP309 Muestreo ¢ 686 000
SP321 Sistema Integrado de Encuestas a Hogares (SIEH) (CF) ¢520 000
SP343 Encuestas Especiales (CF) ¢126 000</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</si>
  <si>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t>
  </si>
  <si>
    <t>Consultoría para el desarrollo de un nuevo curso sobre una determinada normativa del SEN. (30 MILL).</t>
  </si>
  <si>
    <t>(3) Continuidad contrato #0432024010900002-00 por "Servicios de revisión filológica de documentos (estructura, redacción y contenido), por demanda con cuantía estimada" (800.000).</t>
  </si>
  <si>
    <t>(4) Continuidad contrato #0432022010900015-00 por "Servicio de Traducción por demanda con cuantía estimada" (10 MILL).</t>
  </si>
  <si>
    <t xml:space="preserve">(5) Los recursos son necesarios para continuar con la contratación del diseño, conformación, desarrollo e implementación de un Geoportal Estadístico para el INEC, asi como el diseño, desarrollo e implementación de los módulos del Sistema Administrador de Encuestas.
¢ 35 millones para 50% del producto E desarrollo de los módulos SAE
¢ 35 Mlls Pagos de los módulos F-G-H-I del SAE
¢ 15 mlls Mejoras de la contratación </t>
  </si>
  <si>
    <t>RT ¢1 046 000 Seguro de Riesgos del Trabajo que debe cubrir la Institución a los funcionarios por todo el año. La póliza de Riesgos del Trabajo se estima en base al 0,69% del total remuneraciones formulada para el año 2025.</t>
  </si>
  <si>
    <t>Se requiere 25 000 000, 00 para el mantenimiento y reparación</t>
  </si>
  <si>
    <t xml:space="preserve">Monto correspondiente a la compra de combustible requerido para llevar a cabo el operativo de campo de los proyectos del área._x000D_
ENAHO (¢16 250 000), ENAMEH (¢7 000 000), ECE (¢25 000 000), CARTOGRAFÍA (¢2 200 000). </t>
  </si>
  <si>
    <t xml:space="preserve">Salario base del personal por servicios especiales  para cumplir con las actividades de  Proyectos Especiales, según las Directrices técnicas y metodológicas para la formulación del Presupuesto 2025, Decretos y directriz Presidencial emitidas para este fin.  </t>
  </si>
  <si>
    <t>Comprende el pago de servicio de telefonía, fax, redes de información y otros a nivel nacional e internacional según consumo estimado espacio asignado. Esta estimación se realiza con base en el promedio real de enero a junio y un promedio proyectado de junio 2024. (¢586 000)</t>
  </si>
  <si>
    <t xml:space="preserve">(Tarjetas) Se contempla la compra de tarjetas telefónicas y planes de datos requeridos durante el operativo de campo, las mismas se utilizan para el rescate de entrevistas pendientes y los planes para la transferencia de los datos e información.  (¢2 900 000)
</t>
  </si>
  <si>
    <t>Corresponde al servicio de fotocopiado e impresión litografica de manuales, hojas de control, cuestionarios, entre otros documentos requeridos para la realización del operativo de campo y capacitaciones del personal.</t>
  </si>
  <si>
    <t>Se incluyen recursos para el lavado de chalecos requeridos para el operativo de campo (¢200 000) y lavado de ropa del personal que debe permanecer de gira en campo por mas de 7 día consecutivos (¢1 500 000)</t>
  </si>
  <si>
    <t>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2024.Seguridad: ¢ 1 510 000 / Limpieza ¢ 1 256 000</t>
  </si>
  <si>
    <t>(nuevo) Asimismo se contempla 50 000 para pagos de transporte público en caso que el Proceso de transportes no cuente con los recursos necesarios para atender las solicitudes de transportes.</t>
  </si>
  <si>
    <t>(d) Pago estimado por traslados en autobús, taxi, ferry, lancha y peajes requeridos durante el operativo de campo de la encuesta. Además se incluye el traslado de personal cuando se realicen capacitaciones en lugares fuera de la institución.</t>
  </si>
  <si>
    <t>Se estima el costo del transporte requerido para llevar a cabo una pasantia en Chile durante 5 días para 1 persona, con el objetivo de conocer sobre la medición de pobreza e IPM, lo cual permitirá que se lleve a cabo tareas de investigación e implementación de metodologías (Rediseño de la Enameh, construcción de la metodología de la pobreza en la Encuesta Continua de Hogares, revisión y actulización de la línea de pobreza, adaptación de la metodogía del IPM en la Encuesta Continua de Hogares).</t>
  </si>
  <si>
    <t>Se estiman viáticos de alimentación para llevar a cabo una pasantia en Chile durante 5 días para 1 persona, con el objetivo de conocer sobre la medición de pobreza e IPM, lo cual permitirá que se lleve a cabo tareas de investigación e implementación de metodologías (Rediseño de la Enameh, construcción de la metodología de la pobreza en la Encuesta Continua de Hogares, revisión y actulización de la línea de pobreza, adaptación de la metodogía del IPM en la Encuesta Continua de Hogares).</t>
  </si>
  <si>
    <t>Póliza de Equipo Electrónico ¢ 1 875 000</t>
  </si>
  <si>
    <t>Pago de seguro obligatorio de automoviles institucional requeridos para los vehículos utilizados en los operativos de campo de las encuestas. ¢14 350 000
SP 304 un monto de 13 452 380.95
SP 308 un monto de 896 825.40</t>
  </si>
  <si>
    <t>RT ¢3 096 000 Seguro de Riesgos del Trabajo que debe cubrir la Institución a los funcionarios por todo el año. La póliza de Riesgos del Trabajo se estima en base al 0,69% del total remuneraciones formulada para el año 2025.</t>
  </si>
  <si>
    <t>Se contempla el pago de vacaciones del personal contrado para el operativo de campo, el cual es contratado unicamente por un periodo corto, por lo que debe ser liquidado una vez que finalice su contrato.</t>
  </si>
  <si>
    <t>(TSE) Se estima el servicio de enlace de datos empresarial RACSA entre el INEC y TSE INTERINSTITUCIONAL, el cual es requerido para la validación de los datos de las diversas encuestas de la institución. Contar con este acceso directo a la Plataforma de Servicios Institucionales, permite una reducción en el tiempo de producción, dado que se descargará automáticamente la información de ciertas variables al digital el número de cédula, además incidirá en un mejoramiento en la calidad. El costo de este servicio es de $238.68 mensuales.</t>
  </si>
  <si>
    <t>(a) Se incorporan recursos económicos para realizar la devolución de resultados de la prueba piloto sobre inclusión de las variables con EER en las estadísticas vitales, al personal del Hospital Tony Facio en Limón. Los viáticos serían para 4 personas en Limón.</t>
  </si>
  <si>
    <t>Se estima el costo del transporte requerido para llevar a cabo una pasantia en Colombia durante 5 días para 1 persona, con el objetivo de dar seguimiento del proyecto y la validación de los cálculos y supuestos establecidos en la medición y cálculo de la población residente, particularmente la medición de la población extranjera en condición regular.</t>
  </si>
  <si>
    <t>Se estiman viáticos de alimentación para llevar a cabo una pasantia en Colombia durante 5 días para 1 persona, con el objetivo de dar seguimiento del proyecto y la validación de los cálculos y supuestos establecidos en la medición y cálculo de la población residente, particularmente la medición de la población extranjera en condición regular.</t>
  </si>
  <si>
    <t>RT ¢1 318 000 Seguro de Riesgos del Trabajo que debe cubrir la Institución a los funcionarios por todo el año. La póliza de Riesgos del Trabajo se estima en base al 0,69% del total remuneraciones formulada para el año 2025.</t>
  </si>
  <si>
    <t xml:space="preserve">Se contempla el alquiler de una sala con refrigerio para 50 personas con el fin de realizar una presentación de las estimaciones y proyecciones de población para áreas menores 2022, dado que para 2025 se va a contar con la actualización de las estimaciones y proyecciones de población, se considera importante hacer una actividad de divulgación con la metodología utilizada y los productos y aplicatvos que se ponen al servicio del público. </t>
  </si>
  <si>
    <t>(Tarjeta) Se contempla la compra de tarjetas telefónicas y planes de datos requeridos durante el operativo de campo, las mismas se utilizan para el rescate de entrevistas pendientes y los planes para la transferencia de los datos e información.</t>
  </si>
  <si>
    <t>(a)Pago estimado por traslados en autobús, taxi, ferry, lancha y peajes requeridos durante el operativo de campo de la encuesta. Además se incluye el traslado de personal cuando se realicen capacitaciones en lugares fuera de la institución.</t>
  </si>
  <si>
    <t>Viáticos parciales o totales (según corresponda) requeridos durante el operativo de campo de la encuesta.  Incluye también el pago de los viáticos requeridos para la selección de personal en zona y/o la supervisión general del proyecto. En total se estiman viáticos para 10 grupos de trabajo durante los doce meses del año.</t>
  </si>
  <si>
    <t>RT ¢3 874 000 Seguro de Riesgos del Trabajo que debe cubrir la Institución a los funcionarios por todo el año. La póliza de Riesgos del Trabajo se estima en base al 0,69% del total remuneraciones formulada para el año 2025.</t>
  </si>
  <si>
    <t xml:space="preserve">Se incluyen recursos para el lavado de chalecos requeridos para el operativo de campo (¢200 000) y lavado de ropa del personal que debe permanecer de gira en campo por mas de 7 día consecutivos (¢700 000) </t>
  </si>
  <si>
    <t>(d)Pago estimado por traslados en autobús, taxi, ferry, lancha y peajes requeridos durante el operativo de campo de la encuesta. Además se incluye el traslado de personal cuando se realicen capacitaciones en lugares fuera de la institución.</t>
  </si>
  <si>
    <t>(a) Viáticos parciales o totales (según corresponda) requeridos durante el operativo de campo de la encuesta.  Incluye también el pago de los viáticos requeridos para la selección de personal en zona y/o la supervisión general del proyecto. En total se estiman viáticos para 20 grupos de trabajo durante cinco semanas.</t>
  </si>
  <si>
    <t>RT ¢1 070 000 Seguro de Riesgos del Trabajo que debe cubrir la Institución a los funcionarios por todo el año. La póliza de Riesgos del Trabajo se estima en base al 0,69% del total remuneraciones formulada para el año 2025.</t>
  </si>
  <si>
    <t>RT ¢ 798 000 Seguro de Riesgos del Trabajo que debe cubrir la Institución a los funcionarios por todo el año. La póliza de Riesgos del Trabajo se estima en base al 0,69% del total remuneraciones formulada para el año 2025.</t>
  </si>
  <si>
    <t xml:space="preserve">(1) Monto requerido para el pago del Servicio de Acceso en Línea a Imágenes de Satélite de Alta Resolución MAXAR DigitalGlobe SecureWatchStandard para Costa Rica,  el cual necesario para mantener actualizado geoespacialmente el Marco Geoestadístico Nacional, mediante la detección de cambios en los elementos geográficos requeridos, con la escala y temporalidad establecida por la metodología de la Unidad de Cartografía del INEC. </t>
  </si>
  <si>
    <t xml:space="preserve">Recursos necesarios para el mantenimiento del plotter asignado a la Unidad de Cartografía, el cual es importante para atender cualquier eventualidad donde se necesiten mapas impresos, por ejemplo en área peligrosas donde se corra un riesgo llevando dispositivos móviles. </t>
  </si>
  <si>
    <t>RT ¢ 1 177 000 Seguro de Riesgos del Trabajo que debe cubrir la Institución a los funcionarios por todo el año. La póliza de Riesgos del Trabajo se estima en base al 0,69% del total remuneraciones formulada para el año 2025.</t>
  </si>
  <si>
    <t xml:space="preserve">Cancelación de tiempo extraordinario del personal que labora para el programa y proyectos que deba realizara trabajos extraordinarios fuera del tiempo laboral_x000D_
</t>
  </si>
  <si>
    <t xml:space="preserve">Compensación económica al servidor al que por legislación vigente se le ha impuesto la restricción al ejercicio de la profesión que ostenta en su cargo.
_x000D_
</t>
  </si>
  <si>
    <t xml:space="preserve">Pago de salario adicional para los funcionarios, en cumplimiento de lo establecido en la ley de aguinaldos para Instituciones Autónomas.
_x000D_
</t>
  </si>
  <si>
    <t xml:space="preserve">Pago de salario escolar para los funcionarios, en cumplimiento a lo establecido en la ley de salario escolar.
_x000D_
</t>
  </si>
  <si>
    <t xml:space="preserve">Comprende el pago de otros incentivos como carrera profesional, de los profesionales de diferentes especialidades según corresponda. Asimismo, pago de incentivos que se reconocen a los profesionales y técnicos en Ciencias Médicas e incentivo para los estadísticos.
</t>
  </si>
  <si>
    <t xml:space="preserve">Aporte patronal que se debe cancelar al I.M.A.S, según la Ley N°4760, artículo 3°.
_x000D_
</t>
  </si>
  <si>
    <t xml:space="preserve">Aporte patronal que se debe cancelar al I.N.A., según la Ley N°6868, artículo 15.
_x000D_
</t>
  </si>
  <si>
    <t xml:space="preserve">Aporte patronal al Fondo de Desarrollo Social y Asignaciones Familiares, según la  Ley N°5662, artículo 15.
_x000D_
</t>
  </si>
  <si>
    <t xml:space="preserve">Aporte patronal que se debe cancelar al Banco Popular, según la Ley N°4351, artículo 5°.
_x000D_
</t>
  </si>
  <si>
    <t xml:space="preserve">Aporte patronal al Régimen Obligatorio de Pensiones Complementarias, según lo establecido en la Ley de Protección al Trabajador Ley N°7983.
_x000D_
</t>
  </si>
  <si>
    <t xml:space="preserve">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Asignados según el siguiente detalle:
_x000D_
SP313 Área de Estadísticas Continuas
 ¢ 8 560 000
S_x000D_
P314 Unidad de indice de Precios
 ¢14 268 000
_x000D_
SP315 Encuesta Nacional Agrop (ENA)
 ¢ 5 816 000_x000D_
SP317 Directorio de Emp y Establec(DEE)
 ¢2 904 000
_x000D_
SP318 Unidad de Estadísticas Económicas 
¢1 130 000
_x000D_
SP323 ENFIHO-ENIGH (CF)
 ¢8 784 000
S_x000D_
P344 ENADEL Servicio (CF)
 ¢252 000
_x000D_
</t>
  </si>
  <si>
    <t xml:space="preserve">Servicio de suministro de agua potable, según consumo. Esta estimación se realiza con base en el promedio real de enero a junio y un promedio proyectado al segundo semestre 2024._x000D_
_x000D_
Asignados según el siguiente detalle:_x000D_
_x000D_
SP313 Área de Estadísticas Continuas_x000D_
¢370 000_x000D_
SP314 Unidad de indice de Precios_x000D_
¢616 000_x000D_
SP315 Encuesta Nacional Agrop (ENA)_x000D_
¢250 000_x000D_
SP317 Directorio de Emp y Establec(DEE)_x000D_
¢126 000_x000D_
SP318 Unidad de Estadísticas Económicas_x000D_
¢418 000_x000D_
SP323 ENFIHO-ENIGH (CF)_x000D_
¢380 000_x000D_
SP344 ENADEL Servicio (CF)_x000D_
¢10 000_x000D_
</t>
  </si>
  <si>
    <t xml:space="preserve">Servicio de energía eléctrica, según consumo. Esta estimación se realiza con base en el promedio real de enero a junio y un promedio proyectado al segundo semestre 2024._x000D_
_x000D_
Asignados según el siguiente detalle:_x000D_
_x000D_
SP313 Área de Estadísticas Continuas_x000D_
¢1 156 000_x000D_
SP314 Unidad de indice de Precios_x000D_
¢1 928 000_x000D_
SP315 Encuesta Nacional Agrop (ENA)_x000D_
¢786 000_x000D_
SP317 Directorio de Emp y Establec(DEE)_x000D_
¢392 000_x000D_
SP318 Unidad de Estadísticas Económicas_x000D_
¢152 000_x000D_
SP323 ENFIHO-ENIGH (CF)_x000D_
¢1 188 000_x000D_
SP344 ENADEL Servicio (CF)_x000D_
¢34 000_x000D_
</t>
  </si>
  <si>
    <t xml:space="preserve">Comprende el pago de servicio de telefonía, fax, redes de información y otros a nivel nacional e internacional según consumo estimado espacio asignado. Esta estimación se realiza con base en el promedio real de enero a junio y un promedio proyectado de junio 2024.
Asignados según el siguiente detalle:
SP313 Área de Estadísticas Continuas
¢ 600 000
SP314 Unidad de indice de Precios
¢1 002 000
SP315 Encuesta Nacional Agrop (ENA)
¢408 000
SP317 Directorio de Emp y Establec(DEE)
¢204 000
SP318 Unidad de Estadísticas Económicas
¢80 000
SP323 ENFIHO-ENIGH (CF)
¢616 000
SP344 ENADEL Servicio (CF)
¢18 000
</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</si>
  <si>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Asignados según el siguiente detalle:_x000D_
_x000D_
SP313 Área de Estadísticas Continuas_x000D_
Seguridad ¢1 546 000  / Limpieza ¢1 286 000_x000D_
_x000D_
SP314 Unidad de indice de Precios_x000D_
Seguridad ¢2 600 000   / Limpieza ¢2 142 000_x000D_
_x000D_
SP315 Encuesta Nacional Agrop (ENA)_x000D_
Seguridad ¢1 050 000   / Limpieza ¢874 000_x000D_
_x000D_
SP317 Directorio de Emp y Establec(DEE)_x000D_
Seguridad ¢525 000 / Limpieza ¢436 000_x000D_
_x000D_
SP318 Unidad de Estadísticas Económicas_x000D_
Seguridad ¢204 000      / Limpieza ¢170 000_x000D_
_x000D_
SP323 ENFIHO-ENIGH (CF)_x000D_
Seguridad ¢1 587 000 / Limpieza ¢1 318 000_x000D_
_x000D_
SP344 ENADEL Servicio (CF)_x000D_
Seguridad ¢46 000  / Limpieza ¢38 000</t>
  </si>
  <si>
    <t>RT ¢ 693 000 Seguro de Riesgos del Trabajo que debe cubrir la Institución a los funcionarios por todo el año. La póliza de Riesgos del Trabajo se estima en base al 0,69% del total remuneraciones formulada para el año 2025._x000D_
_x000D_
Póliza de Equipo Electrónico ¢ 1 875 000</t>
  </si>
  <si>
    <t xml:space="preserve">Pago de seguro obligatorio de automoviles institucional, de la ENA un monto de 18 834 000_x000D_
Pago de seguro obligatorio de automoviles institucional, del IPC un monto de 4 484 000_x000D_
</t>
  </si>
  <si>
    <t>1 800 000 para lavado de vehículos institucionales en zona de la ECE</t>
  </si>
  <si>
    <t xml:space="preserve">Se requiere 1 666 667 para el mantenimiento y reparación de vehículos institucionales de Cartografía (SP 308)
</t>
  </si>
  <si>
    <t xml:space="preserve">Se requiere 31 667 000 para el mantenimiento y reparación y 3 700 000 para lavado de vehículos institucionales en zona para la ENA
Se requiere de 5 000 000 para el mantenimiento y reparación de vehículos institucionales del IPC
_x000D_
</t>
  </si>
  <si>
    <t xml:space="preserve">Monto correspondiente a la compra de combustible requerido para llevar a cabo el operativo de campo y procesos adscritos a la encuesta_x000D_
</t>
  </si>
  <si>
    <t>Adquisición de materiales y productos que se requieren en la construcción, mantenimiento y reparación de los sistemas eléctricos, telefónicos y de cómputo.  Como ejemplo se citan los siguientes: todo tipo de cable, bombillos, tubos, conectadores, uniones, cajas octogonales, toma corrientes, cajas telefónicas, memoria RAM, tarjetas para cómputo, abanicos internos de computadoras, entre otros._x000D_
Para el personal de recolección de datos que desarrolla sus funciones en campo, visitando las unidades de estudio asignadas al Área de Estadísticas Continuas; ENA, IPC, ENADEL.</t>
  </si>
  <si>
    <t xml:space="preserve">ENA: Para la compra de bateria  376 800,  para llantas 4 125 766.40  para diferentes vehículos del INEC 
ENIGH: Para la compra de llantas 2 042 836.60  para diferentes vehículos del INEC 
IPC: Para la compra de bateria 62 800,  para llantas 561 045.80  para diferentes vehículos del INEC 
ENADEL: Para la compra de llantas 280 522.90 para diferentes vehículos del INEC"_x000D_
</t>
  </si>
  <si>
    <t>Contempla las compras de todo tipo de hilados, tejidos de fibras artificiales y naturales y prendas de vestir, incluye tanto la adquisición de los bienes terminados como los materiales para elaborarlos. Se cita como ejemplo: paraguas, uniformes, ropa de cama, cortinas, persianas, alfombras, colchones, cordeles, redes, calzado de vestir, bolsos y otros artículos similares. _x000D_
Para el personal de recolección de datos que desarrolla sus funciones en campo, visitando las unidades de estudio asignadas al Área de Estadísticas Continuas; ENA, IPC, ENADEL.</t>
  </si>
  <si>
    <t xml:space="preserve">Cancelación de tiempo extraordinario del personal que labora en diseño y  análisis de productos para la divulgación, por cualquier eventualidad que se presente y se deba pagar tiempo fuera del horario habitual para  que no se materialice el riesgo de no cumplimiento de las metas.
Tiempo extraordinario para personal de recolección de información, por atrasos en desplazamientos, recolección de precios en ferias del agricultor los fines de semana y cualquier otra eventualidad.  </t>
  </si>
  <si>
    <t xml:space="preserve">Reconocimiento adicional al salario base que se paga cada vez que el funcionario cumple años de laborar en la institución pública, de acuerdo con la categoría de salarios en que esté ubicado su puesto.
</t>
  </si>
  <si>
    <t xml:space="preserve">Compensación económica al servidor al que por legislación vigente se le ha impuesto la restricción al ejercicio de la profesión que ostenta en su cargo.
</t>
  </si>
  <si>
    <t xml:space="preserve">Pago de salario adicional para los funcionarios, en cumplimiento de lo establecido en la ley de aguinaldos para Instituciones Autónomas.
</t>
  </si>
  <si>
    <t xml:space="preserve">Pago de salario escolar para los funcionarios, en cumplimiento a lo establecido en la ley de salario escolar.
</t>
  </si>
  <si>
    <t xml:space="preserve">Cuota patronal a la Caja Costarricense de Seguro Social por concepto de salud.
</t>
  </si>
  <si>
    <t>(Planes) Planes postpago para 10 entrevistadores, 1 encargado de campo y 3 supervisores. Los planes son ultra K2 y ultra K4. Con el fin de suplir al personal de medios de comunicación para realizar el operativo telefónico de recolección de datos estadísticos, de igual manera para la comunicación con oficina centrales, supervisor-entrevistador y viceversa.</t>
  </si>
  <si>
    <t xml:space="preserve">(d)Contempla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t>
  </si>
  <si>
    <t xml:space="preserve">(d) 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10 entrevistadores, 3 choferes, 3 supervisores y 1 encargado de campo.
</t>
  </si>
  <si>
    <t xml:space="preserve">Para la compra de un boleto a Francia para que una persona asista a la reunión bienal sobre Paridades de poder adquisitivo (PPA) organizada por la OCDE y Eurostat, en la que se revisan los datos de las encuestas anteriores y se dan las directrices para las próximas encuestas. </t>
  </si>
  <si>
    <t xml:space="preserve">Se consideran recursos para  para que una persona asista a la reunión bienal sobre Paridades de poder adquisitivo (PPA) organizada por la OCDE y Eurostat, en la que se revisan los datos de las encuestas anteriores y se dan las directrices para las próximas encuestas. _x000D_
</t>
  </si>
  <si>
    <t>RT ¢ 2 754 000 Seguro de Riesgos del Trabajo que debe cubrir la Institución a los funcionarios por todo el año. La póliza de Riesgos del Trabajo se estima en base al 0,69% del total remuneraciones formulada para el año 2025.</t>
  </si>
  <si>
    <t xml:space="preserve">Para capacitacion anual de Índices de Precios para la  participan de todos los funcionarios de la Unidad, se realiza en julio.
</t>
  </si>
  <si>
    <t xml:space="preserve">Se requiere para el  lavado de vehículos institucionales  utilizados en la recolección de información de los índices._x000D_
</t>
  </si>
  <si>
    <t xml:space="preserve">Montos previstos en caso de renuncia o despido de funcionarios contratados por el proyecto._x000D_
</t>
  </si>
  <si>
    <t xml:space="preserve">Salario base del personal por servicios especiales  para cumplir con las actividades de  Proyectos Especiales, según las Directrices técnicas y metodológicas para la formulación del Presupuesto 2025, Decretos y directriz Presidencial emitidas para este fin.  _x000D_
</t>
  </si>
  <si>
    <t xml:space="preserve">Cancelación de tiempo extraordinario del personal que labora en la encuesta, recolectando la información en las fincas seleccionadas en la muestra, para 19 entrevistadores, 5 supervisores, encargado de recolección y 3 choferes (primer trimestre). Este tiempo se tiene previsto por  cualquier eventualidad por atrasos en desplazamientos, citas que solicitan los informantes fuera del horario laboral, y cubrir incapacidades o renuncias de personal entrevistador que deben suplirse con personal de otras zonas._x000D_
</t>
  </si>
  <si>
    <t>Comprende el pago de planes postpago  con el fin de suplir al personal entrevistador y supervisor de medios de comunicación para realizar el operativo telefónico de recolección de datos estadísticos en las fincas de la muestra. Esta estimación se realiza con base en el promedio real de enero a junio  2024.
8.567.000  para 19 entrevistadores, 1 encargado de campo y 5 supervisores durante todo el año. Los planes son ultra K4.</t>
  </si>
  <si>
    <t xml:space="preserve">(a) 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t>
  </si>
  <si>
    <t xml:space="preserve">(a) 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19 entrevistadores, 5 choferes durante el primer trimestre y dos choferes despues del primer trimestre, 5 supervisores y 1 encargado de campo.
</t>
  </si>
  <si>
    <t>RT ¢ 2 928 000 Seguro de Riesgos del Trabajo que debe cubrir la Institución a los funcionarios por todo el año. La póliza de Riesgos del Trabajo se estima en base al 0,69% del total remuneraciones formulada para el año 2025.</t>
  </si>
  <si>
    <t xml:space="preserve">Considera los gastos por la prestación de servicios destinados a la inauguración y clausura, formación, actualización y desarrollo del conocimiento, que se contratan con personas físicas y jurídicas. 
Para capacitacion anual ENA en donde participan todos los funcionarios de la encuesta, se realiza en el mes de julio y se deben hospedar los funcionarios que residen en zonas.
_x000D_
</t>
  </si>
  <si>
    <t xml:space="preserve">Cancelación de tiempo extraordinario del personal que labora en el dierctorio, por cualquier eventualidad que se presente y que ponga en riesgo de cumplimiento de las metas como cubrir incapacidades o renuncias de personal entrevistador que deben suplirse con personal que tiene asignado otras cargas de trabajo.
_x000D_
</t>
  </si>
  <si>
    <t>RT ¢ 1 158 000 Seguro de Riesgos del Trabajo que debe cubrir la Institución a los funcionarios por todo el año. La póliza de Riesgos del Trabajo se estima en base al 0,69% del total remuneraciones formulada para el año 2025.</t>
  </si>
  <si>
    <t xml:space="preserve">(a)Erogaciones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1 chofer 4 veces al año, una vez por trimestre.
</t>
  </si>
  <si>
    <t>RT ¢ 938 000 Seguro de Riesgos del Trabajo que debe cubrir la Institución a los funcionarios por todo el año. La póliza de Riesgos del Trabajo se estima en base al 0,69% del total remuneraciones formulada para el año 2025.</t>
  </si>
  <si>
    <t>SP319 Censo Nacional Agropecuario (CENAGRO)</t>
  </si>
  <si>
    <t>(Planes) Se contempla el pago de los planes de datos requeridos durante la verificación cartográfica de campo por parte de las agencias censales para el Censo Nacional Agropecuario.</t>
  </si>
  <si>
    <t>Se consideran 400 000 para el pago del servicio de monitoreo de los vehículos institucionales de CENAGRO</t>
  </si>
  <si>
    <t>Pago estimado por traslados en autobús, taxi, ferry, lancha y peajes requeridos durante la verificación cartográfica de campo por parte de las agencias censales para el Censo Nacional Agropecuario.</t>
  </si>
  <si>
    <t>Se contempla el pago de los viáticos de alimentación y hospedaje para la verificación cartográfica en campo por parte de las agencias censales para el Censo Nacional Agropecuario.</t>
  </si>
  <si>
    <t>Se estima el costo del transporte requerido para llevar a cabo una pasantia en Paraguay durante 5 días para 3 personas, con el objetivo de conocer la experiencia del Censo Agropecuario Nacional 2022, del Instituto Nacional de Estadística de Paraguay. Esto con el fin de analizar la experiencia y las recomendaciones que tengan en Cartografía, Diseño, Recolección, seguimiento y procesamiento de la información.</t>
  </si>
  <si>
    <t>Se estiman viáticos de alimentación para llevar a cabo una pasantia en Paraguay durante 5 días para 3 personas, con el objetivo de conocer la experiencia del Censo Agropecuario Nacional 2022, del Instituto Nacional de Estadística de Paraguay. Esto con el fin de analizar la experiencia y las recomendaciones que tengan en Cartografía, Diseño, Recolección, seguimiento y procesamiento de la información.</t>
  </si>
  <si>
    <t>RT ¢ 11 106 000 Seguro de Riesgos del Trabajo que debe cubrir la Institución a los funcionarios por todo el año. La póliza de Riesgos del Trabajo se estima en base al 0,69% del total remuneraciones formulada para el año 2025.</t>
  </si>
  <si>
    <t>Se estiman recursos para la capacitación del personal de campo (agentes y subagentes censales), en la cual se les brinda la capacitación técnica que necesitan para desempeñar el puesto, asi como todo lo correspondiente a procesos administrativos que deben conocer (¢19 000 000). Asimismo, tambien se incluye la alimentación necesaria para llevar a cabo el proceso de consulta a usuarios con personas externa, en la cual se estima la participación de 90 personas distribuidas en al menos cinco talleres presenciales (¢220 000).</t>
  </si>
  <si>
    <t>Se requiere 19 300 000 para el mantenimiento y reparación y 1 850 000 para lavado de vehículos institucionales en zona de CENAGRO</t>
  </si>
  <si>
    <t xml:space="preserve">Para el pago de derechos de circulación de la flotilla asignada a CENAGRO </t>
  </si>
  <si>
    <t>Pago administrativo de los dispositivos quick pass por concepto de peaje requeridos para la encuesta</t>
  </si>
  <si>
    <t>Se contempla la compra del combustible necesario para la verificación cartográfica de campo por parte de las agencias censales para el Censo Nacional Agropecuario.</t>
  </si>
  <si>
    <t>Se contempla la compra de materiales como cargadores de tablet, cargadores y baterias de computadoras portátiles necesarios para los equipos utilizados durante la recolección de la verificación cartográfica de campo por parte de las agencias censales para el Censo Nacional Agropecuario.</t>
  </si>
  <si>
    <t>Útiles y materiales de oficina requeridos durante la durante la verificación cartográfica de campo por parte de las agencias censales para el Censo Nacional Agropecuario.</t>
  </si>
  <si>
    <t>Productos de papel requeridos  la durante la verificación cartográfica de campo por parte de las agencias censales para el Censo Nacional Agropecuario.</t>
  </si>
  <si>
    <t>Textiles requeridos para ser utilizados  la durante la verificación cartográfica de campo por parte de las agencias censales para el Censo Nacional Agropecuario.</t>
  </si>
  <si>
    <t>Se incluye la compra de cajas plásticas requeridas para el traslado del material de trabajo de campo.</t>
  </si>
  <si>
    <t>Se requiere la adquisisción de 16 vehículos tipo 4x4 para personal de las agencias censales de CENAGRO las cuales se encuentran distribuidas en tod el territorio nacional.</t>
  </si>
  <si>
    <t>Pago de seguro obligatorio de automoviles institucional</t>
  </si>
  <si>
    <t>RT ¢ 340 000 Seguro de Riesgos del Trabajo que debe cubrir la Institución a los funcionarios por todo el año. La póliza de Riesgos del Trabajo se estima en base al 0,69% del total remuneraciones formulada para el año 2025.</t>
  </si>
  <si>
    <t>Aportes que la institución transfiere a los órganos que integran el Gobierno Central, para atender gastos corrientes.  Según oficio DGI-GIE-0002-2024 Transferencia a Hacienda del E.E.E</t>
  </si>
  <si>
    <t xml:space="preserve">Se consideran recursos para un viaje a México  para adecuar diseño de cuestionario de Encuesta Financiera a Hogares a los requerimientos  de OCDE_x000D_
</t>
  </si>
  <si>
    <t>RT ¢ 1 004 000 Seguro de Riesgos del Trabajo que debe cubrir la Institución a los funcionarios por todo el año. La póliza de Riesgos del Trabajo se estima en base al 0,69% del total remuneraciones formulada para el año 2025.</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</si>
  <si>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Distribuidos de la siguiente Forma:_x000D_
Seguridad: ¢ 1 100 000 / Limpieza ¢ 916 000</t>
  </si>
  <si>
    <t>RT ¢ 793 000 Seguro de Riesgos del Trabajo que debe cubrir la Institución a los funcionarios por todo el año. La póliza de Riesgos del Trabajo se estima en base al 0,69% del total remuneraciones formulada para el año 2025.</t>
  </si>
  <si>
    <t>Se contempla el alquiler de vehículos requeridos para la actualización de geodatos en campo de UPM y distritos de la encuesta, según la estimación realizada por el Proceso de Transportes, de acuerdo a la revisión de necesidades y planificación de vehiculos intitucionales. ¢64 000000</t>
  </si>
  <si>
    <t>(Planes) Se contempla el pago de los planes de datos requeridos durante la actualización de geodatos en campo de UPM y distritos requeridas para la encuesta. (¢4 200 000)</t>
  </si>
  <si>
    <t>Corresponde al servicio de fotocopiado e impresión litografica de manuales, hojas de control, cuestionarios, entre otros documentos requeridos para la capacitaciones del personal de la encuesta.</t>
  </si>
  <si>
    <t>Se consideran recursos para el pago del servicio de grúas y servicios de chapulines que se puedan requerir durante la actualización de geodatos en campo de UPM y distritos de la encuesta.</t>
  </si>
  <si>
    <t>Se incluyen recursos para el lavado de ropa del personal que debe permanecer de gira en campo por mas de 7 días consecutivos durante la actualización de geodatos en campo de UPM y distritos de la encuesta (¢1 850 000). Asimismo, se consideran ¢65 000 para el pago del servicio de monitoreo de los vehículos institucionales durante la actualización.</t>
  </si>
  <si>
    <t>Se contempla gastos de transportes como peajes y ferry necesarios para llevar a cabo la prueba piloto y el proceso de reclutamiento en zona. (¢50 000). Asi como los gastos de lancha y ferry necesarios para la actualización de geodatos en campo de UPM y distritos de la encuesta (¢300 000)</t>
  </si>
  <si>
    <t xml:space="preserve">Viáticos parciales o totales (según corresponda) requeridos para realizar la prueba piloto de la encuesta, la cual sirve como diagnostico para los ajustes temáticos y operativos que se deben hacer para el inicio de la encuesta (¢6 000 000).  Asi como los gastos de viáticos requeridos para la actualización de geodatos en campo de UPM y distritos de la encuesta (¢260 000 000) </t>
  </si>
  <si>
    <t>RT ¢ 7 293 000 Seguro de Riesgos del Trabajo que debe cubrir la Institución a los funcionarios por todo el año. La póliza de Riesgos del Trabajo se estima en base al 0,69% del total remuneraciones formulada para el año 2025.</t>
  </si>
  <si>
    <t>Gastos correspondientes a las repaciones de llantas por daños o desperfectos que se originen durante la actualización de geodatos en campo de UPM y distritos de la encuesta (¢60 000)_x000D_
_x000D_
Se requiere 18 333 333 para el mantenimiento y reparación y 1 800 000 para lavado de vehículos institucionales en zona del SIEH-Cartografía</t>
  </si>
  <si>
    <t>Pago administrativo de los dispositivos quick pass por concepto de peaje requeridos para la actualización de geodatos en campo de UPM y distritos de la encuesta.</t>
  </si>
  <si>
    <t>Se contempla la compra del combustible necesario para  la actualización de geodatos en campo de UPM y distritos de la encuesta.</t>
  </si>
  <si>
    <t>Productos farmacéuticos requeridos para la adecuada desinfección, prevención y cumplimiento de protocolos sanitarios durante la actualización de geodatos en campo de UPM y distritos de la encuesta. Se incluye alcohol en gel, bloqueadores y repelentes.</t>
  </si>
  <si>
    <t xml:space="preserve">Tintas requeridas para la impresión de documentos utilizados durante las labores ordinarias del personal de oficina, asi como preparativos para capacitaciones y actividades propias de campo. </t>
  </si>
  <si>
    <t>Accesorios requeridos para el procesamiento de la información durante la actualización de geodatos en campo de UPM y distritos de la encuesta.</t>
  </si>
  <si>
    <t>Útiles y materiales de oficina requeridos durante la actualización de geodatos en campo de UPM y distritos de la encuesta.</t>
  </si>
  <si>
    <t>Productos de papel requeridos para ser utilizados durante la actualización de geodatos en campo de UPM y distritos de la encuesta.</t>
  </si>
  <si>
    <t>Textiles requeridos para ser utilizados durante la actualización de geodatos en campo de UPM y distritos de la encuesta.</t>
  </si>
  <si>
    <t>Bolsas plásticas requeridas para el empaque de materiales y herramientes a utilizar durante las giras del personal de trabajo de campo.</t>
  </si>
  <si>
    <t>Se contempla la adquisición de dispositivos móviles, los cuales serán utilizados para la recolección de la información en campo durante encuesta continua a hogares.</t>
  </si>
  <si>
    <t>Se incluye la compra de equipo de computo requerido para el personal nuevo que se encargara del diseño y de la recolección de la información en campo durante encuesta continua a hogares. Además se agrego una computadora adiciona quedando un total de 112.</t>
  </si>
  <si>
    <t>SP341 ENIGH (SE)</t>
  </si>
  <si>
    <t>Salario base del personal por servicios especiales  para cumplir con las actividades de las actividades permanentes así como Proyectos Especiales, según las Directrices técnicas y metodológicas para la formulación del Presupuesto 2023, Decretos y directriz Presidencial emitidas para este fin.</t>
  </si>
  <si>
    <t xml:space="preserve">Cancelación de tiempo extraordinario del personal que labora en la encuesta en enero que finaliza la recolección de información para los sábados días que hay asignada recolección por la dinámica de la encuesta, así como por citas d elos informantes en hoasr fuera del horario y por atrasos en el desplazamiento, y por cualquier otro imprevisto. _x000D_
</t>
  </si>
  <si>
    <t>Gastos por alquiler de todo tipo de maquinaria, equipo y mobiliario necesario para realizar las actividades de la institución. Considera además el servicio de operación de los equipos, si así lo consigna el contrato de alquiler. 
Incluye el alquiler de vehículos, así como el pago de kilometraje, el cual corresponde a las sumas que se reconocen a aquellos funcionarios que utilizan el vehículo de su propiedad en la ejecución de sus funciones, según el marco legal vigente.</t>
  </si>
  <si>
    <t>(Planes) Para planes postpago institucionales para los funcionarios de trabajo de campo durante un mes, ya que la recolección de información finaliza el 31 de enero.</t>
  </si>
  <si>
    <t>Se requieren recursos para el pago de lavado de ropa de los funcionarios que realizan recolección de datos en campo de la Encuesta Nacional de Ingresos y Gastos de los Hogares, los cuales visitan una UPM durante diez días consecutivos sin regresar a sus viviendas.</t>
  </si>
  <si>
    <t xml:space="preserve">(d) 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t>
  </si>
  <si>
    <t xml:space="preserve">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para el personal recolector, choferes y supervisores durante enero mes en que finaliza la recolección de información. _x000D_
</t>
  </si>
  <si>
    <t>Pago de seguro obligatorio de automoviles institucional requeridos para la actualización de geodatos en campo de UPM y distritos de la encuesta. ¢ 9 866 000</t>
  </si>
  <si>
    <t>RT ¢ 1 030 000 Seguro de Riesgos del Trabajo que debe cubrir la Institución a los funcionarios por todo el año. La póliza de Riesgos del Trabajo se estima en base al 0,69% del total remuneraciones formulada para el año 2025.</t>
  </si>
  <si>
    <t>Pago de seguro obligatorio de automoviles institucional, del ENIGH un monto de 5 381 000</t>
  </si>
  <si>
    <t xml:space="preserve">Para realizar taller de realimentación y  cierre de la recolección de información de la ENIGH 2024, y que sea insumo para la evaluacion de la operación estadística. _x000D_
</t>
  </si>
  <si>
    <t>Se requiere 1 667 000 para el mantenimiento y reparación y 300 000 para lavado de vehículos institucionales en zona para la ENIGH</t>
  </si>
  <si>
    <t>Se requieren recursos para la compra de baterías  y llantas para los vehículos institicionales</t>
  </si>
  <si>
    <t>Sumas que asignan las instituciones públicas para cubrir el pago por concepto de preaviso y cesantía, además de otros pagos a que tengan derecho los funcionarios una vez concluida la relación laboral con la entidad de conformidad con las regulaciones establecidas. La recolección finaliza en enero 2025 y corresponde pagar prestaciones al personal que laboró por un año y dos meses.</t>
  </si>
  <si>
    <t>RT ¢ 1 305 000 Seguro de Riesgos del Trabajo que debe cubrir la Institución a los funcionarios por todo el año. La póliza de Riesgos del Trabajo se estima en base al 0,69% del total remuneraciones formulada para el año 2025.</t>
  </si>
  <si>
    <t>SP344 ENC. NAC. DE DEMANDA LABORAL SERVICIO (ENADEL) (CF)</t>
  </si>
  <si>
    <t xml:space="preserve">Cancelación de tiempo extraordinario del personal que labora en la encuesta, recolectando la información en las empresas seleccionadas en la muestra, para los  entrevistadores, supervisor, encargado de recolección y un choferes. Este tiempo se tiene previsto por  cualquier eventualidad por atrasos en desplazamientos, citas que solicitan los informantes fuera del horario laboral, y cubrir incapacidades o renuncias de personal entrevistador que deben suplirse con personal que tiene asignada otra carga de trabajo.
</t>
  </si>
  <si>
    <t>(Planes) Para planes postpago institucionales, que se utilizarán en la recolección de la información de las empresas.</t>
  </si>
  <si>
    <t xml:space="preserve">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7 entrevistadores, 1 chofer, 1 supervisor y 1 encargado de campo.
</t>
  </si>
  <si>
    <t>RT ¢ 1 330 000 Seguro de Riesgos del Trabajo que debe cubrir la Institución a los funcionarios por todo el año. La póliza de Riesgos del Trabajo se estima en base al 0,69% del total remuneraciones formulada para el año 2025.</t>
  </si>
  <si>
    <t>Pago de seguro obligatorio de automoviles institucional, del ENADEL un monto de 897 000</t>
  </si>
  <si>
    <t>Se requiere para el mantenimiento y reparación de vehículos institucionales  1 667 000 para ENADEL</t>
  </si>
  <si>
    <t>Se requiere para personal de nuevo ingreso una computadora portátil con todos los componentes.</t>
  </si>
  <si>
    <t>SP345 ENC. NAC. DE DEMANDA LABORAL SERVICIO (ENADEL) (SE)</t>
  </si>
  <si>
    <t>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932 000 / Limpieza ¢ 774 000</t>
  </si>
  <si>
    <t>RT ¢ 311 000 Seguro de Riesgos del Trabajo que debe cubrir la Institución a los funcionarios por todo el año. La póliza de Riesgos del Trabajo se estima en base al 0,69% del total remuneraciones formulada para el año 2025.</t>
  </si>
  <si>
    <t>SP346 (IPP) Índice de precios al productor (SE)</t>
  </si>
  <si>
    <t>RT ¢ 219 000 Seguro de Riesgos del Trabajo que debe cubrir la Institución a los funcionarios por todo el año. La póliza de Riesgos del Trabajo se estima en base al 0,69% del total remuneraciones formulada para el año 2025.</t>
  </si>
  <si>
    <t>SP347 (FII) Fuentes de Información Índices (SE)</t>
  </si>
  <si>
    <t>RT ¢ 303 000 Seguro de Riesgos del Trabajo que debe cubrir la Institución a los funcionarios por todo el año. La póliza de Riesgos del Trabajo se estima en base al 0,69% del total remuneraciones formulada para el año 2025.</t>
  </si>
  <si>
    <t>SP348 Encuesta de confianza</t>
  </si>
  <si>
    <t>6.07.01 Transferencias corrientes a Organismos Internacionales</t>
  </si>
  <si>
    <t>Encuesta de confianza de la OCDE</t>
  </si>
  <si>
    <t>RT ¢ 695 000 Seguro de Riesgos del Trabajo que debe cubrir la Institución a los funcionarios por todo el año. La póliza de Riesgos del Trabajo se estima en base al 0,69% del total remuneraciones formulada para el año 2025.</t>
  </si>
  <si>
    <t>RT ¢ 968 000 Seguro de Riesgos del Trabajo que debe cubrir la Institución a los funcionarios por todo el año. La póliza de Riesgos del Trabajo se estima en base al 0,69% del total remuneraciones formulada para el año 2025.</t>
  </si>
  <si>
    <t>RT ¢ 394 000 Seguro de Riesgos del Trabajo que debe cubrir la Institución a los funcionarios por todo el año. La póliza de Riesgos del Trabajo se estima en base al 0,69% del total remuneraciones formulada para el año 2025.</t>
  </si>
  <si>
    <t>RT ¢ 364 000 Seguro de Riesgos del Trabajo que debe cubrir la Institución a los funcionarios por todo el año. La póliza de Riesgos del Trabajo se estima en base al 0,69% del total remuneraciones formulada para el año 2025.</t>
  </si>
  <si>
    <t>Aporte patronal para el financiamiento del Fondo de Capitalización Laboral, según la Ley de Protección al Trabajador, Ley N°7983, artículo 3°. reformada mediante el artículo 1 de la Ley para resguardar el derecho de los trabajadores a retirar los recursos</t>
  </si>
  <si>
    <t>RT ¢ 489 000 Seguro de Riesgos del Trabajo que debe cubrir la Institución a los funcionarios por todo el año. La póliza de Riesgos del Trabajo se estima en base al 0,69% del total remuneraciones formulada para el año 2025.</t>
  </si>
  <si>
    <t>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
_x000D_
Distribuidos de la siguiente Forma:_x000D_
SP401 Área de Información y Divulgación Estadística ¢10 976 000_x000D_
_x000D_
SP402 Centro de Información ¢5 782 000_x000D_
_x000D_
SP404 Biblioteca ¢6 092 000</t>
  </si>
  <si>
    <t>Servicio de suministro de agua potable, según consumo. Esta estimación se realiza con base en el promedio real de enero a junio y un promedio proyectado al segundo semestre 2024._x000D_
_x000D_
Distribuidos de la siguiente Forma:_x000D_
SP401 Área de Información y Divulgación Estadística ¢474 000_x000D_
_x000D_
SP402 Centro de Información ¢ 250 000_x000D_
_x000D_
SP404 Biblioteca ¢262 000</t>
  </si>
  <si>
    <t>Servicio de energía eléctrica, según consumo. Esta estimación se realiza con base en el promedio real de enero a junio y un promedio proyectado al segundo semestre 2024._x000D_
_x000D_
Distribuidos de la siguiente Forma:_x000D_
SP401 Área de Información y Divulgación Estadística ¢1 484 000_x000D_
_x000D_
SP402 Centro de Información ¢782 000_x000D_
_x000D_
SP404 Biblioteca ¢824 000</t>
  </si>
  <si>
    <t>Comprende el pago de servicio de telefonía, fax, redes de información y otros a nivel nacional e internacional según consumo estimado espacio asignado. Esta estimación se realiza con base en el promedio real de enero a junio y un promedio proyectado de junio 2024._x000D_
_x000D_
Distribuidos de la siguiente Forma:_x000D_
* SP401 Área de Información y Divulgación Estadística ¢770 000_x000D_
* SP402 Centro de Información ¢406 000_x000D_
* SP404 Biblioteca ¢428 000</t>
  </si>
  <si>
    <t>Los medios y otros recursos comunicacionales que posee la institución, presentan limitaciones a la hora de hacer difusiones orgánicas.  Es necesario contratar publicidad (pauta pagada) en medios de alcance mundial, como lo son las redes sociales, los buscadores de google, entre otros. Por ello, es menester destinar recursos para  gestionar el alcance de públicos de interés, como lo son las personas informantes dispersas en todo el territorio nacional. Una forma de resolver es apoyarse en las nuevas tecnologías como: publicidad en plataformas digitales, contenido digital, seguimiento de la inversión digital, desarrollo de aplicaciones, landing page (página de destino -es una página web diseñada para persuadir a los visitantes de realizar una acción específica-) y otras herramientas digitales de calidad según los estándares del mercado ayudará a potenciar los mensajes claves que el INEC tiene interés en difundir.</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</si>
  <si>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Distribuidos de la siguiente Forma:_x000D_
_x000D_
SP401 Área de Información y Divulgación Estadística ¢_x000D_
Seguridad: ¢1 982 000 / Limpieza ¢1 648 000_x000D_
_x000D_
SP402 Centro de Información ¢_x000D_
Seguridad: ¢1 045 000 / Limpieza ¢868 000_x000D_
_x000D_
SP404 Biblioteca ¢_x000D_
Seguridad: ¢1 100 000 / Limpieza ¢914 000</t>
  </si>
  <si>
    <t>La institución requiere darle continuidad al contrato de servicios integrales de agencia de comunicación, debido a que estos servicios complementan o cubren especialidades de la comunicación que no se tienen en la institución o que se encuentran limitadas y, que es necesario consolidar con el fin de progresar en la difusión de las estadísticas oficiales.  Considerando que la información estadística es un bien público que contribuye a la creación de conocimiento, su democratización y permite crear sociedades informadas como un pilar fundamental de la transparencia. Es responsabilidad del INEC hacer que los datos estadísticos sean entendibles para todos/as y no de forma exclusiva para personas con elevados niveles de escolaridad que les permitan mayor comprensión de los mismos o usuarios calificados para el análisis. De ahí la importancia de contar con los servicios especializados que se requieren en estos términos del procedimiento.</t>
  </si>
  <si>
    <t>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
_x000D_
Distribuidas de la siguiente forma:_x000D_
_x000D_
SP403 Producción Gráfica ¢ 1 818 000_x000D_
_x000D_
SP405 Comunicación ¢ 11 602 000</t>
  </si>
  <si>
    <t>Servicio de suministro de agua potable, según consumo. Esta estimación se realiza con base en el promedio real de enero a junio y un promedio proyectado al segundo semestre 2024._x000D_
_x000D_
_x000D_
Distribuidas de la siguiente forma:_x000D_
_x000D_
SP403 Producción Gráfica ¢ 78 000_x000D_
_x000D_
SP405 Comunicación ¢ 500 000</t>
  </si>
  <si>
    <t>Servicio de energía eléctrica, según consumo. Esta estimación se realiza con base en el promedio real de enero a junio y un promedio proyectado al segundo semestre 2024._x000D_
_x000D_
Distribuidas de la siguiente forma:_x000D_
_x000D_
SP403 Producción Gráfica ¢ 246 000_x000D_
_x000D_
SP405 Comunicación ¢ 1 568 000</t>
  </si>
  <si>
    <t>Comprende el pago de servicio de telefonía, fax, redes de información y otros a nivel nacional e internacional según consumo estimado espacio asignado. Esta estimación se realiza con base en el promedio real de enero a junio y un promedio proyectado de junio 2024.
Distribuidas de la siguiente forma:
SP403 Producción Gráfica ¢ 128 000
SP405 Comunicación ¢ 814 000</t>
  </si>
  <si>
    <t>(Planes) 
Se incluye:
* Continuidad plan #1 asignado al número 8574-2175 Prensa, para la administración de contenidos de redes sociales institucionales.   ¢13.080 x mes
* Continuidad plan #2 asignado al número 8473-5000 Prensa, para la atención WhatsApp de periodistas.   ¢10.865 x mes
* Continuidad plan asignado al número 8467-5000 Servicios de Información, para para la atención del WhatsApp institucional.     ¢10.865 x mes
* Continuidad servicio de recarga anual, de pago anticipado, para dos líneas de WhatsApp integradas al software Zoho CRM Plus.  ¢750.000 anual. 
Se incluye un monto adicional previendo posibles inc</t>
  </si>
  <si>
    <t>Continuidad del servicio de suscripción anual digital a periódicos de circulación nacional. Es indispensable tener con una alta oportunidad el acceso a las noticias de relevancia nacional e internacional, que pueden tener impacto en el quehacer institucional, tanto para dar seguimiento a las publicaciones de los resultados, su uso e interpretación de los medios de comunicación, como por otros públicos institucionales. Actualmente, los medios de comunicación son una plataforma de acceso a la ciudadanía que multiplican la divulgación del INEC, razón por la cual el contar con acceso ilimitado a todas noticias en tiempo real en los medios digitales es sumamente valioso y prioritario. Asimismo, es necesario conocer el entorno económico y social de la producción institucional y por ello el acceso a estos medios es considerado como una herramienta fundamental.</t>
  </si>
  <si>
    <t>Servicio de vigilancia, monitoreo y respuesta armada las 24 horas, se estima de acuerdo a la base real del primer semestre y a la proyección del segundo semestre del 2024._x000D_
Servicio de limpieza de oficinas y áreas comunes de acuerdo a la base real del primer semestre y a la proyección del segundo semestre del 2024._x000D_
_x000D_
Distribuidos de la siguiente Forma:_x000D_
_x000D_
SP403 Producción Gráfica_x000D_
Seguridad: ¢329 000 / Limpieza ¢272 000_x000D_
_x000D_
SP405 Comunicación_x000D_
Seguridad: ¢2 096 000 / Limpieza ¢1 742 000</t>
  </si>
  <si>
    <t>(COES) Servicio de monitoreo y control informaciones (12 MILL). Se requiere para gestionar nuevo procedimiento de control y monitoreo de redes sociales, noticias y todas las actividades comunicacionales atinentes al INEC expuestas públicamente</t>
  </si>
  <si>
    <t>Se atenderá giras con relación a los proyecto MIAPU, específicamente en el Plan de responsabilidad social que contempla visitas a diferentes zonas geográficas en las que se realizarán actividades con este enfoque (¢300.000). Adicionalmente se prevé la realización de giras para dos sesiones fotográficas en diferentes locaciones tanto urbanas como rurales pero que muestren diversidad de realidades o enfoques, para obtener registros fotográficos de los productos de divulgación de las operaciones estadísticas y también productos promocionales que forman parte de los planes de comunicación, o en la memoria institucional u otros requerimientos de diferentes dependencias (¢200.000) colones.</t>
  </si>
  <si>
    <t>Para actividades de capacitación con personas usuarias externas, actividades de relacionamiento con el público meta del Ministerio de Educación Pública por medio del plan de relacionamiento con personas usuarias externas, así como actividades de relacionamiento y formación para trabajar la responsabilidad social del componente de educación y cultura estadística del proyecto MIAPU. Tambien, para atender las ruedas de prensa sobre la divulgación de operaciones estadísticas.</t>
  </si>
  <si>
    <t>Recursos para "Adquisición de suministros especiales para el Proceso de Producción Gráfica, por demanda con cuantía estimada", mediante este servicio se atenderán todas las necesidades institucionales programadas.</t>
  </si>
  <si>
    <t>¢6 0000 000Contratación de Auditoria  de los Estados Financieros  y Liquidación Presupuestaria del año 2024 (Contabilidad, Presupuesto y Tesorería)</t>
  </si>
  <si>
    <t>¢3 500 000 para horas de soporte consultoría (Presupuesto)</t>
  </si>
  <si>
    <t>Asesoría DC Alliance</t>
  </si>
  <si>
    <t>Director de proyectos para la implementación del nuevo sistema de planillas</t>
  </si>
  <si>
    <t>Contratación servicio consultoría para el "Desarrollo de programa formativo  especializado en los nuevos enfoques de servicio al cliente" (5 MILL.). Se requiere la actualización en nuevas tendencias de servicio al cliente del personal de ASIDE que se encuentra brindando atención y servicio a la población usuaria, para mejorar los niveles de satisfacción de la persona usuaria.</t>
  </si>
  <si>
    <t xml:space="preserve"> "Elaboración de recursos didácticos que facilitan la autogestión de información estadística en el sitio web y de las acciones formativas implementadas" (11.5 MILL). Se requiere para ofrecer a la población usuaria recursos didácticos que informen, capaciten y orienten en la autogestión de la información estadística.</t>
  </si>
  <si>
    <t>SP122 Servicios Institucionales</t>
  </si>
  <si>
    <t>Recursos para atención ley 7600 Ley de Igualdad de Oportunidades para las Personas con Discapacidad</t>
  </si>
  <si>
    <t>Publicaciones en la GACETA: ¢ 500 000 Consejo Directivo</t>
  </si>
  <si>
    <t>Publicaciones en la GACETA: ¢ 337 000 AEC</t>
  </si>
  <si>
    <t xml:space="preserve">TRANF. CTES </t>
  </si>
  <si>
    <t>Superávit</t>
  </si>
  <si>
    <t>PRIMAS</t>
  </si>
  <si>
    <t>4 Activos Financieros</t>
  </si>
  <si>
    <t>4.99.99 OTROS ACTIVOS FINANCIEROS</t>
  </si>
  <si>
    <t>Reserva 53bis</t>
  </si>
  <si>
    <t xml:space="preserve">Una vez finalizado el proceso de evaluación del Censo 2022 es necesario contar con recursos que permitan iniciar con el análisis e implementación de las principales recomendaciones, en miras de la planificación del próximo censo nacional de población y vivienda para la ronda 2030.
En ese contexto, se contempla la contratación de una o varias personas consultoras internacionales expertas que orienten al equipo de Censos en la preparación de un perfil de proyecto integral que incluya al menos los siguientes aspectos:
-	Definición de un modelo de gobernanza adecuado para una operación estadística masiva.
-	Análisis de requerimientos financieros y de recurso humano.
-	Análisis de la metodología y tipo de censo factible para la ronda 2030.
-	Análisis para una plataforma tecnológica adecuada.
-	Análisis para el reclutamiento y contratación de personal de campo.
El principal objetivo será obtener un perfil de proyecto robusto que incorpore en la medida de lo posible las recomendaciones derivadas de la evaluación del Censo 2022 y que sea la base que oriente la planificación del nuevo censo en la ronda 2030. </t>
  </si>
  <si>
    <t>TELEPROMTER: Ofrece a los voceros INEC mayor facilidad durante las grabaciones de videos. Esta herramienta brinda comodidad y seguridad al vocero sobre los mensajes claves que debe grabar, de modo que impide que el manejo de datos y mensajes claves quede supeditado a la capacidad del vocero de manejar varios elementos a la vez.
Estará siendo utilizados en actividades relacionadas con todas las operaciones estadísticas y  proyectos INEC.</t>
  </si>
  <si>
    <t xml:space="preserve">Cámara mirrorless para grabación digital de videos que incluya lente intercambiable de cuadro completo (full frame) y tarjeta de memoria SDXC.
Actualmente la producción audiovisual ha cobrado mayor relevancia en los procesos de divulgación de resultados en la relación con los diversos medios de comunicación, de ahí que sea necesario contar un equipo de grabación que permita la divulgación de los resultados estadísticos en forma oportuna y simultánea a todos los medios de comunicación. 
Los medios audiovisuales exigen el video y el audio para procesar las noticias en el menor tiempo posible.
Estará siendo utilizados en actividades relacionadas con todas las operaciones estadísticas y  proyectos INEC.
</t>
  </si>
  <si>
    <t>FINANCIAMIENTO 3</t>
  </si>
  <si>
    <t xml:space="preserve">Superávit </t>
  </si>
  <si>
    <t xml:space="preserve">BCCR </t>
  </si>
  <si>
    <t>TRANF. CTES</t>
  </si>
  <si>
    <t>PRESUPUESTO ORDINARIO AÑO 2025</t>
  </si>
  <si>
    <t>Clasificación de Ingresos 2025</t>
  </si>
  <si>
    <t>Ingresos 2025</t>
  </si>
  <si>
    <t>Ingresos 2020-2025</t>
  </si>
  <si>
    <t xml:space="preserve">Mantenimiento de caja fuerte del proceso de tesorería. </t>
  </si>
  <si>
    <t>TRANF. CTES_1</t>
  </si>
  <si>
    <t>(Actividad Día mundial de las estadísticas) Desde el enfoque de experiencia de usuario, las actividades institucionales deben descentralizarse de enfoques técnicos y adecuarse a los diferentes públicos que asistirán a la celebración del Día Mundial de la Estadística. Por esta razón y a partir del pilar estratégico "Difusión de la producción estadística y promoción de la cultura estadística" se requiere incluir dentro de la agenda del día Mundial de la Estadística actividades de conversación, capacitación, foros, así como lúdicas y culturales dinámicas que propicien una experiencia de usuario enfocada en la comprensión de los temas que liderará la institución o que se desarrollaran por expertos(as) invitados(as). Estas actividades se alternarán con las actividades formativas de la agenda, con el fin de que no solo se ofrezca en la celebración un sólo tipo de actividad como tal.  Además, que se consideren diferentes públicos, que podrían incluir niños y niñas, que refuercen temas sobre la importancia de la estadística, quehacer institucional, producción estadística, confidencialidad de los datos, entre otros, innovando y satisfaciendo las necesidades de información en diferentes modalidades, propiciando la comprensión de la celebración. Actividad de interés institucional, que involucra todas las operaciones estadísticas y  proyectos INEC..</t>
  </si>
  <si>
    <t>Monto agregado inicial 2 millones + ¢119 180,08 agregados</t>
  </si>
  <si>
    <t xml:space="preserve">Recursos de superávit específico, que se ha generado de las Transferencias corrientes de periodos anteriores, para continuar con el financiamiento de actividades según lo indicado en el artículo 53 y 53 bis de la ley 9694 y sus reformas. </t>
  </si>
  <si>
    <r>
      <t xml:space="preserve">¢3 600,0 corresponde a los recursos aprobados por el Gobierno de la República en el Presupuesto Ordinario del 2025.  
(¢3 200,0 millones para el financiamiento de gastos operativos y ¢400,0 millones para la ejecución de la Encuesta Nacional de Hogares.)
</t>
    </r>
    <r>
      <rPr>
        <sz val="10"/>
        <color indexed="8"/>
        <rFont val="Open Sans SemiCondensed"/>
      </rPr>
      <t>¢3 745,0</t>
    </r>
    <r>
      <rPr>
        <sz val="10"/>
        <rFont val="Open Sans SemiCondensed"/>
      </rPr>
      <t xml:space="preserve"> corresponde al 0,5 % de las primas de seguros para el financiamiento de operaciones estadísticas, según artículo 53 de la  ley No. 9694 del 13/06/2019.</t>
    </r>
  </si>
  <si>
    <t>10/07/2024 10:32:13</t>
  </si>
  <si>
    <t>vladimir.calero</t>
  </si>
  <si>
    <t>Página 1 de 5</t>
  </si>
  <si>
    <t>PRESUPUESTO DE EGRESO 2025</t>
  </si>
  <si>
    <t>Actividades protocolarias</t>
  </si>
  <si>
    <t>Otros Activos Financieros</t>
  </si>
  <si>
    <t>4 - ACTIVOS FINANCIEROS</t>
  </si>
  <si>
    <t>CONTRIBUCIONES PATRONALES AL DESARROLLO Y SEGURIDAD SOCIAL</t>
  </si>
  <si>
    <t>CONTRIBUCIONES PATRONALES A FONDOS DE PENSIONES Y OTROS FONDOS</t>
  </si>
  <si>
    <t>Se contempla el alquiler de los vehículos requeridos para apoyo en el operativo de campo de la institución.</t>
  </si>
  <si>
    <t>Recursos necesarios para publicaciones institucionales de los reglamentos e información importante para conocimiento de la población en la Gaceta.</t>
  </si>
  <si>
    <t xml:space="preserve">La Ley de Control Interno indica: Cuando el personal de la auditoría interna, en el cumplimiento de sus funciones, se involucre en un conflicto legal o una demanda, la Institución dará todo su respaldo tanto jurídico como técnico y cubrirá los costos para atender ese proceso hasta su resolución final, por lo que se presupuesta este monto para enfrentar cualquier eventualidad. Asimismo, la Contraloría General de la República ha indicado que cuando la Auditoría Interna requiere profesionales en ciertos campos no debe recurrir a los profesionales que laboran para la institución. Adicionalmente se requiere realizar consultorías externas jurídicas como apoyo a los estudios de fiscalización.    </t>
  </si>
  <si>
    <t xml:space="preserve">Contar con los servicios informáticos que permitan robustecer, la accesibilidad en el sitio web institucional de las personas ciudadanas, que deseen consultar información de su interés.  </t>
  </si>
  <si>
    <t xml:space="preserve">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Se requiere cancelar los servicios de fumigación cuatro veces al año, recarga de extintores, servicio de monitoreo de los vehículos y servicio de bodegaje de documentos ,mantenimiento de zonas verdes,  servicio de mantenimiento de la rotulación del edificio, mantenimiento de caja fuerte de la institución. </t>
  </si>
  <si>
    <t>Para el pago de los dispositivos quick pass por concepto de peaje.  Asimismo se contempla  para pagos de transporte público en caso que el Proceso de transportes no cuente con los recursos necesarios para atender las solicitudes de transportes, así como el pago de parqueos de la mensajería institucional.
La Auditoría Interna para lograr una información con evidencia y más detallada en la ejecución de las encuestas es necesario hacer los desplazamientos a los lugares donde se realizan las actividades, por lo que es necesario contar con recursos para el transporte requerido.</t>
  </si>
  <si>
    <t>Se requieren recursos para continuar con el contrato de mantenimiento preventivo y correctivo de las cámaras de seguridad.</t>
  </si>
  <si>
    <t xml:space="preserve">Mantenimiento, soporte, actualizaciones y migraciones de versiones de Argos Sistema Integrado de Auditoría y sitio web institucional. </t>
  </si>
  <si>
    <t xml:space="preserve">Pago de los derechos de circulación de vehículos (Marchamo) de los vehículos institucionales, infracciones de tránsito y compra de timbres fiscales. </t>
  </si>
  <si>
    <t>Recursos necesarios para la compra de equipo de seguridad  para funcionarios técnicos.</t>
  </si>
  <si>
    <t>Para la adquisición de computadoras según el plan de sustitución.</t>
  </si>
  <si>
    <t>La Ley 9694 establece en su artículo 53, la autorización (dada la naturaleza de la institución) de crear un fondo con los recursos que se reciben, que funcione de reserva destinada exclusivamente al financiamiento costos de los censos nacionales, de otras operaciones estadísticas con una periodicidad superior a los dos años y de la revisión y actualización de las metodologías utilizadas en la producción de las estadísticas oficiales.
Dada la periodicidad e inversión que requieren las diversas operaciones estadísticas, el Instituto ha desarrollado una planificación con enfoque plurianual, de acuerdo con sus competencias y finalidades, donde se proyecta el costo requerido para el desarrollo de las diversas operaciones y las previsiones presupuestarias que se requieren para cada año durante un periodo de 10 años. 
Por antes expuesto se incluye la siguiente meta en el POI "Reservado el 100% de los recursos destinados a la ejecución de proyectos estadísticos conforme al Plan Plurianual de Producción Estadística, a diciembre 2025."</t>
  </si>
  <si>
    <t xml:space="preserve">Gestión del proyecto de tecnología: ¢ 54 000 000 se requiere una persona con amplia experiencia y conocimiento en gestión de proyectos de TI, que oriente al equipo de trabajo, que planifique y distribuya las actividades y tareas de forma eficiente y con calidad para cumplir con los plazos establecidos. Actualmente la UTSI no cuenta con personal que cumpla ese perfil con la experiencia necesaria para un proyecto masivo como el Cenagro y no puede ser asumido por la coordinación de la unidad debido a la saturación de tareas. Por tanto, se considera necesario realizar una contratación externa
</t>
  </si>
  <si>
    <t>Evaluación de calidad y pruebas (QA): un aspecto fundamental para el éxito de cualquier desarrollo informático es el aseguramiento de la calidad, por medio de pruebas, “testing” , evaluaciones, revisiones, entre otros. Por tanto, durante todo el proyecto se requiere contratar personal especializado que se dedique exclusivamente a la evaluación de todos los sistemas que se estarán desarrollando. Actualmente el INEC no dispone de un proceso formalizado de gestión de la calidad, así mismo la UTSI no cuenta con personal especializado en esa temática y por tanto se considera necesario contratar el servicio de forma externa.</t>
  </si>
  <si>
    <t xml:space="preserve">Cancelación de tiempo extraordinario del personal que labora para el programa y que requiere realizar labores fuera de horario normal. </t>
  </si>
  <si>
    <t>Servicio de vigilancia, monitoreo y respuesta armada las 24 horas, se estima de acuerdo a la base real del primer semestre y a la proyección del segundo semestre del 2024 más un incremento del índice de precios del semestre por concepto de reajuste de precios. 
Servicio de limpieza de oficinas y áreas comunes de acuerdo a la base real del primer semestre y a la proyección del segundo semestre del 2024 más un incremento proyectado del índice de precios del semestre por concepto de reajuste de precios.</t>
  </si>
  <si>
    <t>Salario base del personal por servicios especiales  para cumplir con las actividades de Proyectos Especiales, según las Directrices técnicas y metodológicas para la formulación del Presupuesto 2025, Decretos y directriz Presidencial emitidas para este fin.</t>
  </si>
  <si>
    <t>Los recursos necesarios para continuar con la contratación del diseño, conformación, desarrollo e implementación de un Geo portal Estadístico para el INEC, así como el diseño, desarrollo e implementación de los módulos del Sistema Administrador de Encuestas.
Monto requerido para el pago del Servicio de Acceso en Línea a Imágenes de Satélite de Alta Resolución MAXAR DigitalGlobe SecureWatchStandard para Costa Rica,  el cual necesario para mantener actualizado geoespacialmente el Marco Geoestadístico Nacional, mediante la detección de cambios en los elementos geográficos requeridos, con la escala y temporalidad establecida por la metodología de la Unidad de Cart+C59:C61ografía del INEC. 
Recursos que permitan iniciar con el análisis e implementación de las principales recomendaciones, en miras de la planificación del próximo censo nacional de población y vivienda para la ronda 2030.</t>
  </si>
  <si>
    <t>Se requieren recursos para la cancelación de los rubros de alimentación (desayuno, almuerzo y cena) y hospedaje para el trabajo de campo en el levantamiento de la información de los diferentes proyectos de este programa.</t>
  </si>
  <si>
    <t>Recursos necesarios para el mantenimiento del plotter asignado a la Unidad de Cartografía, el cual es importante para atender cualquier eventualidad donde se necesiten mapas impresos.</t>
  </si>
  <si>
    <t>Pago de los derechos de circulación de vehículos (Marchamo) de los vehículos institucionales.</t>
  </si>
  <si>
    <t>Compra del combustible necesario para la verificación cartográfica de campo por parte de las agencias censales para el Censo Nacional Agropecuario y actualización de geodatos en campo de UPM y distritos de la encuesta.</t>
  </si>
  <si>
    <t>Para la compra de repuestos y accesorios varios para los vehículos institucionales como inversores para carga de equipos móviles, llantas y neumáticos, así otros repuestos y accesorios como baterías, faroles direccionales, fajas de motor, además de repuestos para los aires acondicionados en caso de que se requieran en alguna reparación.</t>
  </si>
  <si>
    <t>Útiles y materiales de oficina requeridos para las labores de los diferentes proyectos estadísticos y labor ordinaria de este programa.</t>
  </si>
  <si>
    <t>Transferencia para realizar la Encuesta de confianza de la OCDE.</t>
  </si>
  <si>
    <t>Comprende el pago de otros incentivos como carrera profesional, de los profesionales de diferentes especialidades según corresponda. Asimismo, pago de incentivos que se reconocen a los profesionales.</t>
  </si>
  <si>
    <t>Suscripción anual digital a periódicos de circulación nacional. Es indispensable tener con una alta oportunidad el acceso a las noticias de relevancia nacional e internacional, que pueden tener impacto en el quehacer institucional, tanto para dar seguimiento a las publicaciones de los resultados, su uso e interpretación de los medios de comunicación, como por otros públicos institucionales.</t>
  </si>
  <si>
    <t>Recursos requeridos para servicios integrales de agencia de comunicación, debido a que estos servicios complementan o cubren especialidades de la comunicación que no se tienen en la institución o que se encuentran limitadas y, que es necesario consolidar con el fin de progresar en la difusión de las estadísticas oficiales y Elaboración de recursos didácticos que facilitan la autogestión de información estadística en el sitio web y de las acciones formativas implementadas.
Además del control y monitoreo de redes sociales, noticias y todas las actividades comunicacionales atinentes al INEC expuestas públicamente y contratación servicio consultoría para el "Desarrollo de programa formativo  especializado en los nuevos enfoques de servicio al cliente".</t>
  </si>
  <si>
    <t>Parte de los recursos necesarios para la adquisición de materiales de oficina y cómputo, tales como engrapadoras, bolígrafos y otros artículos de respaldo magnético, lápices, borradores, clips, perforadoras, cintas adhesivas, reglas, láminas transparentes, entre otros.</t>
  </si>
  <si>
    <t xml:space="preserve"> 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N.º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N.º C-465-2020 de 25 de noviembre de 2020
Recursos para ser modificados en cumplimiento de la regla fiscal, como parte de  limite de crecimiento del gasto corriente en el proceso de ejecución, y así cubrir algunas necesidades propias del programa </t>
  </si>
  <si>
    <t>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N.º 9906</t>
  </si>
  <si>
    <t xml:space="preserve">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N.º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N.º C-465-2020 de 25 de noviembre de 2020
Recursos para ser modificados en cumplimiento de la regla fiscal, como parte de  limite de crecimiento del gasto corriente en el proceso de ejecución y así cubrir algunas necesidades propias del programa </t>
  </si>
  <si>
    <t>Se contempla el alquiler de vehículos requeridos para el operativo de campo de las encuestas, según la estimación realizada por el Proceso de Transportes, de acuerdo a la revisión de necesidades y planificación de vehículos. (Enaho, Enameh, geodatos en campo de UPM).</t>
  </si>
  <si>
    <t>Comprende el pago de otros incentivos como carrera profesional, de los profesionales de diferentes especialidades según corresponda. Asimismo, pago de incentivos que se reconocen a los profesionales y técnicos en Ciencias Médicas.</t>
  </si>
  <si>
    <t>Comprende el pago del internet, servicio de telefonía, redes de información y otros a nivel nacional e internacional según consumo estimado espacio asignado. Esta estimación se realiza con base en el promedio real de enero a junio y un promedio proyectado de junio 2024.</t>
  </si>
  <si>
    <t>Para el empaste de los libros de actas del Comité de TI y Consejo Directivo, así como la impresión de  afiches para comunicación interna.</t>
  </si>
  <si>
    <t>Comprende el pago de servicio de telefonía, redes de información y otros a nivel nacional e internacional según consumo estimado espacio asignado. Esta estimación se realiza con base en el promedio real de enero a junio y un promedio proyectado de junio 2024.</t>
  </si>
  <si>
    <t>TOTAL PRESUPUESTO ORDINARIO 2025</t>
  </si>
  <si>
    <t xml:space="preserve">Para financiar actividades de capacitación del año 2025, según programación elaborada por la Unidad de Recursos Humanos. </t>
  </si>
  <si>
    <t>Recursos para efectuar celebraciones y cualquier otra atención que se brinde a funcionarios o personas ajenas a la entidad, tales como recepciones oficiales, conmemoraciones, agasajos, exposiciones, entre otros</t>
  </si>
  <si>
    <t>Actividades autorizadas por Gerencia, atención de personas ajenas a la institución.</t>
  </si>
  <si>
    <t>Pago de Cuotas a Organismos Internacionales, según corresponde al Instituto establecido en la Ley 3418 artículo 1° proyectado en base a los gastos administrativos del año 2024 según lo establece el artículo 2° de la mencionada ley.</t>
  </si>
  <si>
    <t xml:space="preserve">Seguro de Riesgos del Trabajo que debe cubrir la Institución a los funcionarios por todo el año. La póliza de Riesgos del Trabajo se estima en base al 0,69% del total remuneraciones formulada para el año 2025. </t>
  </si>
  <si>
    <t>Gastos correspondientes a las actividades de capacitación del personal de trabajo de campo de los diferentes proyectos estadísticos, dado que es indispensable capacitarlos en conceptos técnicos, los cuales son fundamentales para sus labores en campo.</t>
  </si>
  <si>
    <t>Transferencia al Ministerio de Hacienda, para Estudio Económico de Empresas según convenio entre el BCCR-MH e INEC.  Según oficio DGI-GIE-0002-2024.</t>
  </si>
  <si>
    <t>Servicio de vigilancia, monitoreo y respuesta armada las 24 horas, se estima de acuerdo a la base real del primer semestre y a la proyección del segundo semestre del 2024.
Servicio de limpieza de oficinas y áreas comunes de acuerdo a la base real del primer semestre y a la proyección del segundo semestre del 2024.
Distribuidos de la siguiente Forma:
Seguridad: ¢ 2 032 000 / Limpieza ¢ 1 688 000</t>
  </si>
  <si>
    <t>Tiquetes aéreos para participar en reuniones de las Naciones Unidas, Comisión de Estadística de OCDE y la CEA.
Asistencia a eventos internacionales para formación en diversos temas, algunos asumidos por participar en grupos de trabajo de la OCDE y otros de interes institucional por su temática.</t>
  </si>
  <si>
    <t xml:space="preserve">Aporte patronal que se debe cancelar al I.M.A.S, según la Ley N°4760, artículo 3°.
</t>
  </si>
  <si>
    <t>(Nuevo Ingreso) Este monto comtempla dos contrataciones de consultorías, la primera es contratación de servicios de consultoría en temas de riesgos, gobierno corporativo y control interno, por un monto de ¢ 10, 000, 000.00 + ¢ 10 mill agregados</t>
  </si>
  <si>
    <t xml:space="preserve">Aporte patronal que se debe cancelar al I.N.A., según la Ley N°6868, artículo 15.
</t>
  </si>
  <si>
    <t xml:space="preserve">Comprende el pago de servicio de telefonía, fax, redes de información y otros a nivel nacional e internacional según consumo estimado espacio asignado. Esta estimación se realiza con base en el promedio real de enero a junio y un promedio proyectado de junio 2024.
</t>
  </si>
  <si>
    <t xml:space="preserve">Aporte patronal que se debe cancelar al Banco Popular, según la Ley N°4351, artículo 5°.
</t>
  </si>
  <si>
    <t xml:space="preserve">Contribución Patronal al Seguro de Pensiones  de la Caja Costarricense de Seguro Social, según lo establecido en la Ley de Protección al Trabajador Ley N°7983.
</t>
  </si>
  <si>
    <t>CUOTA DE ORGANISMOS INTERNACIONALES, TRANSFERIR AL  MINISTERIO DE HACIENDA PARA EL ESTUDIO ECONOMICO según oficio DGI-GIE-0002-2024</t>
  </si>
  <si>
    <t xml:space="preserve">(Nuevo Ingreso) Consultoría de productividad. </t>
  </si>
  <si>
    <t>(Nuevo Ingreso) La segunda contratación de servicios de consultoría en gestión de proyectos por un monto de ¢ 15,500,000.00. Para ambas consultorías se presenta el oficio de visto bueno del Despacho Gerencial así como la oferta económica de las empresas que cotizaron. + ¢ 15,5 millones agregados.</t>
  </si>
  <si>
    <t>(Respaldos Secundarios) La cantidad de 30 millones debido a la gran cantidad de información que gestiona el INEC donde se recopila información de diferente índole, entre las que destacan económica, social y comercial de la población costarricense a través de las diferentes encuestas y de las cuales se realizan estudios estadísticos que proporcionan insumos sumamente valiososo para la toma de decisiones referentes al estado costarricenses estableciendo responsabilidades y obligaciones al INEC 
¢10.8 millones para la implementación de la infraestructura de servidores del INEC en la nube para el SIEH, el desarrollo del SIEH requiere definir una infraestructura que pueda crecer y no tener una dependencia tecnológica que pueda afectar su funcionamiento, disponibilidad y portabilidad en el tiempo. 
¢12,7 SIMEL (Sistema de Indicadores de mercado Laboral) busca poner a disposición de personas y entidades usuarias información oportuna en el mercado laboral costarricense</t>
  </si>
  <si>
    <t xml:space="preserve">Se formula presupuesto para la reparación de linea blanca , que por el uso habitual de los electrodomésticos que se deterioran 
</t>
  </si>
  <si>
    <t>Se formula presupuesto para el mantenimiento de diversos activos:
Repuesto para aires acondicionados :¢ 700 000, Monto anual 
Repuesto para cámaras de seguridad: ¢ 500 000, Según contrato vigente 
Repuesto para rótulos luminosos : ¢ 750 000,00
Para la compra de llantas 801 475 para diferentes vehículos del INEC, 188 400 la compra de baterías y 1  000 000 para otros respuestos y accesorios para vehículos.</t>
  </si>
  <si>
    <t xml:space="preserve">Se formula presupuesto para la compra de diversas baterias para los control remoto de los aires acondicionados, pesa para los residuos , aerosoles para el baño </t>
  </si>
  <si>
    <t>Se formula presupuesto para la compra de diversos suministros , entre ellos:
Contrato según demanda del servicio de confeccion de uniformes
Contrato según demanda del servicio de confección de banderas 
Se requiere para la compra de 15 mangas para los choferes del Proceso y personal técnico y uniforme de personal técnico por un monto de 26 880
Se requiere de  300 000 para la adquisición de uniforme de personal tecnico del proceso
Se requiere para la compra de lonas los vehículos institucionales y proteger los equipos y equipaje que trasladan 2 500 000</t>
  </si>
  <si>
    <t>Se formula presupuesto para la compra de insumos de aseo e higiene 
Se requiere para la limpieza y mantenimiento de los vehículos (40g galones de abrillantador/150 ceras/75 Shampoo/400 paños de microfibra</t>
  </si>
  <si>
    <t>(a) Viáticos parciales o totales (según corresponda) requeridos durante el operativo de campo de la encuesta.  Incluye también el pago de los viáticos requeridos para la selección de personal en zona y/o la supervisión general del proyecto. En total se estiman viáticos para 33 grupos de trabajo durante cinco semanas. + ¢ 16 559 000 agregados</t>
  </si>
  <si>
    <t>RT ¢ 2 561 000 Seguro de Riesgos del Trabajo que debe cubrir la Institución a los funcionarios por todo el año. La póliza de Riesgos del Trabajo se estima en base al 0,69% del total remuneraciones formulada para el año 2025.</t>
  </si>
  <si>
    <t>Contempla cualquier tipo de sustancia o producto natural, sintético o semisintético y toda mezcla de esas sustancias o productos que se utilicen en personas, para el diagnóstico, prevención, curación y modificación de cualquier función fisiológica.  _x000D_
Incluye los preparados farmacéuticos para uso médico, preparados genéricos y de marcas registradas como ampollas, cápsulas, tabletas, grageas, jarabes, ungüentos, preparados para la higiene bucal y dental, así como productos botánicos pulverizados, molidos o preparados de otra forma, entre otros._x000D_
Para el personal de recolección de datos que desarrolla sus funciones en campo, visitando las unidades de estudio asignadas al Área de Estadísticas Continuas; ENA, IPC, ENADEL.</t>
  </si>
  <si>
    <t>SP323 ENIGH / ENFIHO</t>
  </si>
  <si>
    <t>Gastos correspondientes a las actividades de capacitación del personal nuevo que se encargará de la recolección de la información en campo, en las cuales se abarcarán conceptos tématicos, organizativos y administrativos que son indispensables para el adecuado desempeño de sus funciones. En total se estima una capacitación de dos semanas, en la cual en la primera se llevara a cabo de forma virtual y en la segunda se realizará de forma presencial y se debe incluir alimentación y hospedaje para 190 personas. (¢54 000 000)._x000D_
Asimismo, se contempla el alquiler de aulas o salas de capacitación por dos semanas para las 100 personas que se encargaran de la actualización de geodatos en campo de UPM y distritos de la encuesta (¢3 600 000).</t>
  </si>
  <si>
    <t xml:space="preserve">Se requiere para la sustituir las cámaras de seguridad que por el uso habitual y estar expuestos a factores externos estén descompuestas, compra de teléfonos móviles para Cartografía y lector biométrico para huellas dactilares. </t>
  </si>
  <si>
    <t>Se requieren recursos para la adquisición de dispositivos móviles, los cuales serán utilizados para la recolección de la información en campo durante encuesta CENAGRO.</t>
  </si>
  <si>
    <t xml:space="preserve">Para la adquisición de equipo de computo requerido para el personal nuevo que se encargara del diseño y de la recolección de la información en campo durante encuesta SIEH, ENADEL, </t>
  </si>
  <si>
    <t>Asesoría al Equipo Gestor de TI (2025):
Con la intención de generar mayor valor a los procesos institucionales y gestionar la estrategia para el desarrollo e implementación de los procesos transversales del marco de gobierno y gestión de tecnología de información, se creó el Equipo Gestor de TI. El mismo, debe proponer una metodología institucional para la implementación de los procesos transversales priorizados de manera integral en temas relacionados con continuidad del negocio, arquitectura empresarial, seguridad de la información y ciberseguridad, entre otros. Por tanto, se ve la necesidad de recibir una asesoría en base a los temas mencionados anteriormente, la cual conlleve al cumplimiento de los objetivos estratégicos del INEC.</t>
  </si>
  <si>
    <t xml:space="preserve">Diferencias salariales que se reconocen a los funcionarios en forma adicional a su salario habitual, que se derivan del reconocimiento por asumir de forma temporal los deberes y responsabilidades de un cargo de nivel superior por ausencia de su titular. </t>
  </si>
  <si>
    <t xml:space="preserve">Salario base del personal por cargos fijos para cumplir con las actividades permanentes del Instituto, según las Directrices técnicas y metodológica+C13:C22s para la formulación del Presupuesto 2025. </t>
  </si>
  <si>
    <t>Contribución Patronal al Seguro de Pensiones de la Caja Costarricense de Seguro Social, según lo establecido en la Ley de Protección al Trabajador Ley N°7983.</t>
  </si>
  <si>
    <t>Compra de nuevas firmas digitales y renovaciones de firmas digitales para el personal del INEC.
Alquiler del Data Center del ICE para capacitación virtual interno y externo, servidor del sitio WEB en servidores nacionales, además del para escaneo de documentos en la herramienta ePower.</t>
  </si>
  <si>
    <t xml:space="preserve">La Auditoría requiere apoyo para la fiscalización de las áreas sustantivas, además de la atención de estudios considerados de carácter especial que por el nivel de riesgo y agilidad se requieran utilizando bajo la modalidad de contratación de auditoría externa, por aspectos técnicos es necesario que sean tratados por personal calificado.
Contratación de Auditoria  de los Estados Financieros  y Liquidación Presupuestaria del año 2024, acompañamiento en la mejora continua de los procesos de la Unidad de Finanzas en la implementación NICSP, contratación por demanda sobre consultas  al especialistas en temas presupuestarios y recursos para el servicio de acompañamiento de un director de proyectos para la implementación del sistema de planillas. </t>
  </si>
  <si>
    <t>Para aplicación de pruebas de reclutamiento y selección de personal, asimismo, para el pago de RTV solicitado por Transportes y rotulación de vehículos institucionales. 
Continuidad del servicio del actuario en la actualización de vacaciones.
Consultoría para un estudio del clima organizacional de los diferente proyectos y unidades del instituto. 
Asesoría Marco de gestión TI  y continuidad de la asesoría para el proceso de desarrollo de sistemas y diagnóstico de la ciberseguridad del INEC, consultorías de productividad y riesgos, gobierno corporativo y control interno.</t>
  </si>
  <si>
    <t xml:space="preserve">
Recursos para cubrir el transporte aéreo para representante del despacho gerencial en reuniones de las Naciones Unidas, Comisión de Estadística de OCDE y la CEA.
Asistencia a eventos internacionales para formación en diversos temas, algunos asumidos por participar en grupos de trabajo de la OCDE y otros de interés institucional por su temática. 
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transporte o pasantía.</t>
  </si>
  <si>
    <t>Seguro de Riesgos del Trabajo que debe cubrir la Institución a los funcionarios por todo el año de este Programa, así como el pago de seguro obligatorio de vehículos, seguro de equipo electrónico y seguros de viaje en atención a los funcionarios que representan a la Institución en el exterior. La póliza de Riesgos del Trabajo se estima en base al 0,69% del total de la planilla proyectada. 
Asimismo se estima el seguro de vehículos con las coberturas A,C,D,F,H para los vehículos institucionales , seguro de viajero al exterior y póliza de responsabilidad civil.</t>
  </si>
  <si>
    <t>Se requiere presupuesto para continuar con el contrato de mantenimiento preventivo y correctivo de los aires acondicionados, como para el reloj de la institución. 
Adicionalmente, se requiere reparar mobiliario que por el constante uso causa deterioro y Mantenimiento preventivo de la estantería móvil del Depósito de Archivo Central y del Archivo de Gestión de Recursos Humanos</t>
  </si>
  <si>
    <t>Compra de combustible para para los vehículos institucionales que utiliza este programa, como dotar de combustible para la planta eléctrica que abastece de electricidad al edificio cuando no existe fluido eléctrico</t>
  </si>
  <si>
    <t>Contempla la compra de cartuchos para las impresoras de los diferentes subprocesos del Programa.</t>
  </si>
  <si>
    <t xml:space="preserve">Recursos para compra de materiales para la sustitución del sistema biométrico del comedor. </t>
  </si>
  <si>
    <t>Se contempla la compra repuestos para vehículos, así como repuestos que se requieren para el buen funcionamiento de los equipos institucionales (aire acondicionado, cámaras de seguridad y rótulos luminosos)</t>
  </si>
  <si>
    <t>Se requiere para la compra de distintos productos de limpieza, y cumplir con el contrato por demanda con cuantía estimada.</t>
  </si>
  <si>
    <t>Recursos para el reconocimiento del personal por años laborados y para los pensionados.</t>
  </si>
  <si>
    <t>Para la adquisiciones y actualización de varias licencias que requiere la institución para la realización de sus labores, y la actualización de la versión y mejoras del sistema integrado de administración financiera.</t>
  </si>
  <si>
    <t>Respaldos secundarios de las bases de datos de operaciones estadísticas y administración en servidores virtuales (nube) fuera de Costa Rica, para seguridad de la información del INEC.</t>
  </si>
  <si>
    <t>Se requiere recursos para dar continuidad a la contratación del servicio de traducción de una serie de documentos relacionados con las diferentes operaciones estadísticas del INEC. 
Servicio de revisión de una serie de documentos metodológicos, legales, publicaciones, entre otros; por parte de un experto en Filología
Asesoría para el diseño de una estrategia de  capacitación y el diseño de capacitación  de normativa estadística dirigidos al personal enlace de las entidades SEN.</t>
  </si>
  <si>
    <t>Pasantía a Colombia o Chile, para una persona del área con el propósito de conocer respecto a las experiencia estadística, para el fortalecimiento del SEN.</t>
  </si>
  <si>
    <t>Recursos para la compra de cámara mirrorless para grabación digital de videos que incluya lente intercambiable de cuadro completo (full frame) y tarjeta de memoria SDXC y TELEPROMTER que ofrecerá a los voceros INEC mayor facilidad durante las grabaciones de videos.</t>
  </si>
  <si>
    <t>Aporte patronal al Fondo de Desarrollo Social y Asignaciones Familiares, según la Ley N°5662, artículo 15.</t>
  </si>
  <si>
    <t>Comprende el pago de servicio de telefonía, redes de información y otros a nivel nacional e internacional según consumo estimado espacio asignado. Esta estimación se realiza con base en el promedio real de enero a junio y un promedio proyectado de junio 2024 y servicio de enlace de datos empresarial RACSA entre el INEC y TSE INTERINSTITUCIONAL
Así como recursos para la compra de tarjetas telefónicas y planes postpago para el operativo de campo, las mismas se utilizan para el rescate de entrevistas pendientes y los planes de datos requeridos para la transferencia de los datos en campo de los diferentes proyectos estadísticos.</t>
  </si>
  <si>
    <t>Recursos para el servicio de fotocopiado e impresión litográfica de manuales, hojas de control, cuestionarios, entre otros documentos requeridos para la realización del operativo de campo y capacitaciones del personal.</t>
  </si>
  <si>
    <t>Se requiere para el pago de grúas para remolcar vehículos que estén realizando trabajo de campo y sufran alguna falla mecánica, o quede varado en terrenos difíciles de transitar.  Recursos para eventuales pagos de bote, ferry, panga, canoa, lancha y similares, debido a las particularidades de la operación estadística.</t>
  </si>
  <si>
    <t>Gestión del proyecto de tecnología, se requiere una persona con amplia experiencia y conocimiento en gestión de proyectos de TI, que oriente al equipo de trabajo, que planifique y distribuya las actividades y tareas de forma eficiente y con calidad para cumplir con los plazos establecidos para CENAGRO y la contratación de personal especializado que se dedique exclusivamente a la evaluación de todos los sistemas que se estarán desarrollando (Evaluación de calidad y pruebas (QA).</t>
  </si>
  <si>
    <t>Servicio de vigilancia, monitoreo y respuesta armada las 24 horas, se estima de acuerdo a la base real del primer semestre y a la proyección del segundo semestre del 2024 más un incremento del índice de precios del semestre por concepto de reajuste de precios. 
Servicio de limpieza de oficinas y áreas comunes de acuerdo a la base real del primer semestre y a la proyección del segundo semestre del 2024 más un incremento proyectado del índice de precios del semestre por concepto de reajuste de precios.
Adicional, recursos para el lavado de chalecos requeridos para el operativo de campo, así como el lavado de ropa del personal que debe permanecer de gira en campo por más de 7 días consecutivos.</t>
  </si>
  <si>
    <t>Se considera el pago de peajes y pasajes necesarios durante el operativo de campo de los diferentes Proyectos de este programa.</t>
  </si>
  <si>
    <t>Se estima el costo del transporte requerido para llevar a cabo una pasantía en Chile durante 5 días para 1 persona, con el objetivo de conocer sobre la medición de pobreza, lo cual permitirá que se lleve a cabo tareas de investigación e implementación de metodologías.
Compra de boleto aéreo a Francia para asistir a la reunión bienal sobre Paridades de poder adquisitivo (PPA) organizada por la OCDE y Eurostat, en la que se revisan los datos de las encuestas. 
Pasantía a Paraguay con el objetivo de conocer la experiencia del Censo Agropecuario Nacional 2022, del Instituto Nacional de Estadística de Paraguay. Esto con el fin de analizar la experiencia y las recomendaciones que tengan en Cartografía, Diseño, Recolección, seguimiento y procesamiento de la información.
Recursos para un viaje a México  para adecuar diseño de cuestionario de Encuesta Financiera a Hogares a los requerimientos  de OCDE</t>
  </si>
  <si>
    <t>Materiales requeridos para el empaque de materiales y herramientas a utilizar durante las giras del personal de trabajo de campo.</t>
  </si>
  <si>
    <t>Adquisición de materiales y productos eléctricos para los diferentes proyectos, ya que se dañan por el uso constante, así como mouse ergonómico, regletas, ampliación de memorias, cargadores de tablet, teclados entre otros</t>
  </si>
  <si>
    <t>Para la adquisición de varias licencias que requiere el programa para el desarrollo de censo CENAGRO.</t>
  </si>
  <si>
    <t>Corresponde al pago de prestaciones legales de los funcionarios de los diferentes proyectos que se realizan en el INEC, según lo establece la Ley cuando terminan la relación laboral en los proyectos o en el caso que se presentara alguna renuncia o despido con responsabilidad patronal.</t>
  </si>
  <si>
    <t>Recursos para contratar publicidad (pauta pagada) en medios de alcance mundial, como lo son las redes sociales, los buscadores de google, entre otros. Por ello, es menester destinar recursos para gestionar el alcance de públicos de interés, como lo son las personas informantes dispersas en todo el territorio nacional. 
Adicionalmente se le incluye el 10% (¢ 4 000 000) según lo indicado Ley Orgánica del Sistema Nacional de Radio y Televisión Cultural (SINART).              Ley n.° 8346</t>
  </si>
  <si>
    <t>Seguro de Riesgos del Trabajo que debe cubrir la Institución a los funcionarios por todo el año de este Programa, así como el pago de seguro obligatorio de vehículos, seguro de equipo electrónico y seguros de viaje en atención a los  funcionarios que representan a la Institución en el exterior. La póliza de Riesgos del Trabajo se estima en base al 0,69% del total de la planilla real del primer semestre y la proyectada del segundo semestre del año 2024.</t>
  </si>
  <si>
    <t>Seguro de Riesgos del Trabajo que debe cubrir la Institución a los funcionarios por todo el año de este Programa, así como el pago de seguro obligatorio de vehículos, seguro de equipo electrónico y seguros de viaje en atención a los funcionarios que representan a la Institución en el exterior. La póliza de Riesgos del Trabajo se estima en base al 0,69% del total de la planilla real del primer semestre y la proyectada del segundo semestre del año 2024.
Asimismo se estima el seguro de vehículos con las coberturas A,C,D,F,H para los vehículos institucionales , seguro de viajero al exterior y póliza de responsabilidad civil.</t>
  </si>
  <si>
    <t>Recursos para capacitación con personas usuarias externas y actividades de relacionamiento con el público meta del Ministerio de Educación Pública por medio del plan de relacionamiento con personas usuarias externas, así como actividades de relacionamiento y formación para trabajar la responsabilidad social del componente de educación y cultura estadística del proyecto MIAPU  Proyecto Modelo Integral de Atención a la Persona Usuaria.</t>
  </si>
  <si>
    <t>Recursos que se utilizarán por medio de una contratación por demanda, para la adquisición de diversos tipos de papel para el proceso de producción gráfica, el cual será el insumos para satisfacer los servicios de las diferentes operaciones estadísticas de la institución.</t>
  </si>
  <si>
    <t>Recursos para el pago de cuota por suscripción anual del Instituto en el INTER-AMERICAN STATISTICAL INSTITUTE - IASI</t>
  </si>
  <si>
    <t>Recursos que se utilizarán por medio de una contratación por demanda, para la adquisición de materiales necesarios para el proceso de producción gráfica, el cual será el insumos para satisfacer los servicios de las diferentes operaciones estadísticas de la institución.</t>
  </si>
  <si>
    <t xml:space="preserve">Para la cancelación de un incentivo a estudiantes que realicen práctica estudiantil en la institución y que apoyan en diferentes actividades. </t>
  </si>
  <si>
    <t>Se solicitan cordones para gafete, para que todos los colaboradores de la Unidad puedan portar sus identificaciones de manera que sean visibles, vestimenta apropiada para los funcionarios de archivo que es requerido para la época lluviosa, ya deben trasladarse de un lugar a otro cargando objetos pesados que imposibilita usar otro tipo de herramientas como paraguas y uniformes para el personal de transporte, recepción y misceláneos.</t>
  </si>
  <si>
    <t xml:space="preserve">Recursos necesarios para las giras con relación al proyecto MIAPU Proyecto Modelo Integral de Atención a la Persona Usuaria, específicamente en el Plan de responsabilidad social que contempla visitas a diferentes zonas geográficas en las que se realizarán actividades con este enfoque y para las giras fotográficas en diferentes locaciones tanto urbanas como rurales pero que muestren diversidad de realidades. </t>
  </si>
  <si>
    <r>
      <t xml:space="preserve">Recursos para la adquisición de 16 vehículos tipo 4x4 para personal de las agencias censales de CENAGRO las cuales se encuentran distribuidas en todo el territorio nacional.
Con la adquisición de estos vehículos, el instituto obtendrá un ahorro del ₡ 261,7 millones durante los próximos tres años, ya que no se utilizarán recursos para alquiler de vehículos que rondaría los </t>
    </r>
    <r>
      <rPr>
        <sz val="10"/>
        <rFont val="Calibri"/>
        <family val="2"/>
      </rPr>
      <t>₡</t>
    </r>
    <r>
      <rPr>
        <sz val="10"/>
        <rFont val="Open Sans SemiCondensed"/>
      </rPr>
      <t xml:space="preserve"> 561,7 millones. </t>
    </r>
  </si>
  <si>
    <t xml:space="preserve">Recursos que serán complemento para las actividades día mundial de las estadísticas y adecuarse a las diferentes clases de público que asistirán a la celebración, que no están consideradas en la subpartida de capacitación, como por ejemplo folletos informativos, carpetas para incluir información adicional entre otros. </t>
  </si>
  <si>
    <t>Recursos de la  Auditoría Interna para lograr una información con evidencia y más detallada en la ejecución de las encuestas es necesario hacer los desplazamientos a los lugares donde se realizan, así como recursos para salud ocupacional para las visitas que realizara a los diferentes proyectos en la recolección de datos en el campo.
Además se requieren recursos para operativos de trabajo en campo, para custodias de vehículos o cambios de lugares donde se custodia el vehículo y requiere la re inspección.</t>
  </si>
  <si>
    <t xml:space="preserve">Recursos para cubrir el viáticos al exterior para ara representante del despacho gerencial en reuniones de las Naciones Unidas, Comisión de Estadística de OCDE y la CEA.
Asistencia a eventos internacionales para formación en diversos temas, algunos asumidos por participar en grupos de trabajo de la OCDE y otros de interés institucional por su temática. 
Según las normas para el ejercicio de la auditoría interna emitida por la Contraloría General de República, el personal de este despacho debe estar en un mejoramiento continuo, incluyendo su capacitación, por lo que se podrían presentar capacitaciones en el exterior.
</t>
  </si>
  <si>
    <t xml:space="preserve">Se consideran recursos para un viaje a México  para adecuar diseño de cuestionario de Encuesta Financiera a Hogares a los requerimientos  de OCDE
</t>
  </si>
  <si>
    <t>Indumentaria requerida durante la ejecución de los operativos de campo de las operaciones estadísticas, con el fin de resguardar al personal ante las inclemencias climáticas, así como para que este identificado a la hora de visitar las viviendas y pueda generar mayor credibilidad.</t>
  </si>
  <si>
    <t>Etiquetas de columna</t>
  </si>
  <si>
    <t>(en blanco)</t>
  </si>
  <si>
    <t>Total general</t>
  </si>
  <si>
    <t>Etiquetas de fila</t>
  </si>
  <si>
    <t>Suma de PO_2025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</si>
</sst>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 #,##0.00_-;_-* &quot;-&quot;??_-;_-@_-"/>
    <numFmt numFmtId="164" formatCode="_(* #,##0.00_);_(* \(#,##0.00\);_(* &quot;-&quot;??_);_(@_)"/>
    <numFmt numFmtId="165" formatCode="_([$€]* #,##0.00_);_([$€]* \(#,##0.00\);_([$€]* &quot;-&quot;??_);_(@_)"/>
    <numFmt numFmtId="166" formatCode="0.0%"/>
    <numFmt numFmtId="167" formatCode="#,##0.0"/>
    <numFmt numFmtId="168" formatCode="_(* #,##0_);_(* \(#,##0\);_(* &quot;-&quot;??_);_(@_)"/>
    <numFmt numFmtId="169" formatCode="###,###,###,##0.00"/>
    <numFmt numFmtId="170" formatCode="#,##0.00_ ;\-#,##0.00\ "/>
    <numFmt numFmtId="171" formatCode="0.0"/>
    <numFmt numFmtId="172" formatCode="_(* #,##0.0_);_(* \(#,##0.0\);_(* &quot;-&quot;??_);_(@_)"/>
  </numFmts>
  <fonts count="49">
    <font>
      <sz val="10"/>
      <name val="Arial"/>
    </font>
    <font>
      <sz val="10"/>
      <name val="Arial"/>
      <family val="2"/>
    </font>
    <font>
      <sz val="8"/>
      <name val="Arial"/>
      <family val="2"/>
    </font>
    <font>
      <sz val="10"/>
      <name val="Tahoma"/>
      <family val="2"/>
    </font>
    <font>
      <sz val="10"/>
      <name val="Arial"/>
      <family val="2"/>
    </font>
    <font>
      <sz val="10"/>
      <name val="Tahoma"/>
      <family val="2"/>
    </font>
    <font>
      <b/>
      <sz val="11"/>
      <color indexed="64"/>
      <name val="Tw Cen MT"/>
      <family val="2"/>
    </font>
    <font>
      <sz val="10"/>
      <name val="Open Sans SemiCondensed"/>
    </font>
    <font>
      <b/>
      <sz val="10"/>
      <name val="Open Sans SemiCondensed"/>
    </font>
    <font>
      <b/>
      <sz val="11"/>
      <name val="Open Sans SemiCondensed"/>
    </font>
    <font>
      <sz val="11"/>
      <name val="Open Sans SemiCondensed"/>
    </font>
    <font>
      <b/>
      <sz val="8"/>
      <name val="Open Sans SemiCondensed"/>
    </font>
    <font>
      <b/>
      <i/>
      <sz val="10"/>
      <name val="Open Sans SemiCondensed"/>
    </font>
    <font>
      <i/>
      <sz val="10"/>
      <name val="Open Sans SemiCondensed"/>
    </font>
    <font>
      <sz val="8"/>
      <name val="Open Sans SemiCondensed"/>
    </font>
    <font>
      <sz val="9"/>
      <name val="Open Sans SemiCondensed"/>
    </font>
    <font>
      <b/>
      <sz val="9"/>
      <name val="Open Sans SemiCondensed"/>
    </font>
    <font>
      <sz val="10"/>
      <color indexed="9"/>
      <name val="Open Sans SemiCondensed"/>
    </font>
    <font>
      <sz val="10"/>
      <color indexed="8"/>
      <name val="Open Sans SemiCondensed"/>
    </font>
    <font>
      <b/>
      <sz val="14"/>
      <name val="Open Sans SemiCondensed"/>
    </font>
    <font>
      <b/>
      <sz val="12"/>
      <name val="Open Sans SemiCondensed"/>
    </font>
    <font>
      <sz val="12"/>
      <name val="Open Sans SemiCondensed"/>
    </font>
    <font>
      <b/>
      <i/>
      <sz val="11"/>
      <name val="Open Sans SemiCondensed"/>
    </font>
    <font>
      <b/>
      <sz val="10"/>
      <color indexed="14"/>
      <name val="Open Sans SemiCondensed"/>
    </font>
    <font>
      <b/>
      <sz val="10"/>
      <color indexed="18"/>
      <name val="Open Sans SemiCondensed"/>
    </font>
    <font>
      <b/>
      <sz val="10"/>
      <color indexed="12"/>
      <name val="Open Sans SemiCondensed"/>
    </font>
    <font>
      <sz val="8"/>
      <color indexed="8"/>
      <name val="Open Sans SemiCondensed"/>
    </font>
    <font>
      <b/>
      <sz val="10"/>
      <color indexed="64"/>
      <name val="Open Sans SemiCondensed"/>
    </font>
    <font>
      <sz val="10"/>
      <color indexed="64"/>
      <name val="Open Sans SemiCondensed"/>
    </font>
    <font>
      <b/>
      <sz val="10"/>
      <color indexed="8"/>
      <name val="Open Sans SemiCondensed"/>
    </font>
    <font>
      <sz val="11"/>
      <color theme="1"/>
      <name val="Arial"/>
      <family val="2"/>
    </font>
    <font>
      <sz val="11"/>
      <color theme="0"/>
      <name val="Open Sans SemiCondensed"/>
    </font>
    <font>
      <b/>
      <sz val="11"/>
      <color theme="0"/>
      <name val="Open Sans SemiCondensed"/>
    </font>
    <font>
      <b/>
      <sz val="10"/>
      <color theme="0"/>
      <name val="Open Sans SemiCondensed"/>
    </font>
    <font>
      <sz val="10"/>
      <color rgb="FF000000"/>
      <name val="Open Sans SemiCondensed"/>
    </font>
    <font>
      <sz val="9"/>
      <color theme="0"/>
      <name val="Open Sans SemiCondensed"/>
    </font>
    <font>
      <b/>
      <sz val="14"/>
      <color theme="0"/>
      <name val="Open Sans SemiCondensed"/>
    </font>
    <font>
      <b/>
      <sz val="12"/>
      <color theme="0"/>
      <name val="Open Sans SemiCondensed"/>
    </font>
    <font>
      <sz val="12"/>
      <color theme="0"/>
      <name val="Open Sans SemiCondensed"/>
    </font>
    <font>
      <sz val="10"/>
      <color theme="0"/>
      <name val="Open Sans SemiCondensed"/>
    </font>
    <font>
      <b/>
      <sz val="10"/>
      <color theme="4" tint="-0.249977111117893"/>
      <name val="Open Sans SemiCondensed"/>
    </font>
    <font>
      <b/>
      <sz val="10"/>
      <color theme="3" tint="-0.249977111117893"/>
      <name val="Open Sans SemiCondensed"/>
    </font>
    <font>
      <sz val="10"/>
      <color theme="1"/>
      <name val="Open Sans SemiCondensed"/>
    </font>
    <font>
      <sz val="8"/>
      <color theme="0"/>
      <name val="Open Sans SemiCondensed"/>
    </font>
    <font>
      <sz val="9"/>
      <color rgb="FFFF0000"/>
      <name val="Open Sans SemiCondensed"/>
    </font>
    <font>
      <sz val="9"/>
      <color rgb="FF00B050"/>
      <name val="Open Sans SemiCondensed"/>
    </font>
    <font>
      <sz val="10"/>
      <color rgb="FFFF0000"/>
      <name val="Open Sans SemiCondensed"/>
    </font>
    <font>
      <sz val="10"/>
      <name val="Calibri"/>
      <family val="2"/>
    </font>
    <font>
      <sz val="9"/>
      <color theme="1"/>
      <name val="Open Sans"/>
    </font>
  </fonts>
  <fills count="32">
    <fill>
      <patternFill patternType="none"/>
    </fill>
    <fill>
      <patternFill patternType="gray125"/>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4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249977111117893"/>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6" tint="-0.49998474074526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theme="9" tint="0.79998168889431442"/>
        <bgColor indexed="64"/>
      </patternFill>
    </fill>
    <fill>
      <patternFill patternType="solid">
        <fgColor rgb="FF002060"/>
        <bgColor indexed="64"/>
      </patternFill>
    </fill>
  </fills>
  <borders count="79">
    <border>
      <left/>
      <right/>
      <top/>
      <bottom/>
      <diagonal/>
    </border>
    <border>
      <left/>
      <right/>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medium">
        <color indexed="64"/>
      </top>
      <bottom style="double">
        <color indexed="64"/>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right/>
      <top style="double">
        <color indexed="64"/>
      </top>
      <bottom style="medium">
        <color indexed="64"/>
      </bottom>
      <diagonal/>
    </border>
    <border>
      <left style="thick">
        <color indexed="64"/>
      </left>
      <right style="thick">
        <color indexed="64"/>
      </right>
      <top style="double">
        <color indexed="64"/>
      </top>
      <bottom style="thick">
        <color indexed="64"/>
      </bottom>
      <diagonal/>
    </border>
    <border>
      <left style="medium">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medium">
        <color indexed="64"/>
      </right>
      <top style="hair">
        <color theme="0" tint="-0.24994659260841701"/>
      </top>
      <bottom style="hair">
        <color theme="0" tint="-0.24994659260841701"/>
      </bottom>
      <diagonal/>
    </border>
  </borders>
  <cellStyleXfs count="12">
    <xf numFmtId="0" fontId="0"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0" fontId="4" fillId="0" borderId="0"/>
    <xf numFmtId="0" fontId="4" fillId="0" borderId="0"/>
    <xf numFmtId="0" fontId="3" fillId="0" borderId="0"/>
    <xf numFmtId="0" fontId="30" fillId="0" borderId="0"/>
    <xf numFmtId="0" fontId="5" fillId="0" borderId="0"/>
    <xf numFmtId="9" fontId="1" fillId="0" borderId="0" applyFont="0" applyFill="0" applyBorder="0" applyAlignment="0" applyProtection="0"/>
  </cellStyleXfs>
  <cellXfs count="1277">
    <xf numFmtId="0" fontId="0" fillId="0" borderId="0" xfId="0"/>
    <xf numFmtId="49" fontId="7" fillId="0" borderId="0" xfId="0" applyNumberFormat="1" applyFont="1"/>
    <xf numFmtId="0" fontId="8" fillId="0" borderId="0" xfId="0" applyFont="1" applyAlignment="1">
      <alignment horizontal="center"/>
    </xf>
    <xf numFmtId="0" fontId="7" fillId="0" borderId="0" xfId="0" applyFont="1"/>
    <xf numFmtId="0" fontId="8" fillId="0" borderId="0" xfId="0" applyFont="1" applyBorder="1" applyAlignment="1">
      <alignment horizontal="center"/>
    </xf>
    <xf numFmtId="168" fontId="9" fillId="0" borderId="0" xfId="4" applyNumberFormat="1" applyFont="1" applyBorder="1" applyAlignment="1">
      <alignment horizontal="center"/>
    </xf>
    <xf numFmtId="0" fontId="10" fillId="0" borderId="0" xfId="0" applyFont="1"/>
    <xf numFmtId="168" fontId="10" fillId="0" borderId="0" xfId="4" applyNumberFormat="1" applyFont="1"/>
    <xf numFmtId="0" fontId="9" fillId="0" borderId="0" xfId="0" applyFont="1"/>
    <xf numFmtId="49" fontId="10" fillId="0" borderId="0" xfId="4" applyNumberFormat="1" applyFont="1" applyAlignment="1">
      <alignment horizontal="right"/>
    </xf>
    <xf numFmtId="168" fontId="10" fillId="0" borderId="0" xfId="4" applyNumberFormat="1" applyFont="1" applyAlignment="1">
      <alignment horizontal="right" vertical="center"/>
    </xf>
    <xf numFmtId="0" fontId="8" fillId="0" borderId="0" xfId="0" applyFont="1" applyBorder="1"/>
    <xf numFmtId="0" fontId="7" fillId="0" borderId="0" xfId="0" applyFont="1" applyBorder="1"/>
    <xf numFmtId="168" fontId="10" fillId="0" borderId="0" xfId="4" applyNumberFormat="1" applyFont="1" applyBorder="1"/>
    <xf numFmtId="0" fontId="7" fillId="0" borderId="1" xfId="0" applyFont="1" applyBorder="1"/>
    <xf numFmtId="168" fontId="10" fillId="0" borderId="1" xfId="4" applyNumberFormat="1" applyFont="1" applyBorder="1"/>
    <xf numFmtId="3" fontId="8" fillId="0" borderId="0" xfId="0" applyNumberFormat="1" applyFont="1" applyBorder="1" applyAlignment="1">
      <alignment horizontal="center"/>
    </xf>
    <xf numFmtId="0" fontId="11" fillId="0" borderId="0" xfId="0" applyFont="1" applyFill="1" applyBorder="1" applyAlignment="1">
      <alignment horizontal="center"/>
    </xf>
    <xf numFmtId="3" fontId="11" fillId="0" borderId="0" xfId="0" applyNumberFormat="1" applyFont="1" applyFill="1" applyBorder="1" applyAlignment="1">
      <alignment horizontal="center"/>
    </xf>
    <xf numFmtId="49" fontId="31" fillId="9" borderId="35" xfId="0" applyNumberFormat="1" applyFont="1" applyFill="1" applyBorder="1"/>
    <xf numFmtId="0" fontId="32" fillId="9" borderId="35" xfId="0" applyFont="1" applyFill="1" applyBorder="1" applyAlignment="1">
      <alignment horizontal="left" vertical="center"/>
    </xf>
    <xf numFmtId="4" fontId="32" fillId="9" borderId="35" xfId="0" applyNumberFormat="1" applyFont="1" applyFill="1" applyBorder="1" applyAlignment="1">
      <alignment horizontal="right" vertical="center"/>
    </xf>
    <xf numFmtId="4" fontId="33" fillId="9" borderId="35" xfId="0" applyNumberFormat="1" applyFont="1" applyFill="1" applyBorder="1" applyAlignment="1">
      <alignment horizontal="right" vertical="center"/>
    </xf>
    <xf numFmtId="3" fontId="7" fillId="0" borderId="0" xfId="0" applyNumberFormat="1" applyFont="1"/>
    <xf numFmtId="4" fontId="7" fillId="0" borderId="0" xfId="0" applyNumberFormat="1" applyFont="1"/>
    <xf numFmtId="4" fontId="11" fillId="0" borderId="0" xfId="0" applyNumberFormat="1" applyFont="1" applyFill="1" applyBorder="1" applyAlignment="1">
      <alignment horizontal="center"/>
    </xf>
    <xf numFmtId="49" fontId="8" fillId="11" borderId="0" xfId="0" applyNumberFormat="1" applyFont="1" applyFill="1"/>
    <xf numFmtId="0" fontId="8" fillId="11" borderId="0" xfId="0" applyFont="1" applyFill="1" applyBorder="1" applyAlignment="1">
      <alignment horizontal="left"/>
    </xf>
    <xf numFmtId="4" fontId="8" fillId="11" borderId="0" xfId="0" applyNumberFormat="1" applyFont="1" applyFill="1" applyBorder="1" applyAlignment="1">
      <alignment horizontal="center"/>
    </xf>
    <xf numFmtId="49" fontId="8" fillId="0" borderId="0" xfId="0" applyNumberFormat="1" applyFont="1"/>
    <xf numFmtId="0" fontId="12" fillId="0" borderId="0" xfId="0" applyFont="1" applyFill="1" applyBorder="1" applyAlignment="1">
      <alignment horizontal="left"/>
    </xf>
    <xf numFmtId="4" fontId="8" fillId="0" borderId="0" xfId="0" applyNumberFormat="1" applyFont="1" applyFill="1" applyBorder="1" applyAlignment="1">
      <alignment horizontal="center"/>
    </xf>
    <xf numFmtId="49" fontId="8" fillId="7" borderId="0" xfId="0" applyNumberFormat="1" applyFont="1" applyFill="1"/>
    <xf numFmtId="0" fontId="8" fillId="7" borderId="0" xfId="0" applyFont="1" applyFill="1" applyBorder="1" applyAlignment="1">
      <alignment horizontal="left"/>
    </xf>
    <xf numFmtId="4" fontId="8" fillId="7" borderId="0" xfId="0" applyNumberFormat="1" applyFont="1" applyFill="1" applyBorder="1" applyAlignment="1">
      <alignment horizontal="center"/>
    </xf>
    <xf numFmtId="4" fontId="8" fillId="7" borderId="0" xfId="0" applyNumberFormat="1" applyFont="1" applyFill="1" applyBorder="1" applyAlignment="1">
      <alignment horizontal="right"/>
    </xf>
    <xf numFmtId="0" fontId="8" fillId="0" borderId="0" xfId="0" applyFont="1" applyFill="1" applyBorder="1" applyAlignment="1">
      <alignment horizontal="left"/>
    </xf>
    <xf numFmtId="4" fontId="8" fillId="0" borderId="0" xfId="0" applyNumberFormat="1" applyFont="1" applyFill="1" applyBorder="1" applyAlignment="1">
      <alignment horizontal="right"/>
    </xf>
    <xf numFmtId="0" fontId="8" fillId="0" borderId="0" xfId="0" applyFont="1" applyFill="1" applyBorder="1"/>
    <xf numFmtId="4" fontId="8" fillId="0" borderId="0" xfId="0" applyNumberFormat="1" applyFont="1" applyFill="1" applyBorder="1"/>
    <xf numFmtId="49" fontId="7" fillId="0" borderId="0" xfId="0" applyNumberFormat="1" applyFont="1" applyAlignment="1">
      <alignment horizontal="left"/>
    </xf>
    <xf numFmtId="0" fontId="13" fillId="0" borderId="0" xfId="0" applyFont="1" applyFill="1" applyBorder="1"/>
    <xf numFmtId="0" fontId="7" fillId="0" borderId="0" xfId="0" applyFont="1" applyFill="1" applyBorder="1"/>
    <xf numFmtId="4" fontId="7" fillId="16" borderId="0" xfId="0" applyNumberFormat="1" applyFont="1" applyFill="1" applyBorder="1" applyAlignment="1">
      <alignment horizontal="right"/>
    </xf>
    <xf numFmtId="4" fontId="7" fillId="0" borderId="0" xfId="0" applyNumberFormat="1" applyFont="1" applyFill="1" applyBorder="1" applyAlignment="1">
      <alignment horizontal="right"/>
    </xf>
    <xf numFmtId="4" fontId="7" fillId="7" borderId="0" xfId="0" applyNumberFormat="1" applyFont="1" applyFill="1" applyBorder="1" applyAlignment="1">
      <alignment horizontal="right"/>
    </xf>
    <xf numFmtId="4" fontId="8" fillId="7" borderId="0" xfId="0" applyNumberFormat="1" applyFont="1" applyFill="1" applyBorder="1"/>
    <xf numFmtId="49" fontId="8" fillId="17" borderId="0" xfId="0" applyNumberFormat="1" applyFont="1" applyFill="1"/>
    <xf numFmtId="0" fontId="8" fillId="17" borderId="0" xfId="0" applyFont="1" applyFill="1" applyBorder="1" applyAlignment="1">
      <alignment horizontal="left"/>
    </xf>
    <xf numFmtId="4" fontId="8" fillId="17" borderId="0" xfId="0" applyNumberFormat="1" applyFont="1" applyFill="1" applyBorder="1" applyAlignment="1">
      <alignment horizontal="right"/>
    </xf>
    <xf numFmtId="4" fontId="7" fillId="17" borderId="0" xfId="0" applyNumberFormat="1" applyFont="1" applyFill="1" applyBorder="1"/>
    <xf numFmtId="49" fontId="8" fillId="0" borderId="0" xfId="0" applyNumberFormat="1" applyFont="1" applyFill="1"/>
    <xf numFmtId="4" fontId="7" fillId="0" borderId="0" xfId="0" applyNumberFormat="1" applyFont="1" applyFill="1" applyBorder="1"/>
    <xf numFmtId="0" fontId="7" fillId="18" borderId="0" xfId="0" applyFont="1" applyFill="1"/>
    <xf numFmtId="4" fontId="7" fillId="7" borderId="0" xfId="0" applyNumberFormat="1" applyFont="1" applyFill="1" applyBorder="1"/>
    <xf numFmtId="49" fontId="14" fillId="0" borderId="0" xfId="0" applyNumberFormat="1" applyFont="1"/>
    <xf numFmtId="0" fontId="14" fillId="0" borderId="0" xfId="0" applyFont="1" applyFill="1" applyBorder="1"/>
    <xf numFmtId="4" fontId="14" fillId="0" borderId="0" xfId="0" applyNumberFormat="1" applyFont="1" applyFill="1" applyBorder="1"/>
    <xf numFmtId="49" fontId="8" fillId="13" borderId="0" xfId="0" applyNumberFormat="1" applyFont="1" applyFill="1"/>
    <xf numFmtId="0" fontId="8" fillId="13" borderId="0" xfId="0" applyFont="1" applyFill="1" applyBorder="1" applyAlignment="1">
      <alignment vertical="center"/>
    </xf>
    <xf numFmtId="4" fontId="8" fillId="13" borderId="0" xfId="0" applyNumberFormat="1" applyFont="1" applyFill="1" applyBorder="1" applyAlignment="1">
      <alignment horizontal="right"/>
    </xf>
    <xf numFmtId="4" fontId="8" fillId="13" borderId="0" xfId="0" applyNumberFormat="1" applyFont="1" applyFill="1" applyBorder="1"/>
    <xf numFmtId="49" fontId="7" fillId="0" borderId="0" xfId="0" applyNumberFormat="1" applyFont="1" applyFill="1"/>
    <xf numFmtId="0" fontId="7" fillId="0" borderId="0" xfId="0" applyFont="1" applyFill="1" applyBorder="1" applyAlignment="1">
      <alignment horizontal="left"/>
    </xf>
    <xf numFmtId="4" fontId="7" fillId="19" borderId="0" xfId="0" applyNumberFormat="1" applyFont="1" applyFill="1" applyBorder="1"/>
    <xf numFmtId="0" fontId="7" fillId="0" borderId="0" xfId="0" applyFont="1" applyFill="1"/>
    <xf numFmtId="3" fontId="7" fillId="0" borderId="0" xfId="0" applyNumberFormat="1" applyFont="1" applyFill="1" applyBorder="1"/>
    <xf numFmtId="3" fontId="7" fillId="19" borderId="0" xfId="0" applyNumberFormat="1" applyFont="1" applyFill="1" applyBorder="1"/>
    <xf numFmtId="3" fontId="7" fillId="14" borderId="0" xfId="0" applyNumberFormat="1" applyFont="1" applyFill="1" applyBorder="1"/>
    <xf numFmtId="49" fontId="7" fillId="0" borderId="1" xfId="0" applyNumberFormat="1" applyFont="1" applyBorder="1"/>
    <xf numFmtId="0" fontId="15" fillId="0" borderId="1" xfId="0" applyFont="1" applyFill="1" applyBorder="1"/>
    <xf numFmtId="4" fontId="15" fillId="0" borderId="1" xfId="0" applyNumberFormat="1" applyFont="1" applyFill="1" applyBorder="1"/>
    <xf numFmtId="4" fontId="34" fillId="0" borderId="0" xfId="0" applyNumberFormat="1" applyFont="1"/>
    <xf numFmtId="167" fontId="7" fillId="0" borderId="0" xfId="0" applyNumberFormat="1" applyFont="1"/>
    <xf numFmtId="0" fontId="15" fillId="0" borderId="0" xfId="0" applyFont="1"/>
    <xf numFmtId="0" fontId="16" fillId="0" borderId="0" xfId="0" applyFont="1" applyAlignment="1">
      <alignment horizontal="center"/>
    </xf>
    <xf numFmtId="3" fontId="15" fillId="0" borderId="0" xfId="0" applyNumberFormat="1" applyFont="1"/>
    <xf numFmtId="0" fontId="33" fillId="9" borderId="36" xfId="0" applyFont="1" applyFill="1" applyBorder="1" applyAlignment="1">
      <alignment horizontal="center" vertical="center"/>
    </xf>
    <xf numFmtId="3" fontId="33" fillId="9" borderId="36" xfId="0" applyNumberFormat="1" applyFont="1" applyFill="1" applyBorder="1" applyAlignment="1">
      <alignment horizontal="center" vertical="center"/>
    </xf>
    <xf numFmtId="0" fontId="7" fillId="0" borderId="4" xfId="0" applyFont="1" applyBorder="1"/>
    <xf numFmtId="3" fontId="7" fillId="0" borderId="0" xfId="0" applyNumberFormat="1" applyFont="1" applyBorder="1"/>
    <xf numFmtId="3" fontId="7" fillId="0" borderId="7" xfId="0" applyNumberFormat="1" applyFont="1" applyBorder="1"/>
    <xf numFmtId="0" fontId="8" fillId="7" borderId="5" xfId="0" applyFont="1" applyFill="1" applyBorder="1" applyAlignment="1">
      <alignment horizontal="left" vertical="center"/>
    </xf>
    <xf numFmtId="166" fontId="8" fillId="7" borderId="16" xfId="0" applyNumberFormat="1" applyFont="1" applyFill="1" applyBorder="1" applyAlignment="1">
      <alignment horizontal="center"/>
    </xf>
    <xf numFmtId="3" fontId="7" fillId="0" borderId="4" xfId="0" applyNumberFormat="1" applyFont="1" applyBorder="1" applyAlignment="1">
      <alignment vertical="center"/>
    </xf>
    <xf numFmtId="3" fontId="7" fillId="0" borderId="0" xfId="0" applyNumberFormat="1" applyFont="1" applyBorder="1" applyAlignment="1">
      <alignment vertical="center"/>
    </xf>
    <xf numFmtId="166" fontId="7" fillId="0" borderId="7" xfId="11" applyNumberFormat="1" applyFont="1" applyBorder="1" applyAlignment="1">
      <alignment horizontal="center" vertical="center"/>
    </xf>
    <xf numFmtId="0" fontId="7" fillId="0" borderId="4" xfId="0" applyFont="1" applyBorder="1" applyAlignment="1">
      <alignment horizontal="justify" vertical="center"/>
    </xf>
    <xf numFmtId="0" fontId="7" fillId="0" borderId="4" xfId="0" applyFont="1" applyFill="1" applyBorder="1"/>
    <xf numFmtId="10" fontId="7" fillId="0" borderId="0" xfId="0" applyNumberFormat="1" applyFont="1"/>
    <xf numFmtId="0" fontId="8" fillId="12" borderId="5" xfId="0" applyFont="1" applyFill="1" applyBorder="1" applyAlignment="1">
      <alignment vertical="center"/>
    </xf>
    <xf numFmtId="166" fontId="8" fillId="12" borderId="16" xfId="0" applyNumberFormat="1" applyFont="1" applyFill="1" applyBorder="1" applyAlignment="1">
      <alignment horizontal="center" vertical="center"/>
    </xf>
    <xf numFmtId="0" fontId="7" fillId="0" borderId="4" xfId="0" applyFont="1" applyBorder="1" applyAlignment="1">
      <alignment vertical="center"/>
    </xf>
    <xf numFmtId="0" fontId="8" fillId="7" borderId="5" xfId="0" applyFont="1" applyFill="1" applyBorder="1" applyAlignment="1">
      <alignment horizontal="left"/>
    </xf>
    <xf numFmtId="166" fontId="8" fillId="7" borderId="16" xfId="0" applyNumberFormat="1" applyFont="1" applyFill="1" applyBorder="1" applyAlignment="1">
      <alignment horizontal="center" vertical="center"/>
    </xf>
    <xf numFmtId="0" fontId="33" fillId="9" borderId="5" xfId="0" applyFont="1" applyFill="1" applyBorder="1" applyAlignment="1">
      <alignment horizontal="center" vertical="center"/>
    </xf>
    <xf numFmtId="166" fontId="33" fillId="9" borderId="16" xfId="0" applyNumberFormat="1" applyFont="1" applyFill="1" applyBorder="1" applyAlignment="1">
      <alignment horizontal="center" vertical="center"/>
    </xf>
    <xf numFmtId="0" fontId="10" fillId="0" borderId="29" xfId="0" applyFont="1" applyBorder="1"/>
    <xf numFmtId="3" fontId="10" fillId="0" borderId="26" xfId="0" applyNumberFormat="1" applyFont="1" applyBorder="1"/>
    <xf numFmtId="3" fontId="10" fillId="0" borderId="30" xfId="0" applyNumberFormat="1" applyFont="1" applyBorder="1"/>
    <xf numFmtId="0" fontId="15" fillId="0" borderId="37" xfId="0" applyFont="1" applyBorder="1"/>
    <xf numFmtId="3" fontId="15" fillId="0" borderId="37" xfId="0" applyNumberFormat="1" applyFont="1" applyBorder="1"/>
    <xf numFmtId="0" fontId="33" fillId="9" borderId="2" xfId="0" applyFont="1" applyFill="1" applyBorder="1" applyAlignment="1">
      <alignment horizontal="center" vertical="center"/>
    </xf>
    <xf numFmtId="3" fontId="33" fillId="9" borderId="27" xfId="0" applyNumberFormat="1" applyFont="1" applyFill="1" applyBorder="1" applyAlignment="1">
      <alignment horizontal="center" vertical="center" wrapText="1"/>
    </xf>
    <xf numFmtId="0" fontId="33" fillId="9" borderId="3" xfId="0" applyFont="1" applyFill="1" applyBorder="1" applyAlignment="1">
      <alignment horizontal="center" vertical="center"/>
    </xf>
    <xf numFmtId="0" fontId="8" fillId="0" borderId="4" xfId="0" applyFont="1" applyBorder="1"/>
    <xf numFmtId="0" fontId="7" fillId="0" borderId="7" xfId="0" applyFont="1" applyBorder="1"/>
    <xf numFmtId="0" fontId="8" fillId="0" borderId="4" xfId="0" applyFont="1" applyFill="1" applyBorder="1" applyAlignment="1">
      <alignment horizontal="left" vertical="center"/>
    </xf>
    <xf numFmtId="3" fontId="8" fillId="0" borderId="0" xfId="0" applyNumberFormat="1" applyFont="1" applyFill="1" applyBorder="1" applyAlignment="1">
      <alignment horizontal="left" vertical="center"/>
    </xf>
    <xf numFmtId="0" fontId="8" fillId="0" borderId="7" xfId="0" applyFont="1" applyFill="1" applyBorder="1" applyAlignment="1">
      <alignment horizontal="left" vertical="center"/>
    </xf>
    <xf numFmtId="3" fontId="7" fillId="0" borderId="20" xfId="0" applyNumberFormat="1" applyFont="1" applyBorder="1" applyAlignment="1">
      <alignment vertical="center"/>
    </xf>
    <xf numFmtId="3" fontId="7" fillId="0" borderId="15" xfId="0" applyNumberFormat="1" applyFont="1" applyBorder="1" applyAlignment="1">
      <alignment vertical="center"/>
    </xf>
    <xf numFmtId="0" fontId="7" fillId="0" borderId="31" xfId="0" applyFont="1" applyBorder="1" applyAlignment="1">
      <alignment horizontal="justify" vertical="center" wrapText="1"/>
    </xf>
    <xf numFmtId="4" fontId="7" fillId="0" borderId="15" xfId="0" applyNumberFormat="1" applyFont="1" applyBorder="1" applyAlignment="1">
      <alignment vertical="center"/>
    </xf>
    <xf numFmtId="0" fontId="7" fillId="0" borderId="15" xfId="0" applyFont="1" applyBorder="1" applyAlignment="1">
      <alignment horizontal="justify" vertical="center" wrapText="1"/>
    </xf>
    <xf numFmtId="0" fontId="7" fillId="0" borderId="7" xfId="0" applyFont="1" applyBorder="1" applyAlignment="1">
      <alignment horizontal="justify" vertical="center" wrapText="1"/>
    </xf>
    <xf numFmtId="0" fontId="7" fillId="0" borderId="31" xfId="0" applyFont="1" applyBorder="1" applyAlignment="1">
      <alignment horizontal="justify" vertical="center"/>
    </xf>
    <xf numFmtId="0" fontId="7" fillId="0" borderId="7" xfId="0" applyFont="1" applyBorder="1" applyAlignment="1">
      <alignment horizontal="justify" vertical="center"/>
    </xf>
    <xf numFmtId="0" fontId="8" fillId="0" borderId="17" xfId="0" applyFont="1" applyFill="1" applyBorder="1" applyAlignment="1">
      <alignment horizontal="left" vertical="center"/>
    </xf>
    <xf numFmtId="3" fontId="8" fillId="0" borderId="18" xfId="0" applyNumberFormat="1" applyFont="1" applyFill="1" applyBorder="1" applyAlignment="1">
      <alignment horizontal="left" vertical="center"/>
    </xf>
    <xf numFmtId="0" fontId="8" fillId="0" borderId="19" xfId="0" applyFont="1" applyFill="1" applyBorder="1" applyAlignment="1">
      <alignment horizontal="left" vertical="center"/>
    </xf>
    <xf numFmtId="49" fontId="7" fillId="0" borderId="38" xfId="0" applyNumberFormat="1" applyFont="1" applyFill="1" applyBorder="1" applyAlignment="1">
      <alignment vertical="center"/>
    </xf>
    <xf numFmtId="3" fontId="7" fillId="0" borderId="39" xfId="0" applyNumberFormat="1" applyFont="1" applyBorder="1" applyAlignment="1">
      <alignment vertical="center"/>
    </xf>
    <xf numFmtId="49" fontId="7" fillId="0" borderId="4" xfId="0" applyNumberFormat="1" applyFont="1" applyFill="1" applyBorder="1" applyAlignment="1">
      <alignment vertical="center"/>
    </xf>
    <xf numFmtId="3" fontId="7" fillId="0" borderId="15" xfId="0" applyNumberFormat="1" applyFont="1" applyFill="1" applyBorder="1" applyAlignment="1">
      <alignment horizontal="right" vertical="center"/>
    </xf>
    <xf numFmtId="0" fontId="7" fillId="0" borderId="31" xfId="0" applyFont="1" applyFill="1" applyBorder="1" applyAlignment="1">
      <alignment horizontal="justify" vertical="center" wrapText="1"/>
    </xf>
    <xf numFmtId="3" fontId="7" fillId="0" borderId="38" xfId="0" applyNumberFormat="1" applyFont="1" applyBorder="1" applyAlignment="1">
      <alignment vertical="center"/>
    </xf>
    <xf numFmtId="4" fontId="7" fillId="0" borderId="39" xfId="0" applyNumberFormat="1" applyFont="1" applyFill="1" applyBorder="1" applyAlignment="1">
      <alignment horizontal="right" vertical="center"/>
    </xf>
    <xf numFmtId="0" fontId="7" fillId="0" borderId="40" xfId="0" applyFont="1" applyFill="1" applyBorder="1" applyAlignment="1">
      <alignment horizontal="justify" vertical="center" wrapText="1"/>
    </xf>
    <xf numFmtId="3" fontId="7" fillId="0" borderId="18" xfId="0" applyNumberFormat="1" applyFont="1" applyBorder="1" applyAlignment="1">
      <alignment vertical="center"/>
    </xf>
    <xf numFmtId="3" fontId="7" fillId="0" borderId="41" xfId="0" applyNumberFormat="1" applyFont="1" applyFill="1" applyBorder="1" applyAlignment="1">
      <alignment horizontal="right" vertical="center"/>
    </xf>
    <xf numFmtId="0" fontId="7" fillId="0" borderId="21" xfId="0" applyFont="1" applyBorder="1"/>
    <xf numFmtId="3" fontId="7" fillId="0" borderId="32" xfId="0" applyNumberFormat="1" applyFont="1" applyBorder="1"/>
    <xf numFmtId="0" fontId="33" fillId="9" borderId="2" xfId="0" applyFont="1" applyFill="1" applyBorder="1" applyAlignment="1">
      <alignment vertical="center"/>
    </xf>
    <xf numFmtId="4" fontId="33" fillId="9" borderId="27" xfId="0" applyNumberFormat="1" applyFont="1" applyFill="1" applyBorder="1" applyAlignment="1">
      <alignment vertical="center"/>
    </xf>
    <xf numFmtId="0" fontId="7" fillId="0" borderId="29" xfId="0" applyFont="1" applyBorder="1"/>
    <xf numFmtId="3" fontId="7" fillId="0" borderId="26" xfId="0" applyNumberFormat="1" applyFont="1" applyBorder="1"/>
    <xf numFmtId="0" fontId="7" fillId="0" borderId="30" xfId="0" applyFont="1" applyBorder="1"/>
    <xf numFmtId="0" fontId="35" fillId="0" borderId="1" xfId="0" applyFont="1" applyBorder="1"/>
    <xf numFmtId="168" fontId="9" fillId="0" borderId="0" xfId="4" applyNumberFormat="1" applyFont="1"/>
    <xf numFmtId="4" fontId="10" fillId="0" borderId="0" xfId="0" applyNumberFormat="1" applyFont="1"/>
    <xf numFmtId="0" fontId="15" fillId="9" borderId="42" xfId="0" applyFont="1" applyFill="1" applyBorder="1"/>
    <xf numFmtId="0" fontId="10" fillId="9" borderId="28" xfId="0" applyFont="1" applyFill="1" applyBorder="1"/>
    <xf numFmtId="0" fontId="15" fillId="0" borderId="4" xfId="0" applyFont="1" applyBorder="1"/>
    <xf numFmtId="0" fontId="10" fillId="0" borderId="0" xfId="0" applyFont="1" applyBorder="1" applyAlignment="1">
      <alignment horizontal="center"/>
    </xf>
    <xf numFmtId="168" fontId="10" fillId="0" borderId="0" xfId="4" applyNumberFormat="1" applyFont="1" applyBorder="1" applyAlignment="1">
      <alignment horizontal="center"/>
    </xf>
    <xf numFmtId="0" fontId="10" fillId="0" borderId="7" xfId="0" applyFont="1" applyBorder="1"/>
    <xf numFmtId="0" fontId="15" fillId="10" borderId="4" xfId="0" applyFont="1" applyFill="1" applyBorder="1"/>
    <xf numFmtId="0" fontId="19" fillId="10" borderId="0" xfId="0" applyFont="1" applyFill="1" applyBorder="1" applyAlignment="1">
      <alignment horizontal="center" vertical="center"/>
    </xf>
    <xf numFmtId="0" fontId="20" fillId="10" borderId="0" xfId="0" applyFont="1" applyFill="1" applyBorder="1" applyAlignment="1">
      <alignment horizontal="center" vertical="center"/>
    </xf>
    <xf numFmtId="0" fontId="21" fillId="10" borderId="7" xfId="0" applyFont="1" applyFill="1" applyBorder="1"/>
    <xf numFmtId="0" fontId="10" fillId="0" borderId="0" xfId="0" applyFont="1" applyBorder="1"/>
    <xf numFmtId="3" fontId="10" fillId="0" borderId="0" xfId="0" applyNumberFormat="1" applyFont="1" applyBorder="1"/>
    <xf numFmtId="0" fontId="15" fillId="9" borderId="5" xfId="0" applyFont="1" applyFill="1" applyBorder="1"/>
    <xf numFmtId="0" fontId="36" fillId="9" borderId="6" xfId="0" applyFont="1" applyFill="1" applyBorder="1" applyAlignment="1">
      <alignment horizontal="center" vertical="center"/>
    </xf>
    <xf numFmtId="3" fontId="37" fillId="9" borderId="6" xfId="0" applyNumberFormat="1" applyFont="1" applyFill="1" applyBorder="1" applyAlignment="1">
      <alignment horizontal="right" vertical="center"/>
    </xf>
    <xf numFmtId="0" fontId="38" fillId="9" borderId="16" xfId="0" applyFont="1" applyFill="1" applyBorder="1"/>
    <xf numFmtId="0" fontId="15" fillId="0" borderId="5" xfId="0" applyFont="1" applyBorder="1"/>
    <xf numFmtId="0" fontId="10" fillId="0" borderId="6" xfId="0" applyFont="1" applyBorder="1" applyAlignment="1">
      <alignment horizontal="justify" vertical="center"/>
    </xf>
    <xf numFmtId="4" fontId="10" fillId="0" borderId="6" xfId="0" applyNumberFormat="1" applyFont="1" applyBorder="1" applyAlignment="1">
      <alignment vertical="center"/>
    </xf>
    <xf numFmtId="4" fontId="10" fillId="0" borderId="6" xfId="0" applyNumberFormat="1" applyFont="1" applyBorder="1" applyAlignment="1">
      <alignment horizontal="right" vertical="center"/>
    </xf>
    <xf numFmtId="3" fontId="10" fillId="0" borderId="6" xfId="0" applyNumberFormat="1" applyFont="1" applyBorder="1" applyAlignment="1">
      <alignment horizontal="right" vertical="center"/>
    </xf>
    <xf numFmtId="168" fontId="10" fillId="0" borderId="6" xfId="4" applyNumberFormat="1" applyFont="1" applyBorder="1" applyAlignment="1">
      <alignment horizontal="justify" vertical="center"/>
    </xf>
    <xf numFmtId="168" fontId="10" fillId="0" borderId="6" xfId="4" applyNumberFormat="1" applyFont="1" applyBorder="1" applyAlignment="1">
      <alignment horizontal="right" vertical="center"/>
    </xf>
    <xf numFmtId="0" fontId="10" fillId="0" borderId="16" xfId="0" applyFont="1" applyBorder="1"/>
    <xf numFmtId="0" fontId="10" fillId="0" borderId="0" xfId="0" applyFont="1" applyBorder="1" applyAlignment="1">
      <alignment horizontal="justify" vertical="center"/>
    </xf>
    <xf numFmtId="4" fontId="10" fillId="0" borderId="0" xfId="0" applyNumberFormat="1" applyFont="1" applyBorder="1" applyAlignment="1">
      <alignment horizontal="justify" vertical="center"/>
    </xf>
    <xf numFmtId="4" fontId="10" fillId="0" borderId="0" xfId="0" applyNumberFormat="1" applyFont="1" applyBorder="1" applyAlignment="1">
      <alignment vertical="center"/>
    </xf>
    <xf numFmtId="3" fontId="10" fillId="0" borderId="0" xfId="0" applyNumberFormat="1" applyFont="1" applyBorder="1" applyAlignment="1">
      <alignment horizontal="justify" vertical="center"/>
    </xf>
    <xf numFmtId="168" fontId="10" fillId="0" borderId="0" xfId="4" applyNumberFormat="1" applyFont="1" applyBorder="1" applyAlignment="1">
      <alignment horizontal="justify" vertical="center"/>
    </xf>
    <xf numFmtId="3" fontId="10" fillId="0" borderId="0" xfId="0" applyNumberFormat="1" applyFont="1" applyBorder="1" applyAlignment="1">
      <alignment horizontal="right" vertical="center"/>
    </xf>
    <xf numFmtId="168" fontId="10" fillId="0" borderId="0" xfId="4" applyNumberFormat="1" applyFont="1" applyBorder="1" applyAlignment="1">
      <alignment horizontal="right" vertical="center"/>
    </xf>
    <xf numFmtId="4" fontId="10" fillId="0" borderId="6" xfId="0" applyNumberFormat="1" applyFont="1" applyBorder="1" applyAlignment="1">
      <alignment horizontal="justify" vertical="center"/>
    </xf>
    <xf numFmtId="0" fontId="10" fillId="0" borderId="6" xfId="0" applyFont="1" applyBorder="1" applyAlignment="1">
      <alignment horizontal="right" vertical="center"/>
    </xf>
    <xf numFmtId="0" fontId="15" fillId="7" borderId="5" xfId="0" applyFont="1" applyFill="1" applyBorder="1"/>
    <xf numFmtId="0" fontId="20" fillId="7" borderId="6" xfId="0" applyFont="1" applyFill="1" applyBorder="1" applyAlignment="1">
      <alignment horizontal="center" vertical="center"/>
    </xf>
    <xf numFmtId="4" fontId="20" fillId="7" borderId="6" xfId="0" applyNumberFormat="1" applyFont="1" applyFill="1" applyBorder="1" applyAlignment="1">
      <alignment vertical="center"/>
    </xf>
    <xf numFmtId="4" fontId="20" fillId="7" borderId="6" xfId="4" applyNumberFormat="1" applyFont="1" applyFill="1" applyBorder="1" applyAlignment="1">
      <alignment horizontal="right" vertical="center"/>
    </xf>
    <xf numFmtId="3" fontId="20" fillId="7" borderId="6" xfId="4" applyNumberFormat="1" applyFont="1" applyFill="1" applyBorder="1" applyAlignment="1">
      <alignment horizontal="right" vertical="center"/>
    </xf>
    <xf numFmtId="168" fontId="20" fillId="7" borderId="6" xfId="4" applyNumberFormat="1" applyFont="1" applyFill="1" applyBorder="1" applyAlignment="1">
      <alignment horizontal="center" vertical="center"/>
    </xf>
    <xf numFmtId="168" fontId="9" fillId="7" borderId="6" xfId="4" applyNumberFormat="1" applyFont="1" applyFill="1" applyBorder="1" applyAlignment="1">
      <alignment horizontal="right" vertical="center"/>
    </xf>
    <xf numFmtId="3" fontId="9" fillId="7" borderId="6" xfId="0" applyNumberFormat="1" applyFont="1" applyFill="1" applyBorder="1" applyAlignment="1">
      <alignment horizontal="right" vertical="center"/>
    </xf>
    <xf numFmtId="0" fontId="10" fillId="7" borderId="16" xfId="0" applyFont="1" applyFill="1" applyBorder="1"/>
    <xf numFmtId="4" fontId="10" fillId="0" borderId="0" xfId="0" applyNumberFormat="1" applyFont="1" applyBorder="1"/>
    <xf numFmtId="4" fontId="10" fillId="0" borderId="0" xfId="0" applyNumberFormat="1" applyFont="1" applyBorder="1" applyAlignment="1"/>
    <xf numFmtId="3" fontId="10" fillId="0" borderId="0" xfId="0" applyNumberFormat="1" applyFont="1" applyBorder="1" applyAlignment="1">
      <alignment horizontal="right"/>
    </xf>
    <xf numFmtId="0" fontId="7" fillId="0" borderId="5" xfId="0" applyFont="1" applyBorder="1"/>
    <xf numFmtId="0" fontId="10" fillId="0" borderId="6" xfId="0" applyFont="1" applyFill="1" applyBorder="1" applyAlignment="1">
      <alignment horizontal="justify" vertical="center"/>
    </xf>
    <xf numFmtId="4" fontId="10" fillId="0" borderId="6" xfId="0" applyNumberFormat="1" applyFont="1" applyFill="1" applyBorder="1" applyAlignment="1">
      <alignment vertical="center"/>
    </xf>
    <xf numFmtId="4" fontId="10" fillId="0" borderId="6" xfId="0" applyNumberFormat="1" applyFont="1" applyFill="1" applyBorder="1" applyAlignment="1">
      <alignment horizontal="justify" vertical="center"/>
    </xf>
    <xf numFmtId="4" fontId="10" fillId="0" borderId="6" xfId="0" applyNumberFormat="1" applyFont="1" applyFill="1" applyBorder="1" applyAlignment="1">
      <alignment horizontal="right" vertical="center"/>
    </xf>
    <xf numFmtId="3" fontId="10" fillId="0" borderId="6" xfId="0" applyNumberFormat="1" applyFont="1" applyFill="1" applyBorder="1" applyAlignment="1">
      <alignment horizontal="right" vertical="center"/>
    </xf>
    <xf numFmtId="168" fontId="10" fillId="0" borderId="6" xfId="4" applyNumberFormat="1" applyFont="1" applyFill="1" applyBorder="1" applyAlignment="1">
      <alignment horizontal="justify" vertical="center"/>
    </xf>
    <xf numFmtId="168" fontId="10" fillId="0" borderId="6" xfId="4" applyNumberFormat="1" applyFont="1" applyFill="1" applyBorder="1" applyAlignment="1">
      <alignment horizontal="right" vertical="center"/>
    </xf>
    <xf numFmtId="0" fontId="9" fillId="0" borderId="16" xfId="0" applyFont="1" applyFill="1" applyBorder="1"/>
    <xf numFmtId="4" fontId="10" fillId="0" borderId="0" xfId="0" applyNumberFormat="1" applyFont="1" applyAlignment="1"/>
    <xf numFmtId="3" fontId="10" fillId="0" borderId="0" xfId="0" applyNumberFormat="1" applyFont="1"/>
    <xf numFmtId="0" fontId="10" fillId="0" borderId="19" xfId="0" applyFont="1" applyBorder="1"/>
    <xf numFmtId="0" fontId="16" fillId="0" borderId="5" xfId="0" applyFont="1" applyFill="1" applyBorder="1"/>
    <xf numFmtId="3" fontId="10" fillId="0" borderId="6" xfId="0" applyNumberFormat="1" applyFont="1" applyFill="1" applyBorder="1" applyAlignment="1">
      <alignment horizontal="justify" vertical="center"/>
    </xf>
    <xf numFmtId="0" fontId="15" fillId="5" borderId="5" xfId="0" applyFont="1" applyFill="1" applyBorder="1"/>
    <xf numFmtId="0" fontId="9" fillId="5" borderId="6" xfId="0" applyFont="1" applyFill="1" applyBorder="1" applyAlignment="1">
      <alignment horizontal="center" vertical="center"/>
    </xf>
    <xf numFmtId="4" fontId="9" fillId="5" borderId="6" xfId="0" applyNumberFormat="1" applyFont="1" applyFill="1" applyBorder="1" applyAlignment="1">
      <alignment horizontal="center" vertical="center"/>
    </xf>
    <xf numFmtId="4" fontId="9" fillId="5" borderId="6" xfId="0" applyNumberFormat="1" applyFont="1" applyFill="1" applyBorder="1" applyAlignment="1">
      <alignment vertical="center"/>
    </xf>
    <xf numFmtId="3" fontId="9" fillId="5" borderId="6" xfId="0" applyNumberFormat="1" applyFont="1" applyFill="1" applyBorder="1" applyAlignment="1">
      <alignment horizontal="center" vertical="center"/>
    </xf>
    <xf numFmtId="168" fontId="9" fillId="5" borderId="6" xfId="4" applyNumberFormat="1" applyFont="1" applyFill="1" applyBorder="1" applyAlignment="1">
      <alignment horizontal="center" vertical="center"/>
    </xf>
    <xf numFmtId="3" fontId="9" fillId="5" borderId="6" xfId="0" applyNumberFormat="1" applyFont="1" applyFill="1" applyBorder="1" applyAlignment="1">
      <alignment horizontal="right" vertical="center"/>
    </xf>
    <xf numFmtId="0" fontId="10" fillId="5" borderId="16" xfId="0" applyFont="1" applyFill="1" applyBorder="1"/>
    <xf numFmtId="0" fontId="15" fillId="0" borderId="23" xfId="0" applyFont="1" applyBorder="1"/>
    <xf numFmtId="0" fontId="10" fillId="0" borderId="22" xfId="0" applyFont="1" applyBorder="1" applyAlignment="1">
      <alignment horizontal="left" vertical="center"/>
    </xf>
    <xf numFmtId="4" fontId="10" fillId="0" borderId="22" xfId="0" applyNumberFormat="1" applyFont="1" applyBorder="1" applyAlignment="1">
      <alignment horizontal="left" vertical="center"/>
    </xf>
    <xf numFmtId="4" fontId="10" fillId="0" borderId="22" xfId="0" applyNumberFormat="1" applyFont="1" applyBorder="1" applyAlignment="1">
      <alignment vertical="center"/>
    </xf>
    <xf numFmtId="3" fontId="10" fillId="0" borderId="22" xfId="0" applyNumberFormat="1" applyFont="1" applyBorder="1" applyAlignment="1">
      <alignment horizontal="left" vertical="center"/>
    </xf>
    <xf numFmtId="168" fontId="10" fillId="0" borderId="22" xfId="4" applyNumberFormat="1" applyFont="1" applyBorder="1" applyAlignment="1">
      <alignment horizontal="left" vertical="center"/>
    </xf>
    <xf numFmtId="3" fontId="10" fillId="0" borderId="22" xfId="0" applyNumberFormat="1" applyFont="1" applyBorder="1" applyAlignment="1">
      <alignment horizontal="right" vertical="center"/>
    </xf>
    <xf numFmtId="3" fontId="10" fillId="0" borderId="22" xfId="0" applyNumberFormat="1" applyFont="1" applyBorder="1"/>
    <xf numFmtId="0" fontId="10" fillId="0" borderId="24" xfId="0" applyFont="1" applyBorder="1"/>
    <xf numFmtId="0" fontId="15" fillId="0" borderId="17" xfId="0" applyFont="1" applyBorder="1"/>
    <xf numFmtId="0" fontId="10" fillId="0" borderId="18" xfId="0" applyFont="1" applyBorder="1" applyAlignment="1">
      <alignment horizontal="left" vertical="center"/>
    </xf>
    <xf numFmtId="4" fontId="10" fillId="0" borderId="18" xfId="0" applyNumberFormat="1" applyFont="1" applyBorder="1" applyAlignment="1">
      <alignment horizontal="left" vertical="center"/>
    </xf>
    <xf numFmtId="4" fontId="10" fillId="0" borderId="18" xfId="0" applyNumberFormat="1" applyFont="1" applyBorder="1" applyAlignment="1">
      <alignment vertical="center"/>
    </xf>
    <xf numFmtId="3" fontId="10" fillId="0" borderId="18" xfId="0" applyNumberFormat="1" applyFont="1" applyBorder="1" applyAlignment="1">
      <alignment horizontal="left" vertical="center"/>
    </xf>
    <xf numFmtId="168" fontId="10" fillId="0" borderId="18" xfId="4" applyNumberFormat="1" applyFont="1" applyBorder="1" applyAlignment="1">
      <alignment horizontal="left" vertical="center"/>
    </xf>
    <xf numFmtId="3" fontId="10" fillId="0" borderId="18" xfId="0" applyNumberFormat="1" applyFont="1" applyBorder="1" applyAlignment="1">
      <alignment horizontal="right" vertical="center"/>
    </xf>
    <xf numFmtId="0" fontId="10" fillId="0" borderId="18" xfId="0" applyFont="1" applyBorder="1"/>
    <xf numFmtId="3" fontId="10" fillId="0" borderId="18" xfId="0" applyNumberFormat="1" applyFont="1" applyBorder="1"/>
    <xf numFmtId="0" fontId="36" fillId="9" borderId="6" xfId="0" applyFont="1" applyFill="1" applyBorder="1" applyAlignment="1">
      <alignment vertical="center"/>
    </xf>
    <xf numFmtId="4" fontId="37" fillId="9" borderId="6" xfId="0" applyNumberFormat="1" applyFont="1" applyFill="1" applyBorder="1" applyAlignment="1">
      <alignment vertical="center"/>
    </xf>
    <xf numFmtId="3" fontId="37" fillId="9" borderId="6" xfId="0" applyNumberFormat="1" applyFont="1" applyFill="1" applyBorder="1" applyAlignment="1">
      <alignment vertical="center"/>
    </xf>
    <xf numFmtId="0" fontId="15" fillId="0" borderId="29" xfId="0" applyFont="1" applyBorder="1"/>
    <xf numFmtId="0" fontId="10" fillId="0" borderId="26" xfId="0" applyFont="1" applyBorder="1"/>
    <xf numFmtId="168" fontId="10" fillId="0" borderId="26" xfId="4" applyNumberFormat="1" applyFont="1" applyBorder="1"/>
    <xf numFmtId="0" fontId="10" fillId="0" borderId="30" xfId="0" applyFont="1" applyBorder="1"/>
    <xf numFmtId="4" fontId="15" fillId="0" borderId="0" xfId="0" applyNumberFormat="1" applyFont="1"/>
    <xf numFmtId="168" fontId="15" fillId="0" borderId="0" xfId="4" applyNumberFormat="1" applyFont="1"/>
    <xf numFmtId="0" fontId="15" fillId="0" borderId="0" xfId="0" applyFont="1" applyBorder="1"/>
    <xf numFmtId="9" fontId="15" fillId="0" borderId="0" xfId="0" applyNumberFormat="1" applyFont="1" applyAlignment="1">
      <alignment horizontal="center"/>
    </xf>
    <xf numFmtId="9" fontId="10" fillId="0" borderId="0" xfId="0" applyNumberFormat="1" applyFont="1" applyBorder="1" applyAlignment="1">
      <alignment horizontal="center"/>
    </xf>
    <xf numFmtId="9" fontId="10" fillId="0" borderId="0" xfId="0" applyNumberFormat="1" applyFont="1" applyAlignment="1">
      <alignment horizontal="center"/>
    </xf>
    <xf numFmtId="0" fontId="31" fillId="9" borderId="43" xfId="0" applyFont="1" applyFill="1" applyBorder="1"/>
    <xf numFmtId="4" fontId="32" fillId="9" borderId="43" xfId="0" applyNumberFormat="1" applyFont="1" applyFill="1" applyBorder="1" applyAlignment="1">
      <alignment horizontal="center"/>
    </xf>
    <xf numFmtId="9" fontId="32" fillId="9" borderId="43" xfId="0" applyNumberFormat="1" applyFont="1" applyFill="1" applyBorder="1" applyAlignment="1">
      <alignment horizontal="center"/>
    </xf>
    <xf numFmtId="0" fontId="32" fillId="9" borderId="43" xfId="0" applyFont="1" applyFill="1" applyBorder="1" applyAlignment="1">
      <alignment horizontal="center"/>
    </xf>
    <xf numFmtId="0" fontId="31" fillId="9" borderId="44" xfId="0" applyFont="1" applyFill="1" applyBorder="1"/>
    <xf numFmtId="4" fontId="32" fillId="9" borderId="44" xfId="0" applyNumberFormat="1" applyFont="1" applyFill="1" applyBorder="1" applyAlignment="1">
      <alignment horizontal="center"/>
    </xf>
    <xf numFmtId="9" fontId="32" fillId="9" borderId="44" xfId="0" applyNumberFormat="1" applyFont="1" applyFill="1" applyBorder="1" applyAlignment="1">
      <alignment horizontal="center"/>
    </xf>
    <xf numFmtId="0" fontId="32" fillId="9" borderId="44" xfId="0" applyFont="1" applyFill="1" applyBorder="1" applyAlignment="1">
      <alignment horizontal="center"/>
    </xf>
    <xf numFmtId="0" fontId="31" fillId="9" borderId="45" xfId="0" applyFont="1" applyFill="1" applyBorder="1"/>
    <xf numFmtId="4" fontId="32" fillId="9" borderId="45" xfId="0" applyNumberFormat="1" applyFont="1" applyFill="1" applyBorder="1" applyAlignment="1">
      <alignment horizontal="center"/>
    </xf>
    <xf numFmtId="9" fontId="31" fillId="9" borderId="45" xfId="0" applyNumberFormat="1" applyFont="1" applyFill="1" applyBorder="1" applyAlignment="1">
      <alignment horizontal="center"/>
    </xf>
    <xf numFmtId="0" fontId="32" fillId="9" borderId="45" xfId="0" applyFont="1" applyFill="1" applyBorder="1" applyAlignment="1">
      <alignment horizontal="center"/>
    </xf>
    <xf numFmtId="0" fontId="31" fillId="9" borderId="45" xfId="0" applyFont="1" applyFill="1" applyBorder="1" applyAlignment="1">
      <alignment horizontal="center"/>
    </xf>
    <xf numFmtId="0" fontId="22" fillId="8" borderId="6" xfId="0" applyFont="1" applyFill="1" applyBorder="1" applyAlignment="1">
      <alignment vertical="center"/>
    </xf>
    <xf numFmtId="0" fontId="22" fillId="8" borderId="16" xfId="0" applyFont="1" applyFill="1" applyBorder="1" applyAlignment="1">
      <alignment vertical="center"/>
    </xf>
    <xf numFmtId="0" fontId="10" fillId="0" borderId="4" xfId="0" applyFont="1" applyBorder="1"/>
    <xf numFmtId="4" fontId="10" fillId="0" borderId="7" xfId="0" applyNumberFormat="1" applyFont="1" applyBorder="1"/>
    <xf numFmtId="0" fontId="9" fillId="7" borderId="2" xfId="0" applyFont="1" applyFill="1" applyBorder="1" applyAlignment="1">
      <alignment horizontal="center" vertical="center"/>
    </xf>
    <xf numFmtId="4" fontId="9" fillId="7" borderId="27" xfId="0" applyNumberFormat="1" applyFont="1" applyFill="1" applyBorder="1" applyAlignment="1">
      <alignment vertical="center"/>
    </xf>
    <xf numFmtId="166" fontId="9" fillId="7" borderId="27" xfId="0" applyNumberFormat="1" applyFont="1" applyFill="1" applyBorder="1" applyAlignment="1">
      <alignment horizontal="center" vertical="center"/>
    </xf>
    <xf numFmtId="166" fontId="9" fillId="7" borderId="27" xfId="0" applyNumberFormat="1" applyFont="1" applyFill="1" applyBorder="1" applyAlignment="1">
      <alignment vertical="center"/>
    </xf>
    <xf numFmtId="166" fontId="9" fillId="7" borderId="3" xfId="0" applyNumberFormat="1" applyFont="1" applyFill="1" applyBorder="1" applyAlignment="1">
      <alignment horizontal="center" vertical="center"/>
    </xf>
    <xf numFmtId="0" fontId="15" fillId="0" borderId="0" xfId="0" applyFont="1" applyFill="1"/>
    <xf numFmtId="166" fontId="10" fillId="0" borderId="0" xfId="0" applyNumberFormat="1" applyFont="1" applyBorder="1" applyAlignment="1">
      <alignment horizontal="center"/>
    </xf>
    <xf numFmtId="166" fontId="10" fillId="0" borderId="0" xfId="0" applyNumberFormat="1" applyFont="1" applyBorder="1"/>
    <xf numFmtId="166" fontId="10" fillId="0" borderId="7" xfId="0" applyNumberFormat="1" applyFont="1" applyBorder="1"/>
    <xf numFmtId="0" fontId="10" fillId="0" borderId="4" xfId="0" applyFont="1" applyBorder="1" applyAlignment="1">
      <alignment horizontal="justify" vertical="center"/>
    </xf>
    <xf numFmtId="166" fontId="10" fillId="18" borderId="0" xfId="0" applyNumberFormat="1" applyFont="1" applyFill="1" applyBorder="1" applyAlignment="1">
      <alignment horizontal="center" vertical="center"/>
    </xf>
    <xf numFmtId="166" fontId="10" fillId="0" borderId="0" xfId="0" applyNumberFormat="1" applyFont="1" applyBorder="1" applyAlignment="1">
      <alignment horizontal="center" vertical="center"/>
    </xf>
    <xf numFmtId="166" fontId="10" fillId="0" borderId="7" xfId="0" applyNumberFormat="1" applyFont="1" applyBorder="1" applyAlignment="1">
      <alignment horizontal="center" vertical="center"/>
    </xf>
    <xf numFmtId="4" fontId="10" fillId="0" borderId="0" xfId="0" applyNumberFormat="1" applyFont="1" applyBorder="1" applyAlignment="1">
      <alignment horizontal="right" vertical="center"/>
    </xf>
    <xf numFmtId="4" fontId="10" fillId="0" borderId="0" xfId="0" applyNumberFormat="1" applyFont="1" applyFill="1" applyBorder="1" applyAlignment="1">
      <alignment horizontal="right" vertical="center"/>
    </xf>
    <xf numFmtId="0" fontId="10" fillId="0" borderId="17" xfId="0" applyFont="1" applyBorder="1"/>
    <xf numFmtId="4" fontId="10" fillId="0" borderId="18" xfId="0" applyNumberFormat="1" applyFont="1" applyBorder="1"/>
    <xf numFmtId="166" fontId="10" fillId="0" borderId="18" xfId="0" applyNumberFormat="1" applyFont="1" applyBorder="1" applyAlignment="1">
      <alignment horizontal="center"/>
    </xf>
    <xf numFmtId="4" fontId="10" fillId="0" borderId="18" xfId="0" applyNumberFormat="1" applyFont="1" applyFill="1" applyBorder="1"/>
    <xf numFmtId="166" fontId="10" fillId="0" borderId="18" xfId="0" applyNumberFormat="1" applyFont="1" applyBorder="1"/>
    <xf numFmtId="166" fontId="10" fillId="0" borderId="19" xfId="0" applyNumberFormat="1" applyFont="1" applyBorder="1"/>
    <xf numFmtId="0" fontId="9" fillId="7" borderId="17" xfId="0" applyFont="1" applyFill="1" applyBorder="1" applyAlignment="1">
      <alignment horizontal="center" vertical="center"/>
    </xf>
    <xf numFmtId="4" fontId="9" fillId="7" borderId="18" xfId="0" applyNumberFormat="1" applyFont="1" applyFill="1" applyBorder="1" applyAlignment="1">
      <alignment horizontal="right" vertical="center"/>
    </xf>
    <xf numFmtId="166" fontId="9" fillId="7" borderId="18" xfId="0" applyNumberFormat="1" applyFont="1" applyFill="1" applyBorder="1" applyAlignment="1">
      <alignment horizontal="center" vertical="center"/>
    </xf>
    <xf numFmtId="4" fontId="9" fillId="7" borderId="18" xfId="0" applyNumberFormat="1" applyFont="1" applyFill="1" applyBorder="1" applyAlignment="1">
      <alignment vertical="center"/>
    </xf>
    <xf numFmtId="166" fontId="9" fillId="7" borderId="19" xfId="0" applyNumberFormat="1" applyFont="1" applyFill="1" applyBorder="1" applyAlignment="1">
      <alignment horizontal="center" vertical="center"/>
    </xf>
    <xf numFmtId="4" fontId="10" fillId="0" borderId="0" xfId="0" applyNumberFormat="1" applyFont="1" applyFill="1" applyBorder="1"/>
    <xf numFmtId="4" fontId="10" fillId="18" borderId="0" xfId="0" applyNumberFormat="1" applyFont="1" applyFill="1" applyBorder="1"/>
    <xf numFmtId="0" fontId="37" fillId="9" borderId="5" xfId="0" applyFont="1" applyFill="1" applyBorder="1" applyAlignment="1">
      <alignment horizontal="center" vertical="center"/>
    </xf>
    <xf numFmtId="4" fontId="37" fillId="9" borderId="6" xfId="0" applyNumberFormat="1" applyFont="1" applyFill="1" applyBorder="1" applyAlignment="1">
      <alignment horizontal="right" vertical="center"/>
    </xf>
    <xf numFmtId="166" fontId="37" fillId="9" borderId="6" xfId="0" applyNumberFormat="1" applyFont="1" applyFill="1" applyBorder="1" applyAlignment="1">
      <alignment horizontal="right" vertical="center"/>
    </xf>
    <xf numFmtId="166" fontId="37" fillId="9" borderId="16" xfId="0" applyNumberFormat="1" applyFont="1" applyFill="1" applyBorder="1" applyAlignment="1">
      <alignment horizontal="right" vertical="center"/>
    </xf>
    <xf numFmtId="4" fontId="10" fillId="0" borderId="26" xfId="0" applyNumberFormat="1" applyFont="1" applyBorder="1"/>
    <xf numFmtId="9" fontId="10" fillId="0" borderId="26" xfId="0" applyNumberFormat="1" applyFont="1" applyBorder="1" applyAlignment="1">
      <alignment horizontal="center"/>
    </xf>
    <xf numFmtId="166" fontId="10" fillId="0" borderId="26" xfId="0" applyNumberFormat="1" applyFont="1" applyBorder="1"/>
    <xf numFmtId="4" fontId="10" fillId="0" borderId="30" xfId="0" applyNumberFormat="1" applyFont="1" applyBorder="1"/>
    <xf numFmtId="0" fontId="16" fillId="0" borderId="0" xfId="0" applyFont="1"/>
    <xf numFmtId="0" fontId="32" fillId="9" borderId="46" xfId="0" applyFont="1" applyFill="1" applyBorder="1" applyAlignment="1">
      <alignment horizontal="center" vertical="center"/>
    </xf>
    <xf numFmtId="3" fontId="32" fillId="9" borderId="47" xfId="0" applyNumberFormat="1" applyFont="1" applyFill="1" applyBorder="1" applyAlignment="1">
      <alignment horizontal="center" vertical="center"/>
    </xf>
    <xf numFmtId="0" fontId="32" fillId="9" borderId="47" xfId="0" applyFont="1" applyFill="1" applyBorder="1" applyAlignment="1">
      <alignment horizontal="center" vertical="center"/>
    </xf>
    <xf numFmtId="0" fontId="32" fillId="9" borderId="48" xfId="0" applyFont="1" applyFill="1" applyBorder="1" applyAlignment="1">
      <alignment horizontal="center" vertical="center"/>
    </xf>
    <xf numFmtId="0" fontId="32" fillId="9" borderId="49" xfId="0" applyFont="1" applyFill="1" applyBorder="1" applyAlignment="1">
      <alignment horizontal="center" vertical="center"/>
    </xf>
    <xf numFmtId="9" fontId="32" fillId="9" borderId="50" xfId="0" applyNumberFormat="1" applyFont="1" applyFill="1" applyBorder="1" applyAlignment="1">
      <alignment horizontal="center" vertical="center"/>
    </xf>
    <xf numFmtId="0" fontId="32" fillId="9" borderId="50" xfId="0" applyFont="1" applyFill="1" applyBorder="1" applyAlignment="1">
      <alignment horizontal="center" vertical="center"/>
    </xf>
    <xf numFmtId="0" fontId="32" fillId="9" borderId="51" xfId="0" applyFont="1" applyFill="1" applyBorder="1" applyAlignment="1">
      <alignment horizontal="center" vertical="center"/>
    </xf>
    <xf numFmtId="0" fontId="10" fillId="0" borderId="8" xfId="0" applyFont="1" applyBorder="1" applyAlignment="1"/>
    <xf numFmtId="0" fontId="9" fillId="8" borderId="5" xfId="0" applyFont="1" applyFill="1" applyBorder="1" applyAlignment="1">
      <alignment vertical="center"/>
    </xf>
    <xf numFmtId="0" fontId="9" fillId="2" borderId="4" xfId="0" applyFont="1" applyFill="1" applyBorder="1"/>
    <xf numFmtId="0" fontId="9" fillId="0" borderId="4" xfId="0" applyFont="1" applyBorder="1"/>
    <xf numFmtId="49" fontId="7" fillId="0" borderId="4" xfId="0" applyNumberFormat="1" applyFont="1" applyBorder="1" applyAlignment="1">
      <alignment vertical="center"/>
    </xf>
    <xf numFmtId="3" fontId="9" fillId="7" borderId="5" xfId="0" applyNumberFormat="1" applyFont="1" applyFill="1" applyBorder="1" applyAlignment="1">
      <alignment horizontal="justify" vertical="center"/>
    </xf>
    <xf numFmtId="4" fontId="9" fillId="7" borderId="6" xfId="0" applyNumberFormat="1" applyFont="1" applyFill="1" applyBorder="1" applyAlignment="1">
      <alignment horizontal="right" vertical="center"/>
    </xf>
    <xf numFmtId="3" fontId="10" fillId="0" borderId="4" xfId="0" applyNumberFormat="1" applyFont="1" applyBorder="1" applyAlignment="1">
      <alignment horizontal="justify" vertical="center"/>
    </xf>
    <xf numFmtId="3" fontId="10" fillId="0" borderId="17" xfId="0" applyNumberFormat="1" applyFont="1" applyBorder="1" applyAlignment="1">
      <alignment horizontal="justify" vertical="center"/>
    </xf>
    <xf numFmtId="4" fontId="10" fillId="0" borderId="18" xfId="0" applyNumberFormat="1" applyFont="1" applyBorder="1" applyAlignment="1">
      <alignment horizontal="right" vertical="center"/>
    </xf>
    <xf numFmtId="4" fontId="10" fillId="0" borderId="0" xfId="0" applyNumberFormat="1" applyFont="1" applyBorder="1" applyAlignment="1">
      <alignment horizontal="right"/>
    </xf>
    <xf numFmtId="3" fontId="7" fillId="0" borderId="4" xfId="0" applyNumberFormat="1" applyFont="1" applyBorder="1" applyAlignment="1">
      <alignment horizontal="justify" vertical="center"/>
    </xf>
    <xf numFmtId="3" fontId="7" fillId="0" borderId="4" xfId="8" applyNumberFormat="1" applyFont="1" applyBorder="1" applyAlignment="1">
      <alignment horizontal="justify" vertical="center"/>
    </xf>
    <xf numFmtId="3" fontId="8" fillId="7" borderId="5" xfId="0" applyNumberFormat="1" applyFont="1" applyFill="1" applyBorder="1" applyAlignment="1">
      <alignment horizontal="justify"/>
    </xf>
    <xf numFmtId="3" fontId="7" fillId="0" borderId="4" xfId="0" applyNumberFormat="1" applyFont="1" applyBorder="1" applyAlignment="1">
      <alignment horizontal="justify"/>
    </xf>
    <xf numFmtId="3" fontId="10" fillId="0" borderId="5" xfId="0" applyNumberFormat="1" applyFont="1" applyBorder="1" applyAlignment="1">
      <alignment horizontal="justify" vertical="center"/>
    </xf>
    <xf numFmtId="3" fontId="9" fillId="8" borderId="5" xfId="0" applyNumberFormat="1" applyFont="1" applyFill="1" applyBorder="1" applyAlignment="1">
      <alignment horizontal="justify" vertical="center"/>
    </xf>
    <xf numFmtId="4" fontId="9" fillId="8" borderId="6" xfId="0" applyNumberFormat="1" applyFont="1" applyFill="1" applyBorder="1" applyAlignment="1">
      <alignment horizontal="right" vertical="center"/>
    </xf>
    <xf numFmtId="3" fontId="10" fillId="0" borderId="23" xfId="0" applyNumberFormat="1" applyFont="1" applyBorder="1" applyAlignment="1">
      <alignment horizontal="justify" vertical="center"/>
    </xf>
    <xf numFmtId="4" fontId="10" fillId="0" borderId="22" xfId="0" applyNumberFormat="1" applyFont="1" applyBorder="1" applyAlignment="1">
      <alignment horizontal="right" vertical="center"/>
    </xf>
    <xf numFmtId="3" fontId="7" fillId="0" borderId="4" xfId="0" applyNumberFormat="1" applyFont="1" applyFill="1" applyBorder="1" applyAlignment="1">
      <alignment horizontal="justify" vertical="center"/>
    </xf>
    <xf numFmtId="3" fontId="10" fillId="0" borderId="4" xfId="0" applyNumberFormat="1" applyFont="1" applyFill="1" applyBorder="1" applyAlignment="1">
      <alignment horizontal="justify" vertical="center"/>
    </xf>
    <xf numFmtId="0" fontId="10" fillId="0" borderId="17" xfId="0" applyFont="1" applyBorder="1" applyAlignment="1">
      <alignment horizontal="justify" vertical="center"/>
    </xf>
    <xf numFmtId="0" fontId="32" fillId="9" borderId="2" xfId="0" applyFont="1" applyFill="1" applyBorder="1" applyAlignment="1">
      <alignment horizontal="center" vertical="center"/>
    </xf>
    <xf numFmtId="4" fontId="32" fillId="9" borderId="27" xfId="0" applyNumberFormat="1" applyFont="1" applyFill="1" applyBorder="1" applyAlignment="1">
      <alignment horizontal="right" vertical="center"/>
    </xf>
    <xf numFmtId="0" fontId="10" fillId="0" borderId="52" xfId="0" applyFont="1" applyBorder="1"/>
    <xf numFmtId="4" fontId="8" fillId="0" borderId="0" xfId="0" applyNumberFormat="1" applyFont="1" applyAlignment="1">
      <alignment horizontal="center"/>
    </xf>
    <xf numFmtId="4" fontId="33" fillId="9" borderId="47" xfId="0" applyNumberFormat="1" applyFont="1" applyFill="1" applyBorder="1" applyAlignment="1">
      <alignment horizontal="center"/>
    </xf>
    <xf numFmtId="0" fontId="33" fillId="9" borderId="49" xfId="0" applyFont="1" applyFill="1" applyBorder="1" applyAlignment="1">
      <alignment horizontal="center"/>
    </xf>
    <xf numFmtId="4" fontId="33" fillId="9" borderId="50" xfId="0" applyNumberFormat="1" applyFont="1" applyFill="1" applyBorder="1" applyAlignment="1">
      <alignment horizontal="center"/>
    </xf>
    <xf numFmtId="0" fontId="15" fillId="0" borderId="0" xfId="0" applyFont="1" applyAlignment="1">
      <alignment vertical="center"/>
    </xf>
    <xf numFmtId="0" fontId="8" fillId="2" borderId="4" xfId="0" applyFont="1" applyFill="1" applyBorder="1"/>
    <xf numFmtId="4" fontId="8" fillId="2" borderId="0" xfId="0" applyNumberFormat="1" applyFont="1" applyFill="1" applyBorder="1"/>
    <xf numFmtId="4" fontId="8" fillId="0" borderId="0" xfId="0" applyNumberFormat="1" applyFont="1" applyBorder="1"/>
    <xf numFmtId="4" fontId="7" fillId="0" borderId="0" xfId="0" applyNumberFormat="1" applyFont="1" applyBorder="1"/>
    <xf numFmtId="4" fontId="7" fillId="0" borderId="0" xfId="0" applyNumberFormat="1" applyFont="1" applyBorder="1" applyAlignment="1">
      <alignment horizontal="right" vertical="center"/>
    </xf>
    <xf numFmtId="3" fontId="8" fillId="7" borderId="5" xfId="0" applyNumberFormat="1" applyFont="1" applyFill="1" applyBorder="1" applyAlignment="1">
      <alignment horizontal="justify" vertical="center"/>
    </xf>
    <xf numFmtId="4" fontId="8" fillId="7" borderId="6" xfId="0" applyNumberFormat="1" applyFont="1" applyFill="1" applyBorder="1" applyAlignment="1">
      <alignment horizontal="right" vertical="center"/>
    </xf>
    <xf numFmtId="3" fontId="7" fillId="0" borderId="17" xfId="0" applyNumberFormat="1" applyFont="1" applyBorder="1" applyAlignment="1">
      <alignment horizontal="justify" vertical="center"/>
    </xf>
    <xf numFmtId="4" fontId="7" fillId="0" borderId="0" xfId="0" applyNumberFormat="1" applyFont="1" applyBorder="1" applyAlignment="1">
      <alignment horizontal="right"/>
    </xf>
    <xf numFmtId="4" fontId="7" fillId="0" borderId="22" xfId="0" applyNumberFormat="1" applyFont="1" applyBorder="1" applyAlignment="1">
      <alignment horizontal="right"/>
    </xf>
    <xf numFmtId="3" fontId="7" fillId="0" borderId="23" xfId="0" applyNumberFormat="1" applyFont="1" applyBorder="1" applyAlignment="1">
      <alignment horizontal="justify" vertical="center"/>
    </xf>
    <xf numFmtId="4" fontId="7" fillId="0" borderId="22" xfId="0" applyNumberFormat="1" applyFont="1" applyBorder="1" applyAlignment="1">
      <alignment horizontal="right" vertical="center"/>
    </xf>
    <xf numFmtId="4" fontId="7" fillId="0" borderId="26" xfId="0" applyNumberFormat="1" applyFont="1" applyBorder="1"/>
    <xf numFmtId="0" fontId="7" fillId="0" borderId="26" xfId="0" applyFont="1" applyBorder="1"/>
    <xf numFmtId="4" fontId="7" fillId="0" borderId="53" xfId="0" applyNumberFormat="1" applyFont="1" applyBorder="1"/>
    <xf numFmtId="166" fontId="9" fillId="8" borderId="6" xfId="0" applyNumberFormat="1" applyFont="1" applyFill="1" applyBorder="1" applyAlignment="1">
      <alignment horizontal="center" vertical="center"/>
    </xf>
    <xf numFmtId="166" fontId="9" fillId="8" borderId="16" xfId="0" applyNumberFormat="1" applyFont="1" applyFill="1" applyBorder="1" applyAlignment="1">
      <alignment horizontal="center" vertical="center"/>
    </xf>
    <xf numFmtId="166" fontId="9" fillId="7" borderId="6" xfId="0" applyNumberFormat="1" applyFont="1" applyFill="1" applyBorder="1" applyAlignment="1">
      <alignment horizontal="center"/>
    </xf>
    <xf numFmtId="166" fontId="9" fillId="7" borderId="16" xfId="0" applyNumberFormat="1" applyFont="1" applyFill="1" applyBorder="1" applyAlignment="1">
      <alignment horizontal="center"/>
    </xf>
    <xf numFmtId="166" fontId="10" fillId="0" borderId="22" xfId="0" applyNumberFormat="1" applyFont="1" applyBorder="1" applyAlignment="1">
      <alignment horizontal="center"/>
    </xf>
    <xf numFmtId="4" fontId="10" fillId="0" borderId="22" xfId="0" applyNumberFormat="1" applyFont="1" applyBorder="1" applyAlignment="1">
      <alignment horizontal="right"/>
    </xf>
    <xf numFmtId="166" fontId="9" fillId="0" borderId="0" xfId="0" applyNumberFormat="1" applyFont="1" applyBorder="1" applyAlignment="1">
      <alignment horizontal="center"/>
    </xf>
    <xf numFmtId="0" fontId="14" fillId="0" borderId="0" xfId="0" applyFont="1"/>
    <xf numFmtId="0" fontId="15" fillId="0" borderId="0" xfId="0" applyFont="1" applyBorder="1" applyAlignment="1">
      <alignment horizontal="left"/>
    </xf>
    <xf numFmtId="4" fontId="15" fillId="0" borderId="0" xfId="4" applyNumberFormat="1" applyFont="1" applyBorder="1" applyAlignment="1">
      <alignment horizontal="right"/>
    </xf>
    <xf numFmtId="4" fontId="15" fillId="0" borderId="0" xfId="0" applyNumberFormat="1" applyFont="1" applyBorder="1" applyAlignment="1">
      <alignment horizontal="right"/>
    </xf>
    <xf numFmtId="4" fontId="15" fillId="0" borderId="0" xfId="0" applyNumberFormat="1" applyFont="1" applyAlignment="1">
      <alignment horizontal="right"/>
    </xf>
    <xf numFmtId="4" fontId="8" fillId="0" borderId="26" xfId="4" applyNumberFormat="1" applyFont="1" applyBorder="1" applyAlignment="1">
      <alignment horizontal="center"/>
    </xf>
    <xf numFmtId="0" fontId="39" fillId="9" borderId="2" xfId="0" applyFont="1" applyFill="1" applyBorder="1" applyAlignment="1">
      <alignment horizontal="center" vertical="center"/>
    </xf>
    <xf numFmtId="0" fontId="39" fillId="9" borderId="27" xfId="0" applyFont="1" applyFill="1" applyBorder="1" applyAlignment="1">
      <alignment horizontal="justify" vertical="center"/>
    </xf>
    <xf numFmtId="4" fontId="33" fillId="9" borderId="27" xfId="4" applyNumberFormat="1" applyFont="1" applyFill="1" applyBorder="1" applyAlignment="1">
      <alignment horizontal="center" vertical="center" wrapText="1"/>
    </xf>
    <xf numFmtId="4" fontId="33" fillId="9" borderId="27" xfId="0" applyNumberFormat="1" applyFont="1" applyFill="1" applyBorder="1" applyAlignment="1">
      <alignment horizontal="center" vertical="center"/>
    </xf>
    <xf numFmtId="4" fontId="33" fillId="9" borderId="3" xfId="0" applyNumberFormat="1" applyFont="1" applyFill="1" applyBorder="1" applyAlignment="1">
      <alignment horizontal="center" vertical="center"/>
    </xf>
    <xf numFmtId="3" fontId="8" fillId="0" borderId="2" xfId="0" applyNumberFormat="1" applyFont="1" applyFill="1" applyBorder="1" applyAlignment="1">
      <alignment horizontal="center" vertical="center"/>
    </xf>
    <xf numFmtId="3" fontId="8" fillId="0" borderId="0" xfId="0" applyNumberFormat="1" applyFont="1" applyFill="1" applyBorder="1" applyAlignment="1">
      <alignment vertical="center"/>
    </xf>
    <xf numFmtId="4" fontId="8" fillId="0" borderId="0" xfId="4" applyNumberFormat="1" applyFont="1" applyFill="1" applyBorder="1" applyAlignment="1">
      <alignment horizontal="center"/>
    </xf>
    <xf numFmtId="4" fontId="8" fillId="0" borderId="3" xfId="0" applyNumberFormat="1" applyFont="1" applyFill="1" applyBorder="1" applyAlignment="1">
      <alignment horizontal="center"/>
    </xf>
    <xf numFmtId="4" fontId="40" fillId="6" borderId="27" xfId="0" applyNumberFormat="1" applyFont="1" applyFill="1" applyBorder="1" applyAlignment="1">
      <alignment vertical="center"/>
    </xf>
    <xf numFmtId="4" fontId="40" fillId="6" borderId="3" xfId="0" applyNumberFormat="1" applyFont="1" applyFill="1" applyBorder="1" applyAlignment="1">
      <alignment vertical="center"/>
    </xf>
    <xf numFmtId="3" fontId="8" fillId="0" borderId="4" xfId="0" applyNumberFormat="1" applyFont="1" applyFill="1" applyBorder="1" applyAlignment="1">
      <alignment horizontal="center" vertical="center"/>
    </xf>
    <xf numFmtId="4" fontId="8" fillId="0" borderId="28" xfId="4" applyNumberFormat="1" applyFont="1" applyFill="1" applyBorder="1" applyAlignment="1">
      <alignment horizontal="center"/>
    </xf>
    <xf numFmtId="49" fontId="41" fillId="6" borderId="5" xfId="0" applyNumberFormat="1" applyFont="1" applyFill="1" applyBorder="1" applyAlignment="1">
      <alignment horizontal="left" vertical="center"/>
    </xf>
    <xf numFmtId="3" fontId="41" fillId="6" borderId="6" xfId="0" applyNumberFormat="1" applyFont="1" applyFill="1" applyBorder="1" applyAlignment="1">
      <alignment horizontal="left" vertical="center"/>
    </xf>
    <xf numFmtId="4" fontId="41" fillId="6" borderId="6" xfId="4" applyNumberFormat="1" applyFont="1" applyFill="1" applyBorder="1" applyAlignment="1">
      <alignment horizontal="right" vertical="center"/>
    </xf>
    <xf numFmtId="4" fontId="41" fillId="6" borderId="16" xfId="4" applyNumberFormat="1" applyFont="1" applyFill="1" applyBorder="1" applyAlignment="1">
      <alignment horizontal="right" vertical="center"/>
    </xf>
    <xf numFmtId="4" fontId="8" fillId="0" borderId="7" xfId="4" applyNumberFormat="1" applyFont="1" applyFill="1" applyBorder="1" applyAlignment="1">
      <alignment horizontal="center"/>
    </xf>
    <xf numFmtId="4" fontId="7" fillId="0" borderId="0" xfId="4" applyNumberFormat="1" applyFont="1" applyFill="1" applyBorder="1" applyAlignment="1">
      <alignment horizontal="right"/>
    </xf>
    <xf numFmtId="4" fontId="23" fillId="0" borderId="7" xfId="0" applyNumberFormat="1" applyFont="1" applyFill="1" applyBorder="1" applyAlignment="1">
      <alignment horizontal="right" vertical="center"/>
    </xf>
    <xf numFmtId="3" fontId="8" fillId="0" borderId="4" xfId="0" applyNumberFormat="1" applyFont="1" applyFill="1" applyBorder="1" applyAlignment="1">
      <alignment horizontal="left" vertical="center"/>
    </xf>
    <xf numFmtId="4" fontId="8" fillId="0" borderId="24" xfId="4" applyNumberFormat="1" applyFont="1" applyFill="1" applyBorder="1" applyAlignment="1">
      <alignment horizontal="right"/>
    </xf>
    <xf numFmtId="4" fontId="40" fillId="0" borderId="7" xfId="0" applyNumberFormat="1" applyFont="1" applyFill="1" applyBorder="1" applyAlignment="1">
      <alignment horizontal="right" vertical="center"/>
    </xf>
    <xf numFmtId="37" fontId="7" fillId="0" borderId="0" xfId="0" applyNumberFormat="1" applyFont="1"/>
    <xf numFmtId="170" fontId="7" fillId="0" borderId="0" xfId="0" applyNumberFormat="1" applyFont="1"/>
    <xf numFmtId="3" fontId="7" fillId="0" borderId="4" xfId="0" applyNumberFormat="1" applyFont="1" applyFill="1" applyBorder="1" applyAlignment="1">
      <alignment vertical="center"/>
    </xf>
    <xf numFmtId="4" fontId="8" fillId="0" borderId="19" xfId="4" applyNumberFormat="1" applyFont="1" applyFill="1" applyBorder="1" applyAlignment="1">
      <alignment horizontal="right"/>
    </xf>
    <xf numFmtId="49" fontId="8" fillId="6" borderId="5" xfId="0" applyNumberFormat="1" applyFont="1" applyFill="1" applyBorder="1" applyAlignment="1">
      <alignment horizontal="left" vertical="center"/>
    </xf>
    <xf numFmtId="3" fontId="8" fillId="6" borderId="6" xfId="0" applyNumberFormat="1" applyFont="1" applyFill="1" applyBorder="1" applyAlignment="1">
      <alignment horizontal="left" vertical="center"/>
    </xf>
    <xf numFmtId="4" fontId="8" fillId="6" borderId="6" xfId="4" applyNumberFormat="1" applyFont="1" applyFill="1" applyBorder="1" applyAlignment="1">
      <alignment horizontal="right" vertical="center"/>
    </xf>
    <xf numFmtId="4" fontId="8" fillId="6" borderId="16" xfId="4" applyNumberFormat="1" applyFont="1" applyFill="1" applyBorder="1" applyAlignment="1">
      <alignment horizontal="right" vertical="center"/>
    </xf>
    <xf numFmtId="4" fontId="8" fillId="0" borderId="0" xfId="4" applyNumberFormat="1" applyFont="1" applyFill="1" applyBorder="1" applyAlignment="1">
      <alignment horizontal="right"/>
    </xf>
    <xf numFmtId="4" fontId="8" fillId="0" borderId="7" xfId="4" applyNumberFormat="1" applyFont="1" applyFill="1" applyBorder="1" applyAlignment="1">
      <alignment horizontal="right"/>
    </xf>
    <xf numFmtId="4" fontId="23" fillId="0" borderId="7" xfId="4" applyNumberFormat="1" applyFont="1" applyFill="1" applyBorder="1" applyAlignment="1">
      <alignment horizontal="right" vertical="center"/>
    </xf>
    <xf numFmtId="4" fontId="7" fillId="0" borderId="7" xfId="0" applyNumberFormat="1" applyFont="1" applyFill="1" applyBorder="1" applyAlignment="1">
      <alignment horizontal="right"/>
    </xf>
    <xf numFmtId="4" fontId="40" fillId="6" borderId="27" xfId="0" applyNumberFormat="1" applyFont="1" applyFill="1" applyBorder="1" applyAlignment="1">
      <alignment horizontal="right" vertical="center"/>
    </xf>
    <xf numFmtId="4" fontId="40" fillId="6" borderId="3" xfId="0" applyNumberFormat="1" applyFont="1" applyFill="1" applyBorder="1" applyAlignment="1">
      <alignment horizontal="right" vertical="center"/>
    </xf>
    <xf numFmtId="0" fontId="7" fillId="0" borderId="4" xfId="0" applyFont="1" applyBorder="1" applyAlignment="1">
      <alignment horizontal="center" vertical="center"/>
    </xf>
    <xf numFmtId="0" fontId="7" fillId="0" borderId="0" xfId="0" applyFont="1" applyBorder="1" applyAlignment="1">
      <alignment horizontal="justify" vertical="center"/>
    </xf>
    <xf numFmtId="4" fontId="8" fillId="0" borderId="26" xfId="0" applyNumberFormat="1" applyFont="1" applyBorder="1" applyAlignment="1">
      <alignment vertical="center"/>
    </xf>
    <xf numFmtId="4" fontId="7" fillId="0" borderId="30" xfId="0" applyNumberFormat="1" applyFont="1" applyBorder="1" applyAlignment="1">
      <alignment horizontal="center" vertical="center"/>
    </xf>
    <xf numFmtId="0" fontId="7" fillId="11" borderId="2" xfId="0" applyFont="1" applyFill="1" applyBorder="1" applyAlignment="1">
      <alignment horizontal="center" vertical="center"/>
    </xf>
    <xf numFmtId="0" fontId="7" fillId="11" borderId="27" xfId="0" applyFont="1" applyFill="1" applyBorder="1" applyAlignment="1">
      <alignment horizontal="justify" vertical="center"/>
    </xf>
    <xf numFmtId="4" fontId="8" fillId="11" borderId="27" xfId="4" applyNumberFormat="1" applyFont="1" applyFill="1" applyBorder="1" applyAlignment="1">
      <alignment horizontal="center" vertical="center"/>
    </xf>
    <xf numFmtId="4" fontId="8" fillId="11" borderId="27" xfId="0" applyNumberFormat="1" applyFont="1" applyFill="1" applyBorder="1" applyAlignment="1">
      <alignment horizontal="center" vertical="center"/>
    </xf>
    <xf numFmtId="4" fontId="8" fillId="11" borderId="3" xfId="0" applyNumberFormat="1" applyFont="1" applyFill="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4" fontId="7" fillId="0" borderId="10" xfId="0" applyNumberFormat="1"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justify" vertical="center"/>
    </xf>
    <xf numFmtId="4" fontId="8" fillId="0" borderId="12" xfId="4" applyNumberFormat="1" applyFont="1" applyBorder="1" applyAlignment="1">
      <alignment horizontal="center" vertical="center"/>
    </xf>
    <xf numFmtId="4" fontId="8" fillId="0" borderId="12" xfId="0" applyNumberFormat="1" applyFont="1" applyBorder="1" applyAlignment="1">
      <alignment horizontal="center" vertical="center"/>
    </xf>
    <xf numFmtId="4" fontId="7" fillId="0" borderId="13" xfId="0" applyNumberFormat="1" applyFont="1" applyBorder="1" applyAlignment="1">
      <alignment horizontal="center" vertical="center"/>
    </xf>
    <xf numFmtId="3" fontId="8" fillId="8" borderId="29" xfId="0" applyNumberFormat="1" applyFont="1" applyFill="1" applyBorder="1" applyAlignment="1">
      <alignment horizontal="center" vertical="center"/>
    </xf>
    <xf numFmtId="3" fontId="8" fillId="8" borderId="27" xfId="0" applyNumberFormat="1" applyFont="1" applyFill="1" applyBorder="1" applyAlignment="1">
      <alignment horizontal="justify" vertical="center"/>
    </xf>
    <xf numFmtId="4" fontId="24" fillId="8" borderId="27" xfId="4" applyNumberFormat="1" applyFont="1" applyFill="1" applyBorder="1" applyAlignment="1">
      <alignment horizontal="center" vertical="center"/>
    </xf>
    <xf numFmtId="4" fontId="24" fillId="8" borderId="3" xfId="0" applyNumberFormat="1" applyFont="1" applyFill="1" applyBorder="1" applyAlignment="1">
      <alignment horizontal="center" vertical="center"/>
    </xf>
    <xf numFmtId="3" fontId="8" fillId="12" borderId="20" xfId="0" applyNumberFormat="1" applyFont="1" applyFill="1" applyBorder="1" applyAlignment="1">
      <alignment horizontal="center" vertical="center"/>
    </xf>
    <xf numFmtId="3" fontId="8" fillId="12" borderId="15" xfId="0" applyNumberFormat="1" applyFont="1" applyFill="1" applyBorder="1" applyAlignment="1">
      <alignment horizontal="justify" vertical="center"/>
    </xf>
    <xf numFmtId="4" fontId="8" fillId="12" borderId="15" xfId="0" applyNumberFormat="1" applyFont="1" applyFill="1" applyBorder="1" applyAlignment="1">
      <alignment horizontal="right" vertical="center"/>
    </xf>
    <xf numFmtId="4" fontId="8" fillId="12" borderId="31" xfId="0" applyNumberFormat="1" applyFont="1" applyFill="1" applyBorder="1" applyAlignment="1">
      <alignment horizontal="right" vertical="center"/>
    </xf>
    <xf numFmtId="3" fontId="8" fillId="0" borderId="5" xfId="0" applyNumberFormat="1" applyFont="1" applyFill="1" applyBorder="1" applyAlignment="1">
      <alignment horizontal="center" vertical="center"/>
    </xf>
    <xf numFmtId="3" fontId="8" fillId="0" borderId="6" xfId="0" applyNumberFormat="1" applyFont="1" applyFill="1" applyBorder="1" applyAlignment="1">
      <alignment horizontal="justify" vertical="center"/>
    </xf>
    <xf numFmtId="4" fontId="8" fillId="0" borderId="6" xfId="0" applyNumberFormat="1" applyFont="1" applyFill="1" applyBorder="1" applyAlignment="1">
      <alignment horizontal="right" vertical="center"/>
    </xf>
    <xf numFmtId="4" fontId="8" fillId="0" borderId="16" xfId="0" applyNumberFormat="1" applyFont="1" applyFill="1" applyBorder="1" applyAlignment="1">
      <alignment horizontal="right" vertical="center"/>
    </xf>
    <xf numFmtId="49" fontId="8" fillId="7" borderId="5" xfId="0" applyNumberFormat="1" applyFont="1" applyFill="1" applyBorder="1" applyAlignment="1">
      <alignment horizontal="center" vertical="center"/>
    </xf>
    <xf numFmtId="3" fontId="8" fillId="7" borderId="6" xfId="0" applyNumberFormat="1" applyFont="1" applyFill="1" applyBorder="1" applyAlignment="1">
      <alignment horizontal="justify" vertical="center"/>
    </xf>
    <xf numFmtId="4" fontId="8" fillId="7" borderId="6" xfId="4" applyNumberFormat="1" applyFont="1" applyFill="1" applyBorder="1" applyAlignment="1">
      <alignment horizontal="right" vertical="center"/>
    </xf>
    <xf numFmtId="4" fontId="8" fillId="7" borderId="16" xfId="0" applyNumberFormat="1" applyFont="1" applyFill="1" applyBorder="1" applyAlignment="1">
      <alignment horizontal="right" vertical="center"/>
    </xf>
    <xf numFmtId="49" fontId="8" fillId="0" borderId="5" xfId="0" applyNumberFormat="1" applyFont="1" applyFill="1" applyBorder="1" applyAlignment="1">
      <alignment horizontal="center" vertical="center"/>
    </xf>
    <xf numFmtId="49" fontId="7" fillId="0" borderId="20" xfId="0" applyNumberFormat="1" applyFont="1" applyBorder="1" applyAlignment="1">
      <alignment horizontal="center" vertical="center"/>
    </xf>
    <xf numFmtId="3" fontId="7" fillId="0" borderId="15" xfId="0" applyNumberFormat="1" applyFont="1" applyBorder="1" applyAlignment="1">
      <alignment horizontal="justify" vertical="center"/>
    </xf>
    <xf numFmtId="4" fontId="7" fillId="0" borderId="15" xfId="0" applyNumberFormat="1" applyFont="1" applyBorder="1" applyAlignment="1">
      <alignment horizontal="right" vertical="center"/>
    </xf>
    <xf numFmtId="4" fontId="7" fillId="0" borderId="31" xfId="0" applyNumberFormat="1" applyFont="1" applyBorder="1" applyAlignment="1">
      <alignment horizontal="right" vertical="center"/>
    </xf>
    <xf numFmtId="49" fontId="7" fillId="0" borderId="5" xfId="0" applyNumberFormat="1" applyFont="1" applyFill="1" applyBorder="1" applyAlignment="1">
      <alignment horizontal="center" vertical="center"/>
    </xf>
    <xf numFmtId="3" fontId="7" fillId="0" borderId="6" xfId="0" applyNumberFormat="1" applyFont="1" applyFill="1" applyBorder="1" applyAlignment="1">
      <alignment horizontal="justify" vertical="center"/>
    </xf>
    <xf numFmtId="4" fontId="7" fillId="0" borderId="6" xfId="0" applyNumberFormat="1" applyFont="1" applyFill="1" applyBorder="1" applyAlignment="1">
      <alignment horizontal="right" vertical="center"/>
    </xf>
    <xf numFmtId="4" fontId="7" fillId="0" borderId="16" xfId="0" applyNumberFormat="1" applyFont="1" applyFill="1" applyBorder="1" applyAlignment="1">
      <alignment horizontal="right" vertical="center"/>
    </xf>
    <xf numFmtId="49" fontId="7" fillId="0" borderId="20" xfId="0" applyNumberFormat="1" applyFont="1" applyBorder="1" applyAlignment="1" applyProtection="1">
      <alignment horizontal="center" vertical="center"/>
      <protection locked="0"/>
    </xf>
    <xf numFmtId="3" fontId="7" fillId="0" borderId="15" xfId="0" applyNumberFormat="1" applyFont="1" applyBorder="1" applyAlignment="1" applyProtection="1">
      <alignment horizontal="justify" vertical="center"/>
      <protection locked="0"/>
    </xf>
    <xf numFmtId="49" fontId="7" fillId="0" borderId="5" xfId="0" applyNumberFormat="1" applyFont="1" applyFill="1" applyBorder="1" applyAlignment="1" applyProtection="1">
      <alignment horizontal="center" vertical="center"/>
      <protection locked="0"/>
    </xf>
    <xf numFmtId="3" fontId="7" fillId="0" borderId="6" xfId="0" applyNumberFormat="1" applyFont="1" applyFill="1" applyBorder="1" applyAlignment="1" applyProtection="1">
      <alignment horizontal="justify" vertical="center"/>
      <protection locked="0"/>
    </xf>
    <xf numFmtId="4" fontId="7" fillId="0" borderId="6" xfId="0" applyNumberFormat="1" applyFont="1" applyFill="1" applyBorder="1" applyAlignment="1" applyProtection="1">
      <alignment horizontal="right" vertical="center"/>
      <protection locked="0"/>
    </xf>
    <xf numFmtId="4" fontId="7" fillId="0" borderId="16" xfId="0" applyNumberFormat="1" applyFont="1" applyFill="1" applyBorder="1" applyAlignment="1" applyProtection="1">
      <alignment horizontal="right" vertical="center"/>
      <protection locked="0"/>
    </xf>
    <xf numFmtId="4" fontId="8" fillId="0" borderId="0" xfId="0" applyNumberFormat="1" applyFont="1" applyFill="1" applyBorder="1" applyAlignment="1">
      <alignment horizontal="right" vertical="center"/>
    </xf>
    <xf numFmtId="4" fontId="7" fillId="0" borderId="16" xfId="0" applyNumberFormat="1" applyFont="1" applyBorder="1" applyAlignment="1">
      <alignment horizontal="right" vertical="center"/>
    </xf>
    <xf numFmtId="3" fontId="7" fillId="0" borderId="20" xfId="0" applyNumberFormat="1" applyFont="1" applyBorder="1" applyAlignment="1">
      <alignment horizontal="center" vertical="center"/>
    </xf>
    <xf numFmtId="3" fontId="7" fillId="0" borderId="5" xfId="0" applyNumberFormat="1" applyFont="1" applyFill="1" applyBorder="1" applyAlignment="1">
      <alignment horizontal="center" vertical="center"/>
    </xf>
    <xf numFmtId="3" fontId="8" fillId="7" borderId="6" xfId="0" applyNumberFormat="1" applyFont="1" applyFill="1" applyBorder="1" applyAlignment="1">
      <alignment horizontal="left" vertical="center"/>
    </xf>
    <xf numFmtId="3" fontId="7" fillId="0" borderId="15" xfId="0" applyNumberFormat="1" applyFont="1" applyBorder="1" applyAlignment="1">
      <alignment horizontal="justify" vertical="top"/>
    </xf>
    <xf numFmtId="3" fontId="7" fillId="0" borderId="20" xfId="0" applyNumberFormat="1" applyFont="1" applyBorder="1" applyAlignment="1" applyProtection="1">
      <alignment horizontal="center" vertical="center"/>
      <protection locked="0"/>
    </xf>
    <xf numFmtId="3" fontId="7" fillId="0" borderId="23" xfId="0" applyNumberFormat="1" applyFont="1" applyBorder="1" applyAlignment="1" applyProtection="1">
      <alignment horizontal="center" vertical="center"/>
      <protection locked="0"/>
    </xf>
    <xf numFmtId="3" fontId="7" fillId="0" borderId="22" xfId="0" applyNumberFormat="1" applyFont="1" applyBorder="1" applyAlignment="1" applyProtection="1">
      <alignment horizontal="justify" vertical="center"/>
      <protection locked="0"/>
    </xf>
    <xf numFmtId="4" fontId="7" fillId="0" borderId="22" xfId="0" applyNumberFormat="1" applyFont="1" applyBorder="1" applyAlignment="1" applyProtection="1">
      <alignment horizontal="right" vertical="center"/>
      <protection locked="0"/>
    </xf>
    <xf numFmtId="4" fontId="7" fillId="0" borderId="24" xfId="0" applyNumberFormat="1" applyFont="1" applyBorder="1" applyAlignment="1" applyProtection="1">
      <alignment horizontal="right" vertical="center"/>
      <protection locked="0"/>
    </xf>
    <xf numFmtId="3" fontId="8" fillId="8" borderId="2" xfId="0" applyNumberFormat="1" applyFont="1" applyFill="1" applyBorder="1" applyAlignment="1">
      <alignment horizontal="center" vertical="center"/>
    </xf>
    <xf numFmtId="4" fontId="24" fillId="8" borderId="27" xfId="4" applyNumberFormat="1" applyFont="1" applyFill="1" applyBorder="1" applyAlignment="1">
      <alignment horizontal="right" vertical="center"/>
    </xf>
    <xf numFmtId="4" fontId="24" fillId="8" borderId="27" xfId="0" applyNumberFormat="1" applyFont="1" applyFill="1" applyBorder="1" applyAlignment="1">
      <alignment horizontal="right" vertical="center"/>
    </xf>
    <xf numFmtId="4" fontId="24" fillId="8" borderId="3" xfId="0" applyNumberFormat="1" applyFont="1" applyFill="1" applyBorder="1" applyAlignment="1">
      <alignment horizontal="right" vertical="center"/>
    </xf>
    <xf numFmtId="3" fontId="8" fillId="0" borderId="17" xfId="0" applyNumberFormat="1" applyFont="1" applyFill="1" applyBorder="1" applyAlignment="1">
      <alignment horizontal="center" vertical="center"/>
    </xf>
    <xf numFmtId="3" fontId="8" fillId="0" borderId="18" xfId="0" applyNumberFormat="1" applyFont="1" applyFill="1" applyBorder="1" applyAlignment="1">
      <alignment horizontal="justify" vertical="center"/>
    </xf>
    <xf numFmtId="4" fontId="8" fillId="0" borderId="18" xfId="0" applyNumberFormat="1" applyFont="1" applyFill="1" applyBorder="1" applyAlignment="1">
      <alignment horizontal="right" vertical="center"/>
    </xf>
    <xf numFmtId="4" fontId="8" fillId="0" borderId="19" xfId="0" applyNumberFormat="1" applyFont="1" applyFill="1" applyBorder="1" applyAlignment="1">
      <alignment horizontal="right" vertical="center"/>
    </xf>
    <xf numFmtId="3" fontId="7" fillId="20" borderId="20" xfId="0" applyNumberFormat="1" applyFont="1" applyFill="1" applyBorder="1" applyAlignment="1">
      <alignment horizontal="center" vertical="center"/>
    </xf>
    <xf numFmtId="3" fontId="7" fillId="0" borderId="5" xfId="0" applyNumberFormat="1" applyFont="1" applyFill="1" applyBorder="1" applyAlignment="1" applyProtection="1">
      <alignment horizontal="center" vertical="center"/>
      <protection locked="0"/>
    </xf>
    <xf numFmtId="0" fontId="7" fillId="0" borderId="15" xfId="0" applyFont="1" applyBorder="1" applyAlignment="1" applyProtection="1">
      <alignment horizontal="justify" vertical="center"/>
      <protection locked="0"/>
    </xf>
    <xf numFmtId="3" fontId="7" fillId="0" borderId="20" xfId="0" applyNumberFormat="1" applyFont="1" applyFill="1" applyBorder="1" applyAlignment="1">
      <alignment horizontal="center" vertical="center"/>
    </xf>
    <xf numFmtId="3" fontId="7" fillId="0" borderId="20" xfId="0" applyNumberFormat="1" applyFont="1" applyFill="1" applyBorder="1" applyAlignment="1" applyProtection="1">
      <alignment horizontal="center" vertical="center"/>
      <protection locked="0"/>
    </xf>
    <xf numFmtId="3" fontId="7" fillId="0" borderId="23" xfId="0" applyNumberFormat="1" applyFont="1" applyFill="1" applyBorder="1" applyAlignment="1">
      <alignment horizontal="center" vertical="center"/>
    </xf>
    <xf numFmtId="3" fontId="7" fillId="0" borderId="22" xfId="0" applyNumberFormat="1" applyFont="1" applyFill="1" applyBorder="1" applyAlignment="1">
      <alignment horizontal="justify" vertical="center"/>
    </xf>
    <xf numFmtId="4" fontId="7" fillId="0" borderId="22" xfId="0" applyNumberFormat="1" applyFont="1" applyFill="1" applyBorder="1" applyAlignment="1">
      <alignment horizontal="right" vertical="center"/>
    </xf>
    <xf numFmtId="4" fontId="7" fillId="0" borderId="24" xfId="0" applyNumberFormat="1" applyFont="1" applyFill="1" applyBorder="1" applyAlignment="1">
      <alignment horizontal="right" vertical="center"/>
    </xf>
    <xf numFmtId="3" fontId="7" fillId="0" borderId="15" xfId="0" applyNumberFormat="1" applyFont="1" applyFill="1" applyBorder="1" applyAlignment="1">
      <alignment horizontal="justify" vertical="center"/>
    </xf>
    <xf numFmtId="3" fontId="7" fillId="0" borderId="23" xfId="0" applyNumberFormat="1" applyFont="1" applyBorder="1" applyAlignment="1">
      <alignment horizontal="center" vertical="center"/>
    </xf>
    <xf numFmtId="4" fontId="7" fillId="0" borderId="24" xfId="0" applyNumberFormat="1" applyFont="1" applyBorder="1" applyAlignment="1">
      <alignment horizontal="right" vertical="center"/>
    </xf>
    <xf numFmtId="3" fontId="7" fillId="0" borderId="5" xfId="0" applyNumberFormat="1" applyFont="1" applyBorder="1" applyAlignment="1">
      <alignment horizontal="center" vertical="center"/>
    </xf>
    <xf numFmtId="3" fontId="7" fillId="0" borderId="6" xfId="0" applyNumberFormat="1" applyFont="1" applyBorder="1" applyAlignment="1">
      <alignment horizontal="justify" vertical="center"/>
    </xf>
    <xf numFmtId="4" fontId="7" fillId="0" borderId="6" xfId="0" applyNumberFormat="1" applyFont="1" applyBorder="1" applyAlignment="1">
      <alignment horizontal="right" vertical="center"/>
    </xf>
    <xf numFmtId="4" fontId="24" fillId="8" borderId="3" xfId="4" applyNumberFormat="1" applyFont="1" applyFill="1" applyBorder="1" applyAlignment="1">
      <alignment horizontal="right" vertical="center"/>
    </xf>
    <xf numFmtId="4" fontId="8" fillId="7" borderId="16" xfId="4" applyNumberFormat="1" applyFont="1" applyFill="1" applyBorder="1" applyAlignment="1">
      <alignment horizontal="right" vertical="center"/>
    </xf>
    <xf numFmtId="0" fontId="7" fillId="0" borderId="20" xfId="0" applyFont="1" applyBorder="1" applyAlignment="1" applyProtection="1">
      <alignment horizontal="center" vertical="center"/>
      <protection locked="0"/>
    </xf>
    <xf numFmtId="0" fontId="7" fillId="0" borderId="5" xfId="0" applyFont="1" applyFill="1" applyBorder="1" applyAlignment="1" applyProtection="1">
      <alignment horizontal="center" vertical="center"/>
      <protection locked="0"/>
    </xf>
    <xf numFmtId="0" fontId="7" fillId="0" borderId="6" xfId="0" applyFont="1" applyFill="1" applyBorder="1" applyAlignment="1" applyProtection="1">
      <alignment horizontal="justify" vertical="center"/>
      <protection locked="0"/>
    </xf>
    <xf numFmtId="3" fontId="7" fillId="0" borderId="54" xfId="0" applyNumberFormat="1" applyFont="1" applyBorder="1" applyAlignment="1" applyProtection="1">
      <alignment horizontal="center" vertical="center"/>
      <protection locked="0"/>
    </xf>
    <xf numFmtId="3" fontId="7" fillId="0" borderId="55" xfId="0" applyNumberFormat="1" applyFont="1" applyBorder="1" applyAlignment="1" applyProtection="1">
      <alignment horizontal="justify" vertical="center"/>
      <protection locked="0"/>
    </xf>
    <xf numFmtId="4" fontId="7" fillId="0" borderId="56" xfId="0" applyNumberFormat="1" applyFont="1" applyBorder="1" applyAlignment="1">
      <alignment horizontal="right" vertical="center"/>
    </xf>
    <xf numFmtId="3" fontId="7" fillId="0" borderId="4" xfId="0" applyNumberFormat="1" applyFont="1" applyFill="1" applyBorder="1" applyAlignment="1" applyProtection="1">
      <alignment horizontal="center" vertical="center"/>
      <protection locked="0"/>
    </xf>
    <xf numFmtId="3" fontId="7" fillId="0" borderId="0" xfId="0" applyNumberFormat="1" applyFont="1" applyFill="1" applyBorder="1" applyAlignment="1" applyProtection="1">
      <alignment horizontal="justify" vertical="center"/>
      <protection locked="0"/>
    </xf>
    <xf numFmtId="4" fontId="7" fillId="0" borderId="0" xfId="0" applyNumberFormat="1" applyFont="1" applyFill="1" applyBorder="1" applyAlignment="1" applyProtection="1">
      <alignment horizontal="right" vertical="center"/>
      <protection locked="0"/>
    </xf>
    <xf numFmtId="4" fontId="7" fillId="0" borderId="7" xfId="0" applyNumberFormat="1" applyFont="1" applyFill="1" applyBorder="1" applyAlignment="1" applyProtection="1">
      <alignment horizontal="right" vertical="center"/>
      <protection locked="0"/>
    </xf>
    <xf numFmtId="0" fontId="7" fillId="0" borderId="15" xfId="0" applyFont="1" applyBorder="1" applyAlignment="1">
      <alignment horizontal="justify" vertical="center"/>
    </xf>
    <xf numFmtId="4" fontId="7" fillId="0" borderId="0" xfId="4" applyNumberFormat="1" applyFont="1"/>
    <xf numFmtId="9" fontId="10" fillId="0" borderId="0" xfId="0" applyNumberFormat="1" applyFont="1" applyBorder="1" applyAlignment="1"/>
    <xf numFmtId="14" fontId="7" fillId="0" borderId="0" xfId="0" applyNumberFormat="1" applyFont="1"/>
    <xf numFmtId="0" fontId="33" fillId="9" borderId="2" xfId="0" applyFont="1" applyFill="1" applyBorder="1"/>
    <xf numFmtId="0" fontId="33" fillId="9" borderId="27" xfId="0" applyFont="1" applyFill="1" applyBorder="1" applyAlignment="1">
      <alignment horizontal="left" vertical="center"/>
    </xf>
    <xf numFmtId="0" fontId="8" fillId="0" borderId="27" xfId="0" applyFont="1" applyBorder="1" applyAlignment="1">
      <alignment horizontal="center"/>
    </xf>
    <xf numFmtId="4" fontId="8" fillId="0" borderId="0" xfId="0" applyNumberFormat="1" applyFont="1" applyBorder="1" applyAlignment="1">
      <alignment horizontal="center"/>
    </xf>
    <xf numFmtId="3" fontId="8" fillId="21" borderId="2" xfId="0" applyNumberFormat="1" applyFont="1" applyFill="1" applyBorder="1" applyAlignment="1">
      <alignment horizontal="center" vertical="center"/>
    </xf>
    <xf numFmtId="3" fontId="8" fillId="21" borderId="27" xfId="0" applyNumberFormat="1" applyFont="1" applyFill="1" applyBorder="1" applyAlignment="1">
      <alignment vertical="center"/>
    </xf>
    <xf numFmtId="4" fontId="8" fillId="21" borderId="27" xfId="0" applyNumberFormat="1" applyFont="1" applyFill="1" applyBorder="1" applyAlignment="1">
      <alignment horizontal="center" vertical="center" wrapText="1"/>
    </xf>
    <xf numFmtId="4" fontId="8" fillId="21" borderId="3" xfId="0" applyNumberFormat="1" applyFont="1" applyFill="1" applyBorder="1" applyAlignment="1">
      <alignment horizontal="center" vertical="center"/>
    </xf>
    <xf numFmtId="0" fontId="8" fillId="0" borderId="29" xfId="0" applyFont="1" applyBorder="1" applyAlignment="1">
      <alignment horizontal="center"/>
    </xf>
    <xf numFmtId="0" fontId="8" fillId="0" borderId="26" xfId="0" applyFont="1" applyBorder="1" applyAlignment="1">
      <alignment horizontal="center"/>
    </xf>
    <xf numFmtId="4" fontId="8" fillId="0" borderId="7" xfId="0" applyNumberFormat="1" applyFont="1" applyBorder="1" applyAlignment="1">
      <alignment horizontal="center"/>
    </xf>
    <xf numFmtId="4" fontId="24" fillId="8" borderId="27" xfId="0" applyNumberFormat="1" applyFont="1" applyFill="1" applyBorder="1" applyAlignment="1">
      <alignment horizontal="center" vertical="center"/>
    </xf>
    <xf numFmtId="3" fontId="8" fillId="2" borderId="4" xfId="0" applyNumberFormat="1" applyFont="1" applyFill="1" applyBorder="1" applyAlignment="1">
      <alignment horizontal="center" vertical="center"/>
    </xf>
    <xf numFmtId="4" fontId="24" fillId="2" borderId="0" xfId="0" applyNumberFormat="1" applyFont="1" applyFill="1" applyBorder="1" applyAlignment="1">
      <alignment horizontal="center" vertical="center"/>
    </xf>
    <xf numFmtId="4" fontId="24" fillId="2" borderId="28" xfId="0" applyNumberFormat="1" applyFont="1" applyFill="1" applyBorder="1" applyAlignment="1">
      <alignment horizontal="center" vertical="center"/>
    </xf>
    <xf numFmtId="3" fontId="7" fillId="0" borderId="4" xfId="0" applyNumberFormat="1" applyFont="1" applyBorder="1" applyAlignment="1">
      <alignment horizontal="center" vertical="center"/>
    </xf>
    <xf numFmtId="4" fontId="7" fillId="0" borderId="0" xfId="0" applyNumberFormat="1" applyFont="1" applyBorder="1" applyAlignment="1">
      <alignment horizontal="justify" vertical="center"/>
    </xf>
    <xf numFmtId="4" fontId="23" fillId="0" borderId="7" xfId="0" applyNumberFormat="1" applyFont="1" applyBorder="1" applyAlignment="1">
      <alignment horizontal="justify" vertical="center"/>
    </xf>
    <xf numFmtId="3" fontId="8" fillId="4" borderId="5" xfId="0" applyNumberFormat="1" applyFont="1" applyFill="1" applyBorder="1" applyAlignment="1">
      <alignment horizontal="center" vertical="center"/>
    </xf>
    <xf numFmtId="3" fontId="8" fillId="4" borderId="6" xfId="0" applyNumberFormat="1" applyFont="1" applyFill="1" applyBorder="1" applyAlignment="1">
      <alignment horizontal="left" vertical="center"/>
    </xf>
    <xf numFmtId="4" fontId="8" fillId="4" borderId="6" xfId="0" applyNumberFormat="1" applyFont="1" applyFill="1" applyBorder="1" applyAlignment="1">
      <alignment horizontal="right" vertical="center"/>
    </xf>
    <xf numFmtId="4" fontId="8" fillId="4" borderId="16" xfId="0" applyNumberFormat="1" applyFont="1" applyFill="1" applyBorder="1" applyAlignment="1">
      <alignment horizontal="right" vertical="center"/>
    </xf>
    <xf numFmtId="49" fontId="7" fillId="0" borderId="5" xfId="0" applyNumberFormat="1" applyFont="1" applyBorder="1" applyAlignment="1">
      <alignment horizontal="center" vertical="center"/>
    </xf>
    <xf numFmtId="4" fontId="41" fillId="0" borderId="31" xfId="0" applyNumberFormat="1" applyFont="1" applyBorder="1" applyAlignment="1">
      <alignment horizontal="right" vertical="center"/>
    </xf>
    <xf numFmtId="4" fontId="23" fillId="0" borderId="16" xfId="0" applyNumberFormat="1" applyFont="1" applyBorder="1" applyAlignment="1">
      <alignment horizontal="right" vertical="center"/>
    </xf>
    <xf numFmtId="4" fontId="23" fillId="0" borderId="24" xfId="0" applyNumberFormat="1" applyFont="1" applyBorder="1" applyAlignment="1">
      <alignment horizontal="right" vertical="center"/>
    </xf>
    <xf numFmtId="4" fontId="23" fillId="0" borderId="31" xfId="0" applyNumberFormat="1" applyFont="1" applyBorder="1" applyAlignment="1">
      <alignment horizontal="right" vertical="center"/>
    </xf>
    <xf numFmtId="3" fontId="7" fillId="0" borderId="11" xfId="0" applyNumberFormat="1" applyFont="1" applyBorder="1" applyAlignment="1">
      <alignment horizontal="center" vertical="center"/>
    </xf>
    <xf numFmtId="4" fontId="7" fillId="0" borderId="12" xfId="0" applyNumberFormat="1" applyFont="1" applyBorder="1" applyAlignment="1">
      <alignment horizontal="right" vertical="center"/>
    </xf>
    <xf numFmtId="4" fontId="23" fillId="0" borderId="13" xfId="0" applyNumberFormat="1" applyFont="1" applyBorder="1" applyAlignment="1">
      <alignment horizontal="right" vertical="center"/>
    </xf>
    <xf numFmtId="4" fontId="7" fillId="0" borderId="7" xfId="0" applyNumberFormat="1" applyFont="1" applyBorder="1" applyAlignment="1">
      <alignment horizontal="right" vertical="center"/>
    </xf>
    <xf numFmtId="3" fontId="7" fillId="0" borderId="5" xfId="8" applyNumberFormat="1" applyFont="1" applyFill="1" applyBorder="1" applyAlignment="1">
      <alignment horizontal="center" vertical="center"/>
    </xf>
    <xf numFmtId="4" fontId="7" fillId="0" borderId="6" xfId="0" applyNumberFormat="1" applyFont="1" applyBorder="1" applyAlignment="1">
      <alignment horizontal="justify" vertical="center"/>
    </xf>
    <xf numFmtId="4" fontId="7" fillId="0" borderId="16" xfId="0" applyNumberFormat="1" applyFont="1" applyBorder="1" applyAlignment="1">
      <alignment horizontal="justify" vertical="center"/>
    </xf>
    <xf numFmtId="4" fontId="25" fillId="0" borderId="13" xfId="0" applyNumberFormat="1" applyFont="1" applyBorder="1" applyAlignment="1">
      <alignment horizontal="right" vertical="center"/>
    </xf>
    <xf numFmtId="0" fontId="7" fillId="0" borderId="11"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pplyProtection="1">
      <alignment horizontal="justify" vertical="center"/>
      <protection locked="0"/>
    </xf>
    <xf numFmtId="0" fontId="7" fillId="0" borderId="22" xfId="0" applyFont="1" applyFill="1" applyBorder="1" applyAlignment="1" applyProtection="1">
      <alignment horizontal="justify" vertical="center"/>
      <protection locked="0"/>
    </xf>
    <xf numFmtId="3" fontId="8" fillId="4" borderId="6" xfId="0" applyNumberFormat="1" applyFont="1" applyFill="1" applyBorder="1" applyAlignment="1">
      <alignment horizontal="justify" vertical="center"/>
    </xf>
    <xf numFmtId="0" fontId="7" fillId="0" borderId="6" xfId="0" applyFont="1" applyBorder="1" applyAlignment="1">
      <alignment horizontal="justify" vertical="center"/>
    </xf>
    <xf numFmtId="0" fontId="7" fillId="0" borderId="22" xfId="0" applyFont="1" applyBorder="1" applyAlignment="1">
      <alignment horizontal="justify" vertical="center"/>
    </xf>
    <xf numFmtId="3" fontId="7" fillId="0" borderId="25" xfId="0" applyNumberFormat="1" applyFont="1" applyBorder="1" applyAlignment="1">
      <alignment horizontal="justify" vertical="center"/>
    </xf>
    <xf numFmtId="3" fontId="14" fillId="0" borderId="11" xfId="0" applyNumberFormat="1" applyFont="1" applyBorder="1" applyAlignment="1">
      <alignment horizontal="center" vertical="center"/>
    </xf>
    <xf numFmtId="3" fontId="14" fillId="0" borderId="12" xfId="0" applyNumberFormat="1" applyFont="1" applyBorder="1" applyAlignment="1">
      <alignment horizontal="justify" vertical="center"/>
    </xf>
    <xf numFmtId="4" fontId="14" fillId="0" borderId="12" xfId="0" applyNumberFormat="1" applyFont="1" applyBorder="1" applyAlignment="1">
      <alignment horizontal="right" vertical="center"/>
    </xf>
    <xf numFmtId="4" fontId="14" fillId="0" borderId="13" xfId="0" applyNumberFormat="1" applyFont="1" applyBorder="1" applyAlignment="1">
      <alignment horizontal="right" vertical="center"/>
    </xf>
    <xf numFmtId="0" fontId="14" fillId="0" borderId="1" xfId="0" applyFont="1" applyBorder="1" applyAlignment="1">
      <alignment horizontal="center" vertical="center"/>
    </xf>
    <xf numFmtId="0" fontId="14" fillId="0" borderId="1" xfId="0" applyFont="1" applyBorder="1" applyAlignment="1">
      <alignment horizontal="justify" vertical="center"/>
    </xf>
    <xf numFmtId="4" fontId="14" fillId="0" borderId="1" xfId="0" applyNumberFormat="1" applyFont="1" applyBorder="1" applyAlignment="1">
      <alignment horizontal="right" vertical="center"/>
    </xf>
    <xf numFmtId="4" fontId="26" fillId="0" borderId="1" xfId="0" applyNumberFormat="1" applyFont="1" applyBorder="1" applyAlignment="1">
      <alignment horizontal="right" vertical="center"/>
    </xf>
    <xf numFmtId="0" fontId="7" fillId="0" borderId="1" xfId="0" applyFont="1" applyBorder="1" applyAlignment="1">
      <alignment horizontal="center"/>
    </xf>
    <xf numFmtId="0" fontId="15" fillId="0" borderId="1" xfId="0" applyFont="1" applyBorder="1" applyAlignment="1">
      <alignment horizontal="center"/>
    </xf>
    <xf numFmtId="0" fontId="8" fillId="8" borderId="36" xfId="0" applyFont="1" applyFill="1" applyBorder="1" applyAlignment="1">
      <alignment horizontal="center" vertical="center" wrapText="1"/>
    </xf>
    <xf numFmtId="0" fontId="8" fillId="8" borderId="36" xfId="0" applyFont="1" applyFill="1" applyBorder="1" applyAlignment="1">
      <alignment horizontal="center" vertical="center"/>
    </xf>
    <xf numFmtId="0" fontId="8" fillId="8" borderId="3" xfId="0" applyFont="1" applyFill="1" applyBorder="1" applyAlignment="1">
      <alignment horizontal="center" vertical="top" wrapText="1"/>
    </xf>
    <xf numFmtId="0" fontId="8" fillId="0" borderId="14" xfId="0" applyFont="1" applyBorder="1" applyAlignment="1">
      <alignment vertical="center"/>
    </xf>
    <xf numFmtId="0" fontId="8" fillId="0" borderId="10" xfId="0" applyFont="1" applyBorder="1" applyAlignment="1">
      <alignment vertical="center"/>
    </xf>
    <xf numFmtId="49" fontId="7" fillId="0" borderId="20" xfId="0" applyNumberFormat="1" applyFont="1" applyFill="1" applyBorder="1" applyAlignment="1">
      <alignment horizontal="center" vertical="center"/>
    </xf>
    <xf numFmtId="0" fontId="7" fillId="0" borderId="15" xfId="0" applyNumberFormat="1" applyFont="1" applyBorder="1" applyAlignment="1">
      <alignment horizontal="justify" vertical="center"/>
    </xf>
    <xf numFmtId="3" fontId="7" fillId="0" borderId="7" xfId="0" applyNumberFormat="1" applyFont="1" applyBorder="1" applyAlignment="1">
      <alignment horizontal="right" vertical="center"/>
    </xf>
    <xf numFmtId="3" fontId="7" fillId="0" borderId="7" xfId="0" applyNumberFormat="1" applyFont="1" applyBorder="1" applyAlignment="1">
      <alignment horizontal="distributed" vertical="center"/>
    </xf>
    <xf numFmtId="49" fontId="7" fillId="0" borderId="20" xfId="0" applyNumberFormat="1" applyFont="1" applyFill="1" applyBorder="1" applyAlignment="1" applyProtection="1">
      <alignment horizontal="center" vertical="center"/>
      <protection locked="0"/>
    </xf>
    <xf numFmtId="3" fontId="7" fillId="0" borderId="51" xfId="0" applyNumberFormat="1" applyFont="1" applyBorder="1" applyAlignment="1">
      <alignment vertical="top" wrapText="1"/>
    </xf>
    <xf numFmtId="0" fontId="7" fillId="0" borderId="39" xfId="0" applyFont="1" applyBorder="1" applyAlignment="1">
      <alignment horizontal="justify" vertical="center"/>
    </xf>
    <xf numFmtId="3" fontId="7" fillId="0" borderId="40" xfId="0" applyNumberFormat="1" applyFont="1" applyBorder="1" applyAlignment="1">
      <alignment vertical="top" wrapText="1"/>
    </xf>
    <xf numFmtId="3" fontId="7" fillId="0" borderId="38" xfId="0" applyNumberFormat="1" applyFont="1" applyBorder="1" applyAlignment="1">
      <alignment horizontal="center" vertical="center"/>
    </xf>
    <xf numFmtId="3" fontId="7" fillId="0" borderId="38" xfId="0" applyNumberFormat="1" applyFont="1" applyBorder="1" applyAlignment="1" applyProtection="1">
      <alignment horizontal="center" vertical="center"/>
      <protection locked="0"/>
    </xf>
    <xf numFmtId="3" fontId="7" fillId="0" borderId="19" xfId="0" applyNumberFormat="1" applyFont="1" applyBorder="1" applyAlignment="1">
      <alignment horizontal="right"/>
    </xf>
    <xf numFmtId="3" fontId="7" fillId="0" borderId="5" xfId="0" applyNumberFormat="1" applyFont="1" applyBorder="1" applyAlignment="1">
      <alignment horizontal="center" vertical="center" wrapText="1"/>
    </xf>
    <xf numFmtId="3" fontId="7" fillId="0" borderId="6" xfId="0" applyNumberFormat="1" applyFont="1" applyBorder="1" applyAlignment="1">
      <alignment horizontal="justify" vertical="center" wrapText="1"/>
    </xf>
    <xf numFmtId="3" fontId="7" fillId="0" borderId="16" xfId="0" applyNumberFormat="1" applyFont="1" applyBorder="1" applyAlignment="1">
      <alignment horizontal="right"/>
    </xf>
    <xf numFmtId="3" fontId="8" fillId="5" borderId="20" xfId="0" applyNumberFormat="1" applyFont="1" applyFill="1" applyBorder="1" applyAlignment="1">
      <alignment horizontal="center" vertical="center" wrapText="1"/>
    </xf>
    <xf numFmtId="3" fontId="24" fillId="5" borderId="21" xfId="0" applyNumberFormat="1" applyFont="1" applyFill="1" applyBorder="1" applyAlignment="1">
      <alignment horizontal="center" vertical="center" wrapText="1"/>
    </xf>
    <xf numFmtId="3" fontId="24" fillId="5" borderId="16" xfId="0" applyNumberFormat="1" applyFont="1" applyFill="1" applyBorder="1" applyAlignment="1">
      <alignment horizontal="right" vertical="center"/>
    </xf>
    <xf numFmtId="3" fontId="8" fillId="0" borderId="5" xfId="0" applyNumberFormat="1" applyFont="1" applyFill="1" applyBorder="1" applyAlignment="1">
      <alignment horizontal="center" vertical="center" wrapText="1"/>
    </xf>
    <xf numFmtId="3" fontId="24" fillId="0" borderId="6" xfId="0" applyNumberFormat="1" applyFont="1" applyFill="1" applyBorder="1" applyAlignment="1">
      <alignment horizontal="justify" vertical="center" wrapText="1"/>
    </xf>
    <xf numFmtId="3" fontId="24" fillId="0" borderId="16" xfId="0" applyNumberFormat="1" applyFont="1" applyFill="1" applyBorder="1" applyAlignment="1">
      <alignment horizontal="right" vertical="center"/>
    </xf>
    <xf numFmtId="3" fontId="8" fillId="22" borderId="20" xfId="0" applyNumberFormat="1" applyFont="1" applyFill="1" applyBorder="1" applyAlignment="1">
      <alignment horizontal="center" vertical="center" wrapText="1"/>
    </xf>
    <xf numFmtId="3" fontId="24" fillId="22" borderId="21" xfId="0" applyNumberFormat="1" applyFont="1" applyFill="1" applyBorder="1" applyAlignment="1">
      <alignment horizontal="justify" vertical="center" wrapText="1"/>
    </xf>
    <xf numFmtId="0" fontId="7" fillId="0" borderId="39" xfId="0" applyFont="1" applyBorder="1" applyAlignment="1">
      <alignment horizontal="justify" vertical="center" wrapText="1"/>
    </xf>
    <xf numFmtId="0" fontId="42" fillId="0" borderId="15" xfId="0" applyFont="1" applyBorder="1" applyAlignment="1">
      <alignment horizontal="justify" vertical="center" wrapText="1"/>
    </xf>
    <xf numFmtId="0" fontId="7" fillId="0" borderId="50" xfId="0" applyFont="1" applyBorder="1" applyAlignment="1">
      <alignment horizontal="justify" vertical="center"/>
    </xf>
    <xf numFmtId="3" fontId="7" fillId="0" borderId="57" xfId="0" applyNumberFormat="1" applyFont="1" applyBorder="1" applyAlignment="1">
      <alignment vertical="top" wrapText="1"/>
    </xf>
    <xf numFmtId="167" fontId="18" fillId="0" borderId="15" xfId="0" applyNumberFormat="1" applyFont="1" applyBorder="1" applyAlignment="1">
      <alignment horizontal="justify" vertical="center" wrapText="1"/>
    </xf>
    <xf numFmtId="167" fontId="18" fillId="0" borderId="39" xfId="0" applyNumberFormat="1" applyFont="1" applyBorder="1" applyAlignment="1">
      <alignment horizontal="justify" vertical="center" wrapText="1"/>
    </xf>
    <xf numFmtId="167" fontId="18" fillId="0" borderId="15" xfId="0" applyNumberFormat="1" applyFont="1" applyFill="1" applyBorder="1" applyAlignment="1">
      <alignment horizontal="justify" vertical="center" wrapText="1"/>
    </xf>
    <xf numFmtId="167" fontId="18" fillId="0" borderId="18" xfId="0" applyNumberFormat="1" applyFont="1" applyFill="1" applyBorder="1" applyAlignment="1">
      <alignment horizontal="justify" vertical="center" wrapText="1"/>
    </xf>
    <xf numFmtId="3" fontId="8" fillId="5" borderId="5" xfId="0" applyNumberFormat="1" applyFont="1" applyFill="1" applyBorder="1" applyAlignment="1">
      <alignment horizontal="center" vertical="center" wrapText="1"/>
    </xf>
    <xf numFmtId="3" fontId="24" fillId="5" borderId="6" xfId="0" applyNumberFormat="1" applyFont="1" applyFill="1" applyBorder="1" applyAlignment="1">
      <alignment horizontal="center" vertical="center" wrapText="1"/>
    </xf>
    <xf numFmtId="0" fontId="7" fillId="0" borderId="15" xfId="0" applyFont="1" applyFill="1" applyBorder="1" applyAlignment="1">
      <alignment horizontal="justify" vertical="center"/>
    </xf>
    <xf numFmtId="0" fontId="7" fillId="0" borderId="50" xfId="0" applyFont="1" applyBorder="1" applyAlignment="1">
      <alignment horizontal="justify" vertical="center" wrapText="1"/>
    </xf>
    <xf numFmtId="3" fontId="7" fillId="0" borderId="16" xfId="0" applyNumberFormat="1" applyFont="1" applyBorder="1" applyAlignment="1">
      <alignment horizontal="right" vertical="center"/>
    </xf>
    <xf numFmtId="3" fontId="8" fillId="0" borderId="23" xfId="0" applyNumberFormat="1" applyFont="1" applyFill="1" applyBorder="1" applyAlignment="1">
      <alignment horizontal="center" vertical="center" wrapText="1"/>
    </xf>
    <xf numFmtId="3" fontId="24" fillId="0" borderId="22" xfId="0" applyNumberFormat="1" applyFont="1" applyFill="1" applyBorder="1" applyAlignment="1">
      <alignment horizontal="justify" vertical="center" wrapText="1"/>
    </xf>
    <xf numFmtId="0" fontId="18" fillId="0" borderId="15" xfId="0" applyFont="1" applyBorder="1" applyAlignment="1">
      <alignment horizontal="justify" vertical="center" wrapText="1"/>
    </xf>
    <xf numFmtId="3" fontId="7" fillId="0" borderId="31" xfId="0" applyNumberFormat="1" applyFont="1" applyFill="1" applyBorder="1" applyAlignment="1">
      <alignment horizontal="left" vertical="top" wrapText="1"/>
    </xf>
    <xf numFmtId="0" fontId="7" fillId="0" borderId="18" xfId="0" applyFont="1" applyBorder="1" applyAlignment="1">
      <alignment horizontal="justify" vertical="center" wrapText="1"/>
    </xf>
    <xf numFmtId="3" fontId="7" fillId="0" borderId="15" xfId="0" applyNumberFormat="1" applyFont="1" applyBorder="1" applyAlignment="1">
      <alignment horizontal="justify" vertical="center" wrapText="1"/>
    </xf>
    <xf numFmtId="0" fontId="7" fillId="0" borderId="15" xfId="0" applyFont="1" applyFill="1" applyBorder="1" applyAlignment="1">
      <alignment horizontal="justify" vertical="center" wrapText="1"/>
    </xf>
    <xf numFmtId="0" fontId="18" fillId="0" borderId="39" xfId="0" applyFont="1" applyBorder="1" applyAlignment="1">
      <alignment horizontal="justify" vertical="center" wrapText="1"/>
    </xf>
    <xf numFmtId="0" fontId="18" fillId="18" borderId="15" xfId="0" applyFont="1" applyFill="1" applyBorder="1" applyAlignment="1">
      <alignment horizontal="justify" vertical="center" wrapText="1"/>
    </xf>
    <xf numFmtId="0" fontId="18" fillId="0" borderId="50" xfId="0" applyFont="1" applyBorder="1" applyAlignment="1">
      <alignment horizontal="justify" vertical="center" wrapText="1"/>
    </xf>
    <xf numFmtId="0" fontId="18" fillId="0" borderId="50" xfId="0" applyFont="1" applyFill="1" applyBorder="1" applyAlignment="1">
      <alignment horizontal="justify" vertical="center" wrapText="1"/>
    </xf>
    <xf numFmtId="3" fontId="7" fillId="22" borderId="16" xfId="0" applyNumberFormat="1" applyFont="1" applyFill="1" applyBorder="1" applyAlignment="1">
      <alignment horizontal="justify" vertical="center"/>
    </xf>
    <xf numFmtId="0" fontId="7" fillId="0" borderId="58" xfId="0" applyFont="1" applyBorder="1" applyAlignment="1">
      <alignment horizontal="justify" vertical="center"/>
    </xf>
    <xf numFmtId="0" fontId="7" fillId="0" borderId="5" xfId="0" applyFont="1" applyBorder="1" applyAlignment="1">
      <alignment horizontal="center" vertical="center" wrapText="1"/>
    </xf>
    <xf numFmtId="167" fontId="18" fillId="0" borderId="6" xfId="0" applyNumberFormat="1" applyFont="1" applyFill="1" applyBorder="1" applyAlignment="1">
      <alignment horizontal="justify" vertical="center" wrapText="1"/>
    </xf>
    <xf numFmtId="3" fontId="7" fillId="0" borderId="20" xfId="0" applyNumberFormat="1" applyFont="1" applyBorder="1" applyAlignment="1">
      <alignment horizontal="center" vertical="center" wrapText="1"/>
    </xf>
    <xf numFmtId="3" fontId="7" fillId="0" borderId="16" xfId="0" applyNumberFormat="1" applyFont="1" applyBorder="1" applyAlignment="1">
      <alignment horizontal="left" vertical="center" wrapText="1"/>
    </xf>
    <xf numFmtId="3" fontId="24" fillId="5" borderId="15" xfId="0" applyNumberFormat="1" applyFont="1" applyFill="1" applyBorder="1" applyAlignment="1">
      <alignment horizontal="center" vertical="center" wrapText="1"/>
    </xf>
    <xf numFmtId="3" fontId="24" fillId="5" borderId="16" xfId="0" applyNumberFormat="1" applyFont="1" applyFill="1" applyBorder="1" applyAlignment="1">
      <alignment horizontal="justify" vertical="center" wrapText="1"/>
    </xf>
    <xf numFmtId="3" fontId="7" fillId="0" borderId="12" xfId="0" applyNumberFormat="1" applyFont="1" applyBorder="1" applyAlignment="1">
      <alignment horizontal="right" vertical="center"/>
    </xf>
    <xf numFmtId="3" fontId="7" fillId="0" borderId="13" xfId="0" applyNumberFormat="1" applyFont="1" applyBorder="1" applyAlignment="1">
      <alignment horizontal="right" vertical="center"/>
    </xf>
    <xf numFmtId="0" fontId="8" fillId="3" borderId="2"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3" xfId="0" applyFont="1" applyFill="1" applyBorder="1" applyAlignment="1">
      <alignment vertical="center"/>
    </xf>
    <xf numFmtId="0" fontId="33" fillId="23" borderId="2" xfId="0" applyFont="1" applyFill="1" applyBorder="1" applyAlignment="1">
      <alignment horizontal="center" vertical="center"/>
    </xf>
    <xf numFmtId="0" fontId="33" fillId="23" borderId="27" xfId="0" applyFont="1" applyFill="1" applyBorder="1" applyAlignment="1">
      <alignment horizontal="center" vertical="center"/>
    </xf>
    <xf numFmtId="0" fontId="7" fillId="23" borderId="3" xfId="0" applyFont="1" applyFill="1" applyBorder="1"/>
    <xf numFmtId="0" fontId="8" fillId="22" borderId="7" xfId="0" applyFont="1" applyFill="1" applyBorder="1" applyAlignment="1">
      <alignment vertical="center"/>
    </xf>
    <xf numFmtId="3" fontId="7" fillId="0" borderId="7" xfId="0" applyNumberFormat="1" applyFont="1" applyBorder="1" applyAlignment="1">
      <alignment horizontal="right"/>
    </xf>
    <xf numFmtId="3" fontId="7" fillId="0" borderId="51" xfId="0" applyNumberFormat="1" applyFont="1" applyBorder="1" applyAlignment="1">
      <alignment horizontal="right"/>
    </xf>
    <xf numFmtId="3" fontId="24" fillId="22" borderId="6" xfId="0" applyNumberFormat="1" applyFont="1" applyFill="1" applyBorder="1" applyAlignment="1">
      <alignment horizontal="justify" vertical="center" wrapText="1"/>
    </xf>
    <xf numFmtId="3" fontId="7" fillId="0" borderId="38" xfId="0" applyNumberFormat="1" applyFont="1" applyFill="1" applyBorder="1" applyAlignment="1" applyProtection="1">
      <alignment horizontal="center" vertical="center"/>
      <protection locked="0"/>
    </xf>
    <xf numFmtId="3" fontId="7" fillId="0" borderId="7" xfId="0" applyNumberFormat="1" applyFont="1" applyBorder="1" applyAlignment="1">
      <alignment horizontal="justify" vertical="center"/>
    </xf>
    <xf numFmtId="3" fontId="7" fillId="0" borderId="50" xfId="0" applyNumberFormat="1" applyFont="1" applyBorder="1" applyAlignment="1" applyProtection="1">
      <alignment horizontal="justify" vertical="center" wrapText="1"/>
      <protection locked="0"/>
    </xf>
    <xf numFmtId="3" fontId="7" fillId="0" borderId="7" xfId="0" applyNumberFormat="1" applyFont="1" applyBorder="1" applyAlignment="1">
      <alignment horizontal="left" vertical="center" wrapText="1"/>
    </xf>
    <xf numFmtId="0" fontId="7" fillId="0" borderId="15" xfId="0" applyFont="1" applyBorder="1"/>
    <xf numFmtId="3" fontId="24" fillId="22" borderId="32" xfId="0" applyNumberFormat="1" applyFont="1" applyFill="1" applyBorder="1" applyAlignment="1">
      <alignment horizontal="right" vertical="center"/>
    </xf>
    <xf numFmtId="3" fontId="24" fillId="22" borderId="22" xfId="0" applyNumberFormat="1" applyFont="1" applyFill="1" applyBorder="1" applyAlignment="1">
      <alignment horizontal="justify" vertical="center" wrapText="1"/>
    </xf>
    <xf numFmtId="3" fontId="24" fillId="22" borderId="24" xfId="0" applyNumberFormat="1" applyFont="1" applyFill="1" applyBorder="1" applyAlignment="1">
      <alignment horizontal="right" vertical="center"/>
    </xf>
    <xf numFmtId="0" fontId="7" fillId="0" borderId="20" xfId="0" applyFont="1" applyFill="1" applyBorder="1" applyAlignment="1" applyProtection="1">
      <alignment horizontal="center" vertical="center"/>
      <protection locked="0"/>
    </xf>
    <xf numFmtId="3" fontId="7" fillId="0" borderId="4" xfId="0" applyNumberFormat="1" applyFont="1" applyFill="1" applyBorder="1" applyAlignment="1">
      <alignment horizontal="center" vertical="center"/>
    </xf>
    <xf numFmtId="0" fontId="18" fillId="0" borderId="0" xfId="0" applyFont="1" applyBorder="1" applyAlignment="1">
      <alignment horizontal="justify" vertical="center" wrapText="1"/>
    </xf>
    <xf numFmtId="3" fontId="8" fillId="5" borderId="59" xfId="0" applyNumberFormat="1" applyFont="1" applyFill="1" applyBorder="1" applyAlignment="1">
      <alignment horizontal="center" vertical="center" wrapText="1"/>
    </xf>
    <xf numFmtId="3" fontId="24" fillId="5" borderId="33" xfId="0" applyNumberFormat="1" applyFont="1" applyFill="1" applyBorder="1" applyAlignment="1">
      <alignment horizontal="center" vertical="center" wrapText="1"/>
    </xf>
    <xf numFmtId="3" fontId="24" fillId="5" borderId="3" xfId="0" applyNumberFormat="1" applyFont="1" applyFill="1" applyBorder="1" applyAlignment="1">
      <alignment horizontal="right" vertical="center"/>
    </xf>
    <xf numFmtId="3" fontId="8" fillId="0" borderId="17" xfId="0" applyNumberFormat="1" applyFont="1" applyFill="1" applyBorder="1" applyAlignment="1">
      <alignment horizontal="center" vertical="center" wrapText="1"/>
    </xf>
    <xf numFmtId="3" fontId="24" fillId="0" borderId="18" xfId="0" applyNumberFormat="1" applyFont="1" applyFill="1" applyBorder="1" applyAlignment="1">
      <alignment horizontal="justify" vertical="center" wrapText="1"/>
    </xf>
    <xf numFmtId="3" fontId="24" fillId="0" borderId="19" xfId="0" applyNumberFormat="1" applyFont="1" applyFill="1" applyBorder="1" applyAlignment="1">
      <alignment horizontal="right" vertical="center"/>
    </xf>
    <xf numFmtId="0" fontId="18" fillId="0" borderId="21" xfId="0" applyFont="1" applyBorder="1" applyAlignment="1">
      <alignment horizontal="justify" vertical="center" wrapText="1"/>
    </xf>
    <xf numFmtId="0" fontId="18" fillId="0" borderId="6" xfId="0" applyFont="1" applyBorder="1" applyAlignment="1">
      <alignment horizontal="justify" vertical="center" wrapText="1"/>
    </xf>
    <xf numFmtId="3" fontId="7" fillId="14" borderId="20" xfId="0" applyNumberFormat="1" applyFont="1" applyFill="1" applyBorder="1" applyAlignment="1" applyProtection="1">
      <alignment horizontal="center" vertical="center"/>
      <protection locked="0"/>
    </xf>
    <xf numFmtId="0" fontId="7" fillId="14" borderId="15" xfId="0" applyFont="1" applyFill="1" applyBorder="1" applyAlignment="1">
      <alignment horizontal="justify" vertical="center"/>
    </xf>
    <xf numFmtId="3" fontId="7" fillId="0" borderId="31" xfId="0" applyNumberFormat="1" applyFont="1" applyBorder="1" applyAlignment="1">
      <alignment vertical="top" wrapText="1"/>
    </xf>
    <xf numFmtId="0" fontId="7" fillId="0" borderId="39" xfId="0" applyFont="1" applyBorder="1" applyAlignment="1">
      <alignment horizontal="justify" vertical="top"/>
    </xf>
    <xf numFmtId="0" fontId="7" fillId="0" borderId="39" xfId="0" applyFont="1" applyFill="1" applyBorder="1" applyAlignment="1">
      <alignment horizontal="justify" vertical="top" wrapText="1"/>
    </xf>
    <xf numFmtId="0" fontId="7" fillId="0" borderId="15" xfId="0" applyFont="1" applyBorder="1" applyAlignment="1">
      <alignment horizontal="justify" vertical="top"/>
    </xf>
    <xf numFmtId="3" fontId="7" fillId="0" borderId="18" xfId="0" applyNumberFormat="1" applyFont="1" applyBorder="1" applyAlignment="1">
      <alignment horizontal="justify" vertical="center" wrapText="1"/>
    </xf>
    <xf numFmtId="3" fontId="8" fillId="0" borderId="15" xfId="0" applyNumberFormat="1" applyFont="1" applyFill="1" applyBorder="1" applyAlignment="1">
      <alignment horizontal="left" vertical="center" wrapText="1"/>
    </xf>
    <xf numFmtId="3" fontId="8" fillId="0" borderId="50" xfId="0" applyNumberFormat="1" applyFont="1" applyFill="1" applyBorder="1" applyAlignment="1">
      <alignment horizontal="left" vertical="center" wrapText="1"/>
    </xf>
    <xf numFmtId="0" fontId="7" fillId="0" borderId="15" xfId="0" applyFont="1" applyFill="1" applyBorder="1" applyAlignment="1">
      <alignment horizontal="justify" vertical="top"/>
    </xf>
    <xf numFmtId="0" fontId="33" fillId="23" borderId="3" xfId="0" applyFont="1" applyFill="1" applyBorder="1" applyAlignment="1">
      <alignment horizontal="center" vertical="center"/>
    </xf>
    <xf numFmtId="3" fontId="7" fillId="14" borderId="7" xfId="0" applyNumberFormat="1" applyFont="1" applyFill="1" applyBorder="1" applyAlignment="1">
      <alignment horizontal="justify" vertical="center"/>
    </xf>
    <xf numFmtId="0" fontId="7" fillId="0" borderId="6" xfId="0" applyFont="1" applyBorder="1" applyAlignment="1">
      <alignment horizontal="justify" vertical="center" wrapText="1"/>
    </xf>
    <xf numFmtId="0" fontId="7" fillId="0" borderId="39" xfId="0" applyFont="1" applyFill="1" applyBorder="1" applyAlignment="1">
      <alignment horizontal="justify" vertical="center"/>
    </xf>
    <xf numFmtId="0" fontId="7" fillId="0" borderId="21" xfId="0" applyFont="1" applyBorder="1" applyAlignment="1">
      <alignment horizontal="justify" vertical="center" wrapText="1"/>
    </xf>
    <xf numFmtId="0" fontId="33" fillId="24" borderId="2"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3" xfId="0" applyFont="1" applyFill="1" applyBorder="1" applyAlignment="1">
      <alignment horizontal="center" vertical="center"/>
    </xf>
    <xf numFmtId="3" fontId="16" fillId="0" borderId="0" xfId="0" applyNumberFormat="1" applyFont="1" applyAlignment="1">
      <alignment horizontal="center"/>
    </xf>
    <xf numFmtId="3" fontId="14" fillId="0" borderId="0" xfId="0" applyNumberFormat="1" applyFont="1" applyAlignment="1">
      <alignment horizontal="center"/>
    </xf>
    <xf numFmtId="0" fontId="43" fillId="25" borderId="60" xfId="0" applyFont="1" applyFill="1" applyBorder="1" applyAlignment="1">
      <alignment vertical="center"/>
    </xf>
    <xf numFmtId="0" fontId="33" fillId="25" borderId="52" xfId="0" applyFont="1" applyFill="1" applyBorder="1" applyAlignment="1">
      <alignment horizontal="center" vertical="center"/>
    </xf>
    <xf numFmtId="0" fontId="39" fillId="25" borderId="61" xfId="0" applyFont="1" applyFill="1" applyBorder="1" applyAlignment="1">
      <alignment vertical="center"/>
    </xf>
    <xf numFmtId="0" fontId="14" fillId="0" borderId="62" xfId="0" applyFont="1" applyBorder="1"/>
    <xf numFmtId="0" fontId="11" fillId="0" borderId="0" xfId="0" applyFont="1" applyBorder="1" applyAlignment="1">
      <alignment horizontal="center"/>
    </xf>
    <xf numFmtId="0" fontId="7" fillId="0" borderId="63" xfId="0" applyFont="1" applyBorder="1"/>
    <xf numFmtId="0" fontId="14" fillId="0" borderId="32" xfId="0" applyFont="1" applyBorder="1"/>
    <xf numFmtId="0" fontId="14" fillId="0" borderId="6" xfId="0" applyFont="1" applyBorder="1"/>
    <xf numFmtId="3" fontId="14" fillId="0" borderId="21" xfId="0" applyNumberFormat="1" applyFont="1" applyBorder="1"/>
    <xf numFmtId="0" fontId="7" fillId="0" borderId="16" xfId="0" applyFont="1" applyBorder="1"/>
    <xf numFmtId="0" fontId="7" fillId="0" borderId="32" xfId="0" applyFont="1" applyBorder="1"/>
    <xf numFmtId="0" fontId="7" fillId="0" borderId="6" xfId="0" applyFont="1" applyBorder="1"/>
    <xf numFmtId="3" fontId="7" fillId="0" borderId="21" xfId="0" applyNumberFormat="1" applyFont="1" applyBorder="1"/>
    <xf numFmtId="0" fontId="7" fillId="0" borderId="17" xfId="0" applyFont="1" applyBorder="1"/>
    <xf numFmtId="0" fontId="39" fillId="9" borderId="29" xfId="0" applyFont="1" applyFill="1" applyBorder="1"/>
    <xf numFmtId="0" fontId="33" fillId="9" borderId="12" xfId="0" applyFont="1" applyFill="1" applyBorder="1" applyAlignment="1">
      <alignment horizontal="center" vertical="center"/>
    </xf>
    <xf numFmtId="3" fontId="33" fillId="9" borderId="12" xfId="0" applyNumberFormat="1" applyFont="1" applyFill="1" applyBorder="1" applyAlignment="1">
      <alignment horizontal="right" vertical="center"/>
    </xf>
    <xf numFmtId="0" fontId="39" fillId="9" borderId="13" xfId="0" applyFont="1" applyFill="1" applyBorder="1"/>
    <xf numFmtId="0" fontId="7" fillId="0" borderId="52" xfId="0" applyFont="1" applyBorder="1"/>
    <xf numFmtId="0" fontId="14" fillId="0" borderId="52" xfId="0" applyFont="1" applyBorder="1"/>
    <xf numFmtId="0" fontId="7" fillId="0" borderId="64" xfId="0" applyFont="1" applyBorder="1" applyAlignment="1">
      <alignment horizontal="justify" vertical="center"/>
    </xf>
    <xf numFmtId="3" fontId="7" fillId="0" borderId="7" xfId="0" applyNumberFormat="1" applyFont="1" applyBorder="1" applyAlignment="1">
      <alignment vertical="center" wrapText="1"/>
    </xf>
    <xf numFmtId="3" fontId="7" fillId="0" borderId="31" xfId="0" applyNumberFormat="1" applyFont="1" applyBorder="1" applyAlignment="1">
      <alignment horizontal="left" vertical="center" wrapText="1"/>
    </xf>
    <xf numFmtId="3" fontId="7" fillId="0" borderId="57" xfId="0" applyNumberFormat="1" applyFont="1" applyBorder="1" applyAlignment="1">
      <alignment horizontal="left" vertical="center" wrapText="1"/>
    </xf>
    <xf numFmtId="0" fontId="16" fillId="8" borderId="3" xfId="0" applyFont="1" applyFill="1" applyBorder="1" applyAlignment="1">
      <alignment horizontal="center" vertical="top" wrapText="1"/>
    </xf>
    <xf numFmtId="3" fontId="7" fillId="0" borderId="24" xfId="0" applyNumberFormat="1" applyFont="1" applyBorder="1" applyAlignment="1">
      <alignment horizontal="justify" vertical="top"/>
    </xf>
    <xf numFmtId="3" fontId="7" fillId="0" borderId="7" xfId="0" applyNumberFormat="1" applyFont="1" applyBorder="1" applyAlignment="1">
      <alignment horizontal="left" vertical="top" wrapText="1"/>
    </xf>
    <xf numFmtId="3" fontId="7" fillId="0" borderId="24" xfId="0" applyNumberFormat="1" applyFont="1" applyBorder="1" applyAlignment="1">
      <alignment vertical="center" wrapText="1"/>
    </xf>
    <xf numFmtId="0" fontId="7" fillId="0" borderId="64" xfId="0" applyFont="1" applyBorder="1" applyAlignment="1">
      <alignment horizontal="justify" vertical="center" wrapText="1"/>
    </xf>
    <xf numFmtId="3" fontId="9" fillId="7" borderId="17" xfId="0" applyNumberFormat="1" applyFont="1" applyFill="1" applyBorder="1" applyAlignment="1">
      <alignment horizontal="justify" vertical="center"/>
    </xf>
    <xf numFmtId="0" fontId="8" fillId="0" borderId="2" xfId="0" applyFont="1" applyBorder="1" applyAlignment="1">
      <alignment horizontal="center"/>
    </xf>
    <xf numFmtId="4" fontId="8" fillId="0" borderId="27" xfId="0" applyNumberFormat="1" applyFont="1" applyFill="1" applyBorder="1" applyAlignment="1">
      <alignment horizontal="center"/>
    </xf>
    <xf numFmtId="0" fontId="7" fillId="0" borderId="0" xfId="0" applyFont="1" applyAlignment="1">
      <alignment horizontal="center"/>
    </xf>
    <xf numFmtId="3" fontId="7" fillId="0" borderId="49" xfId="0" applyNumberFormat="1" applyFont="1" applyFill="1" applyBorder="1" applyAlignment="1" applyProtection="1">
      <alignment horizontal="center" vertical="center"/>
      <protection locked="0"/>
    </xf>
    <xf numFmtId="3" fontId="7" fillId="0" borderId="38" xfId="0" applyNumberFormat="1" applyFont="1" applyFill="1" applyBorder="1" applyAlignment="1">
      <alignment horizontal="center" vertical="center"/>
    </xf>
    <xf numFmtId="3" fontId="7" fillId="0" borderId="49" xfId="0" applyNumberFormat="1" applyFont="1" applyFill="1" applyBorder="1" applyAlignment="1">
      <alignment horizontal="center" vertical="center"/>
    </xf>
    <xf numFmtId="3" fontId="7" fillId="0" borderId="20" xfId="0" applyNumberFormat="1" applyFont="1" applyFill="1" applyBorder="1" applyAlignment="1">
      <alignment horizontal="center" vertical="center" wrapText="1"/>
    </xf>
    <xf numFmtId="0" fontId="7" fillId="0" borderId="49" xfId="0" applyFont="1" applyFill="1" applyBorder="1" applyAlignment="1" applyProtection="1">
      <alignment horizontal="center" vertical="center"/>
      <protection locked="0"/>
    </xf>
    <xf numFmtId="0" fontId="10" fillId="0" borderId="0" xfId="0" applyFont="1" applyAlignment="1">
      <alignment horizontal="center"/>
    </xf>
    <xf numFmtId="3" fontId="32" fillId="9" borderId="50" xfId="0" applyNumberFormat="1" applyFont="1" applyFill="1" applyBorder="1" applyAlignment="1">
      <alignment horizontal="center" vertical="center" wrapText="1"/>
    </xf>
    <xf numFmtId="3" fontId="8" fillId="22" borderId="5" xfId="0" applyNumberFormat="1" applyFont="1" applyFill="1" applyBorder="1" applyAlignment="1">
      <alignment horizontal="center" vertical="center" wrapText="1"/>
    </xf>
    <xf numFmtId="3" fontId="7" fillId="0" borderId="17" xfId="0" applyNumberFormat="1" applyFont="1" applyBorder="1" applyAlignment="1">
      <alignment horizontal="center" vertical="center" wrapText="1"/>
    </xf>
    <xf numFmtId="0" fontId="7" fillId="18" borderId="4" xfId="0" applyFont="1" applyFill="1" applyBorder="1" applyAlignment="1">
      <alignment vertical="center"/>
    </xf>
    <xf numFmtId="0" fontId="8" fillId="26" borderId="4" xfId="0" applyFont="1" applyFill="1" applyBorder="1" applyAlignment="1">
      <alignment vertical="center"/>
    </xf>
    <xf numFmtId="166" fontId="8" fillId="7" borderId="6" xfId="0" applyNumberFormat="1" applyFont="1" applyFill="1" applyBorder="1" applyAlignment="1">
      <alignment horizontal="center"/>
    </xf>
    <xf numFmtId="166" fontId="7" fillId="0" borderId="0" xfId="0" applyNumberFormat="1" applyFont="1" applyBorder="1" applyAlignment="1">
      <alignment horizontal="center"/>
    </xf>
    <xf numFmtId="166" fontId="7" fillId="0" borderId="18" xfId="0" applyNumberFormat="1" applyFont="1" applyBorder="1" applyAlignment="1">
      <alignment horizontal="center"/>
    </xf>
    <xf numFmtId="166" fontId="7" fillId="0" borderId="26" xfId="0" applyNumberFormat="1" applyFont="1" applyBorder="1" applyAlignment="1">
      <alignment horizontal="center"/>
    </xf>
    <xf numFmtId="166" fontId="7" fillId="0" borderId="22" xfId="0" applyNumberFormat="1" applyFont="1" applyBorder="1" applyAlignment="1">
      <alignment horizontal="center"/>
    </xf>
    <xf numFmtId="166" fontId="8" fillId="0" borderId="0" xfId="0" applyNumberFormat="1" applyFont="1" applyBorder="1" applyAlignment="1">
      <alignment horizontal="center"/>
    </xf>
    <xf numFmtId="166" fontId="8" fillId="2" borderId="0" xfId="0" applyNumberFormat="1" applyFont="1" applyFill="1" applyBorder="1" applyAlignment="1">
      <alignment horizontal="center"/>
    </xf>
    <xf numFmtId="166" fontId="7" fillId="7" borderId="6" xfId="0" applyNumberFormat="1" applyFont="1" applyFill="1" applyBorder="1" applyAlignment="1">
      <alignment horizontal="center"/>
    </xf>
    <xf numFmtId="0" fontId="15" fillId="0" borderId="0" xfId="0" applyFont="1" applyAlignment="1">
      <alignment horizontal="center"/>
    </xf>
    <xf numFmtId="166" fontId="8" fillId="2" borderId="22" xfId="0" applyNumberFormat="1" applyFont="1" applyFill="1" applyBorder="1" applyAlignment="1">
      <alignment horizontal="center"/>
    </xf>
    <xf numFmtId="166" fontId="10" fillId="0" borderId="7" xfId="0" applyNumberFormat="1" applyFont="1" applyBorder="1" applyAlignment="1">
      <alignment horizontal="center"/>
    </xf>
    <xf numFmtId="4" fontId="8" fillId="0" borderId="0" xfId="0" applyNumberFormat="1" applyFont="1" applyAlignment="1">
      <alignment horizontal="right"/>
    </xf>
    <xf numFmtId="4" fontId="7" fillId="0" borderId="0" xfId="0" applyNumberFormat="1" applyFont="1" applyAlignment="1">
      <alignment horizontal="right"/>
    </xf>
    <xf numFmtId="9" fontId="32" fillId="9" borderId="47" xfId="0" applyNumberFormat="1" applyFont="1" applyFill="1" applyBorder="1" applyAlignment="1">
      <alignment horizontal="center" vertical="center"/>
    </xf>
    <xf numFmtId="0" fontId="10" fillId="0" borderId="14" xfId="0" applyFont="1" applyBorder="1" applyAlignment="1">
      <alignment horizontal="center"/>
    </xf>
    <xf numFmtId="9" fontId="9" fillId="8" borderId="6" xfId="0" applyNumberFormat="1" applyFont="1" applyFill="1" applyBorder="1" applyAlignment="1">
      <alignment horizontal="center" vertical="center"/>
    </xf>
    <xf numFmtId="9" fontId="9" fillId="12" borderId="22" xfId="0" applyNumberFormat="1" applyFont="1" applyFill="1" applyBorder="1" applyAlignment="1">
      <alignment horizontal="center" vertical="center"/>
    </xf>
    <xf numFmtId="166" fontId="10" fillId="18" borderId="0" xfId="0" applyNumberFormat="1" applyFont="1" applyFill="1" applyBorder="1" applyAlignment="1">
      <alignment horizontal="center"/>
    </xf>
    <xf numFmtId="166" fontId="9" fillId="26" borderId="0" xfId="0" applyNumberFormat="1" applyFont="1" applyFill="1" applyBorder="1" applyAlignment="1">
      <alignment horizontal="center"/>
    </xf>
    <xf numFmtId="9" fontId="9" fillId="0" borderId="0" xfId="4" applyNumberFormat="1" applyFont="1" applyBorder="1" applyAlignment="1">
      <alignment horizontal="center"/>
    </xf>
    <xf numFmtId="166" fontId="9" fillId="7" borderId="18" xfId="0" applyNumberFormat="1" applyFont="1" applyFill="1" applyBorder="1" applyAlignment="1">
      <alignment horizontal="center"/>
    </xf>
    <xf numFmtId="166" fontId="10" fillId="0" borderId="6" xfId="0" applyNumberFormat="1" applyFont="1" applyBorder="1" applyAlignment="1">
      <alignment horizontal="center"/>
    </xf>
    <xf numFmtId="166" fontId="10" fillId="7" borderId="6" xfId="0" applyNumberFormat="1" applyFont="1" applyFill="1" applyBorder="1" applyAlignment="1">
      <alignment horizontal="center"/>
    </xf>
    <xf numFmtId="166" fontId="32" fillId="9" borderId="27" xfId="0" applyNumberFormat="1" applyFont="1" applyFill="1" applyBorder="1" applyAlignment="1">
      <alignment horizontal="center" vertical="center"/>
    </xf>
    <xf numFmtId="9" fontId="10" fillId="0" borderId="52" xfId="0" applyNumberFormat="1" applyFont="1" applyBorder="1" applyAlignment="1">
      <alignment horizontal="center"/>
    </xf>
    <xf numFmtId="4" fontId="15" fillId="0" borderId="0" xfId="0" applyNumberFormat="1" applyFont="1" applyAlignment="1">
      <alignment horizontal="center"/>
    </xf>
    <xf numFmtId="9" fontId="15" fillId="0" borderId="0" xfId="11" applyFont="1" applyAlignment="1">
      <alignment horizontal="center"/>
    </xf>
    <xf numFmtId="9" fontId="10" fillId="0" borderId="0" xfId="11" applyFont="1" applyAlignment="1">
      <alignment horizontal="center"/>
    </xf>
    <xf numFmtId="10" fontId="9" fillId="2" borderId="0" xfId="0" applyNumberFormat="1" applyFont="1" applyFill="1" applyBorder="1" applyAlignment="1">
      <alignment horizontal="center"/>
    </xf>
    <xf numFmtId="10" fontId="9" fillId="0" borderId="0" xfId="0" applyNumberFormat="1" applyFont="1" applyBorder="1" applyAlignment="1">
      <alignment horizontal="center"/>
    </xf>
    <xf numFmtId="166" fontId="10" fillId="0" borderId="26" xfId="0" applyNumberFormat="1" applyFont="1" applyBorder="1" applyAlignment="1">
      <alignment horizontal="center"/>
    </xf>
    <xf numFmtId="3" fontId="10" fillId="0" borderId="52" xfId="0" applyNumberFormat="1" applyFont="1" applyBorder="1" applyAlignment="1">
      <alignment horizontal="center"/>
    </xf>
    <xf numFmtId="9" fontId="9" fillId="2" borderId="0" xfId="0" applyNumberFormat="1" applyFont="1" applyFill="1" applyBorder="1" applyAlignment="1">
      <alignment horizontal="center"/>
    </xf>
    <xf numFmtId="0" fontId="10" fillId="0" borderId="26" xfId="0" applyFont="1" applyBorder="1" applyAlignment="1">
      <alignment horizontal="center"/>
    </xf>
    <xf numFmtId="166" fontId="9" fillId="12" borderId="22" xfId="0" applyNumberFormat="1" applyFont="1" applyFill="1" applyBorder="1" applyAlignment="1">
      <alignment horizontal="center" vertical="center"/>
    </xf>
    <xf numFmtId="10" fontId="10" fillId="0" borderId="0" xfId="0" applyNumberFormat="1" applyFont="1" applyBorder="1" applyAlignment="1">
      <alignment horizontal="center"/>
    </xf>
    <xf numFmtId="166" fontId="9" fillId="7" borderId="6" xfId="11" applyNumberFormat="1" applyFont="1" applyFill="1" applyBorder="1" applyAlignment="1">
      <alignment horizontal="center"/>
    </xf>
    <xf numFmtId="166" fontId="10" fillId="0" borderId="0" xfId="11" applyNumberFormat="1" applyFont="1" applyBorder="1" applyAlignment="1">
      <alignment horizontal="center"/>
    </xf>
    <xf numFmtId="0" fontId="15" fillId="0" borderId="10" xfId="0" applyFont="1" applyBorder="1" applyAlignment="1">
      <alignment horizontal="center"/>
    </xf>
    <xf numFmtId="166" fontId="9" fillId="12" borderId="24" xfId="0" applyNumberFormat="1" applyFont="1" applyFill="1" applyBorder="1" applyAlignment="1">
      <alignment horizontal="center" vertical="center"/>
    </xf>
    <xf numFmtId="10" fontId="10" fillId="0" borderId="7" xfId="0" applyNumberFormat="1" applyFont="1" applyBorder="1" applyAlignment="1">
      <alignment horizontal="center"/>
    </xf>
    <xf numFmtId="166" fontId="10" fillId="18" borderId="7" xfId="0" applyNumberFormat="1" applyFont="1" applyFill="1" applyBorder="1" applyAlignment="1">
      <alignment horizontal="center"/>
    </xf>
    <xf numFmtId="166" fontId="9" fillId="26" borderId="7" xfId="0" applyNumberFormat="1" applyFont="1" applyFill="1" applyBorder="1" applyAlignment="1">
      <alignment horizontal="center"/>
    </xf>
    <xf numFmtId="166" fontId="10" fillId="0" borderId="19" xfId="0" applyNumberFormat="1" applyFont="1" applyBorder="1" applyAlignment="1">
      <alignment horizontal="center"/>
    </xf>
    <xf numFmtId="166" fontId="9" fillId="7" borderId="19" xfId="0" applyNumberFormat="1" applyFont="1" applyFill="1" applyBorder="1" applyAlignment="1">
      <alignment horizontal="center"/>
    </xf>
    <xf numFmtId="166" fontId="10" fillId="0" borderId="16" xfId="0" applyNumberFormat="1" applyFont="1" applyBorder="1" applyAlignment="1">
      <alignment horizontal="center"/>
    </xf>
    <xf numFmtId="166" fontId="10" fillId="0" borderId="7" xfId="11" applyNumberFormat="1" applyFont="1" applyBorder="1" applyAlignment="1">
      <alignment horizontal="center"/>
    </xf>
    <xf numFmtId="166" fontId="10" fillId="0" borderId="24" xfId="0" applyNumberFormat="1" applyFont="1" applyBorder="1" applyAlignment="1">
      <alignment horizontal="center"/>
    </xf>
    <xf numFmtId="166" fontId="32" fillId="9" borderId="3" xfId="0" applyNumberFormat="1" applyFont="1" applyFill="1" applyBorder="1" applyAlignment="1">
      <alignment horizontal="center" vertical="center"/>
    </xf>
    <xf numFmtId="0" fontId="10" fillId="0" borderId="30" xfId="0" applyFont="1" applyBorder="1" applyAlignment="1">
      <alignment horizontal="center"/>
    </xf>
    <xf numFmtId="0" fontId="10" fillId="0" borderId="52" xfId="0" applyFont="1" applyBorder="1" applyAlignment="1">
      <alignment horizontal="center"/>
    </xf>
    <xf numFmtId="3" fontId="15" fillId="0" borderId="0" xfId="0" applyNumberFormat="1" applyFont="1" applyAlignment="1">
      <alignment horizontal="right"/>
    </xf>
    <xf numFmtId="3" fontId="10" fillId="0" borderId="0" xfId="0" applyNumberFormat="1" applyFont="1" applyAlignment="1">
      <alignment horizontal="right"/>
    </xf>
    <xf numFmtId="0" fontId="10" fillId="0" borderId="14" xfId="0" applyFont="1" applyBorder="1" applyAlignment="1">
      <alignment horizontal="right"/>
    </xf>
    <xf numFmtId="4" fontId="9" fillId="2" borderId="0" xfId="0" applyNumberFormat="1" applyFont="1" applyFill="1" applyBorder="1" applyAlignment="1">
      <alignment horizontal="right"/>
    </xf>
    <xf numFmtId="4" fontId="9" fillId="0" borderId="0" xfId="0" applyNumberFormat="1" applyFont="1" applyBorder="1" applyAlignment="1">
      <alignment horizontal="right"/>
    </xf>
    <xf numFmtId="4" fontId="10" fillId="18" borderId="0" xfId="0" applyNumberFormat="1" applyFont="1" applyFill="1" applyBorder="1" applyAlignment="1">
      <alignment horizontal="right"/>
    </xf>
    <xf numFmtId="4" fontId="9" fillId="26" borderId="0" xfId="0" applyNumberFormat="1" applyFont="1" applyFill="1" applyBorder="1" applyAlignment="1">
      <alignment horizontal="right"/>
    </xf>
    <xf numFmtId="4" fontId="10" fillId="0" borderId="18" xfId="0" applyNumberFormat="1" applyFont="1" applyBorder="1" applyAlignment="1">
      <alignment horizontal="right"/>
    </xf>
    <xf numFmtId="4" fontId="10" fillId="0" borderId="6" xfId="0" applyNumberFormat="1" applyFont="1" applyBorder="1" applyAlignment="1">
      <alignment horizontal="right"/>
    </xf>
    <xf numFmtId="3" fontId="10" fillId="0" borderId="26" xfId="0" applyNumberFormat="1" applyFont="1" applyBorder="1" applyAlignment="1">
      <alignment horizontal="right"/>
    </xf>
    <xf numFmtId="3" fontId="10" fillId="0" borderId="52" xfId="0" applyNumberFormat="1" applyFont="1" applyBorder="1" applyAlignment="1">
      <alignment horizontal="right"/>
    </xf>
    <xf numFmtId="0" fontId="15" fillId="0" borderId="0" xfId="0" applyFont="1" applyAlignment="1">
      <alignment horizontal="right"/>
    </xf>
    <xf numFmtId="0" fontId="15" fillId="0" borderId="1" xfId="0" applyFont="1" applyBorder="1" applyAlignment="1">
      <alignment horizontal="right"/>
    </xf>
    <xf numFmtId="0" fontId="15" fillId="0" borderId="14" xfId="0" applyFont="1" applyBorder="1" applyAlignment="1">
      <alignment horizontal="right"/>
    </xf>
    <xf numFmtId="4" fontId="33" fillId="9" borderId="65" xfId="0" applyNumberFormat="1" applyFont="1" applyFill="1" applyBorder="1" applyAlignment="1">
      <alignment horizontal="center"/>
    </xf>
    <xf numFmtId="0" fontId="15" fillId="0" borderId="0" xfId="0" applyFont="1" applyAlignment="1">
      <alignment horizontal="center" vertical="center"/>
    </xf>
    <xf numFmtId="0" fontId="16" fillId="0" borderId="0" xfId="0" applyFont="1" applyAlignment="1">
      <alignment horizontal="center" vertical="center"/>
    </xf>
    <xf numFmtId="0" fontId="8" fillId="0" borderId="42" xfId="0" applyFont="1" applyBorder="1"/>
    <xf numFmtId="166" fontId="7" fillId="0" borderId="53" xfId="0" applyNumberFormat="1" applyFont="1" applyBorder="1" applyAlignment="1">
      <alignment horizontal="center"/>
    </xf>
    <xf numFmtId="166" fontId="8" fillId="0" borderId="53" xfId="0" applyNumberFormat="1" applyFont="1" applyBorder="1" applyAlignment="1">
      <alignment horizontal="center"/>
    </xf>
    <xf numFmtId="166" fontId="7" fillId="0" borderId="28" xfId="0" applyNumberFormat="1" applyFont="1" applyBorder="1" applyAlignment="1">
      <alignment horizontal="center"/>
    </xf>
    <xf numFmtId="166" fontId="7" fillId="0" borderId="7" xfId="0" applyNumberFormat="1" applyFont="1" applyBorder="1" applyAlignment="1">
      <alignment horizontal="center"/>
    </xf>
    <xf numFmtId="0" fontId="33" fillId="9" borderId="46" xfId="0" applyFont="1" applyFill="1" applyBorder="1" applyAlignment="1">
      <alignment horizontal="center"/>
    </xf>
    <xf numFmtId="166" fontId="33" fillId="9" borderId="47" xfId="0" applyNumberFormat="1" applyFont="1" applyFill="1" applyBorder="1" applyAlignment="1">
      <alignment horizontal="center"/>
    </xf>
    <xf numFmtId="4" fontId="33" fillId="9" borderId="47" xfId="0" applyNumberFormat="1" applyFont="1" applyFill="1" applyBorder="1" applyAlignment="1">
      <alignment horizontal="center" wrapText="1"/>
    </xf>
    <xf numFmtId="166" fontId="33" fillId="9" borderId="48" xfId="0" applyNumberFormat="1" applyFont="1" applyFill="1" applyBorder="1" applyAlignment="1">
      <alignment horizontal="center"/>
    </xf>
    <xf numFmtId="166" fontId="33" fillId="9" borderId="50" xfId="0" applyNumberFormat="1" applyFont="1" applyFill="1" applyBorder="1" applyAlignment="1">
      <alignment horizontal="center"/>
    </xf>
    <xf numFmtId="4" fontId="33" fillId="9" borderId="50" xfId="0" applyNumberFormat="1" applyFont="1" applyFill="1" applyBorder="1" applyAlignment="1">
      <alignment horizontal="center" wrapText="1"/>
    </xf>
    <xf numFmtId="166" fontId="33" fillId="9" borderId="51" xfId="0" applyNumberFormat="1" applyFont="1" applyFill="1" applyBorder="1" applyAlignment="1">
      <alignment horizontal="center"/>
    </xf>
    <xf numFmtId="0" fontId="39" fillId="9" borderId="66" xfId="0" applyFont="1" applyFill="1" applyBorder="1"/>
    <xf numFmtId="166" fontId="39" fillId="9" borderId="65" xfId="0" applyNumberFormat="1" applyFont="1" applyFill="1" applyBorder="1" applyAlignment="1">
      <alignment horizontal="center"/>
    </xf>
    <xf numFmtId="166" fontId="33" fillId="9" borderId="65" xfId="0" applyNumberFormat="1" applyFont="1" applyFill="1" applyBorder="1" applyAlignment="1">
      <alignment horizontal="center"/>
    </xf>
    <xf numFmtId="166" fontId="33" fillId="9" borderId="67" xfId="0" applyNumberFormat="1" applyFont="1" applyFill="1" applyBorder="1" applyAlignment="1">
      <alignment horizontal="center"/>
    </xf>
    <xf numFmtId="3" fontId="7" fillId="0" borderId="8" xfId="0" applyNumberFormat="1" applyFont="1" applyFill="1" applyBorder="1"/>
    <xf numFmtId="4" fontId="7" fillId="0" borderId="14" xfId="0" applyNumberFormat="1" applyFont="1" applyFill="1" applyBorder="1"/>
    <xf numFmtId="166" fontId="7" fillId="0" borderId="14" xfId="0" applyNumberFormat="1" applyFont="1" applyFill="1" applyBorder="1" applyAlignment="1">
      <alignment horizontal="center"/>
    </xf>
    <xf numFmtId="166" fontId="7" fillId="0" borderId="10" xfId="0" applyNumberFormat="1" applyFont="1" applyFill="1" applyBorder="1" applyAlignment="1">
      <alignment horizontal="center"/>
    </xf>
    <xf numFmtId="0" fontId="8" fillId="8" borderId="5" xfId="0" applyFont="1" applyFill="1" applyBorder="1" applyAlignment="1">
      <alignment vertical="center"/>
    </xf>
    <xf numFmtId="4" fontId="8" fillId="8" borderId="6" xfId="0" applyNumberFormat="1" applyFont="1" applyFill="1" applyBorder="1" applyAlignment="1">
      <alignment vertical="center"/>
    </xf>
    <xf numFmtId="166" fontId="8" fillId="8" borderId="6" xfId="0" applyNumberFormat="1" applyFont="1" applyFill="1" applyBorder="1" applyAlignment="1">
      <alignment horizontal="center" vertical="center"/>
    </xf>
    <xf numFmtId="166" fontId="8" fillId="8" borderId="16" xfId="0" applyNumberFormat="1" applyFont="1" applyFill="1" applyBorder="1" applyAlignment="1">
      <alignment horizontal="center" vertical="center"/>
    </xf>
    <xf numFmtId="166" fontId="8" fillId="2" borderId="7" xfId="0" applyNumberFormat="1" applyFont="1" applyFill="1" applyBorder="1" applyAlignment="1">
      <alignment horizontal="center"/>
    </xf>
    <xf numFmtId="166" fontId="8" fillId="0" borderId="7" xfId="0" applyNumberFormat="1" applyFont="1" applyBorder="1" applyAlignment="1">
      <alignment horizontal="center"/>
    </xf>
    <xf numFmtId="0" fontId="7" fillId="0" borderId="4" xfId="0" applyFont="1" applyBorder="1" applyAlignment="1">
      <alignment horizontal="justify"/>
    </xf>
    <xf numFmtId="0" fontId="7" fillId="16" borderId="4" xfId="0" applyFont="1" applyFill="1" applyBorder="1" applyAlignment="1">
      <alignment horizontal="justify"/>
    </xf>
    <xf numFmtId="4" fontId="7" fillId="16" borderId="0" xfId="0" applyNumberFormat="1" applyFont="1" applyFill="1" applyBorder="1"/>
    <xf numFmtId="166" fontId="7" fillId="16" borderId="0" xfId="0" applyNumberFormat="1" applyFont="1" applyFill="1" applyBorder="1" applyAlignment="1">
      <alignment horizontal="center"/>
    </xf>
    <xf numFmtId="166" fontId="7" fillId="16" borderId="7" xfId="0" applyNumberFormat="1" applyFont="1" applyFill="1" applyBorder="1" applyAlignment="1">
      <alignment horizontal="center"/>
    </xf>
    <xf numFmtId="166" fontId="8" fillId="7" borderId="6" xfId="0" applyNumberFormat="1" applyFont="1" applyFill="1" applyBorder="1" applyAlignment="1">
      <alignment horizontal="center" vertical="center"/>
    </xf>
    <xf numFmtId="0" fontId="7" fillId="0" borderId="0" xfId="0" applyFont="1" applyBorder="1" applyAlignment="1">
      <alignment horizontal="center" vertical="center"/>
    </xf>
    <xf numFmtId="3" fontId="7" fillId="0" borderId="0" xfId="0" applyNumberFormat="1" applyFont="1" applyBorder="1" applyAlignment="1">
      <alignment horizontal="center" vertical="center"/>
    </xf>
    <xf numFmtId="3" fontId="7" fillId="0" borderId="22" xfId="0" applyNumberFormat="1" applyFont="1" applyBorder="1" applyAlignment="1">
      <alignment horizontal="center" vertical="center"/>
    </xf>
    <xf numFmtId="166" fontId="7" fillId="0" borderId="24" xfId="0" applyNumberFormat="1" applyFont="1" applyBorder="1" applyAlignment="1">
      <alignment horizontal="center"/>
    </xf>
    <xf numFmtId="4" fontId="7" fillId="0" borderId="0" xfId="4" applyNumberFormat="1" applyFont="1" applyBorder="1" applyAlignment="1">
      <alignment horizontal="right"/>
    </xf>
    <xf numFmtId="3" fontId="8" fillId="8" borderId="5" xfId="0" applyNumberFormat="1" applyFont="1" applyFill="1" applyBorder="1" applyAlignment="1">
      <alignment horizontal="justify"/>
    </xf>
    <xf numFmtId="4" fontId="8" fillId="8" borderId="6" xfId="0" applyNumberFormat="1" applyFont="1" applyFill="1" applyBorder="1" applyAlignment="1">
      <alignment horizontal="right"/>
    </xf>
    <xf numFmtId="166" fontId="8" fillId="8" borderId="6" xfId="0" applyNumberFormat="1" applyFont="1" applyFill="1" applyBorder="1" applyAlignment="1">
      <alignment horizontal="center"/>
    </xf>
    <xf numFmtId="166" fontId="8" fillId="8" borderId="16" xfId="0" applyNumberFormat="1" applyFont="1" applyFill="1" applyBorder="1" applyAlignment="1">
      <alignment horizontal="center"/>
    </xf>
    <xf numFmtId="4" fontId="7" fillId="0" borderId="18" xfId="4" applyNumberFormat="1" applyFont="1" applyBorder="1" applyAlignment="1">
      <alignment horizontal="right"/>
    </xf>
    <xf numFmtId="166" fontId="7" fillId="0" borderId="19" xfId="0" applyNumberFormat="1" applyFont="1" applyBorder="1" applyAlignment="1">
      <alignment horizontal="center"/>
    </xf>
    <xf numFmtId="3" fontId="7" fillId="0" borderId="18" xfId="0" applyNumberFormat="1" applyFont="1" applyBorder="1" applyAlignment="1">
      <alignment horizontal="center" vertical="center"/>
    </xf>
    <xf numFmtId="3" fontId="8" fillId="8" borderId="5" xfId="0" applyNumberFormat="1" applyFont="1" applyFill="1" applyBorder="1" applyAlignment="1">
      <alignment horizontal="justify" vertical="center"/>
    </xf>
    <xf numFmtId="4" fontId="8" fillId="8" borderId="6" xfId="0" applyNumberFormat="1" applyFont="1" applyFill="1" applyBorder="1" applyAlignment="1">
      <alignment horizontal="right" vertical="center"/>
    </xf>
    <xf numFmtId="0" fontId="33" fillId="9" borderId="5" xfId="0" applyFont="1" applyFill="1" applyBorder="1" applyAlignment="1">
      <alignment horizontal="justify" vertical="center"/>
    </xf>
    <xf numFmtId="4" fontId="33" fillId="9" borderId="6" xfId="0" applyNumberFormat="1" applyFont="1" applyFill="1" applyBorder="1" applyAlignment="1">
      <alignment horizontal="center" vertical="center"/>
    </xf>
    <xf numFmtId="166" fontId="33" fillId="9" borderId="6" xfId="11" applyNumberFormat="1" applyFont="1" applyFill="1" applyBorder="1" applyAlignment="1">
      <alignment horizontal="center" vertical="center"/>
    </xf>
    <xf numFmtId="166" fontId="33" fillId="9" borderId="16" xfId="11" applyNumberFormat="1" applyFont="1" applyFill="1" applyBorder="1" applyAlignment="1">
      <alignment horizontal="center" vertical="center"/>
    </xf>
    <xf numFmtId="166" fontId="8" fillId="0" borderId="26" xfId="0" applyNumberFormat="1" applyFont="1" applyBorder="1" applyAlignment="1">
      <alignment horizontal="center"/>
    </xf>
    <xf numFmtId="166" fontId="7" fillId="0" borderId="30" xfId="0" applyNumberFormat="1" applyFont="1" applyBorder="1" applyAlignment="1">
      <alignment horizontal="center"/>
    </xf>
    <xf numFmtId="166" fontId="7" fillId="0" borderId="0" xfId="0" applyNumberFormat="1" applyFont="1" applyAlignment="1">
      <alignment horizontal="center"/>
    </xf>
    <xf numFmtId="166" fontId="8" fillId="0" borderId="0" xfId="0" applyNumberFormat="1" applyFont="1" applyAlignment="1">
      <alignment horizontal="center"/>
    </xf>
    <xf numFmtId="0" fontId="7" fillId="0" borderId="37" xfId="0" applyFont="1" applyBorder="1"/>
    <xf numFmtId="4" fontId="7" fillId="0" borderId="37" xfId="0" applyNumberFormat="1" applyFont="1" applyBorder="1"/>
    <xf numFmtId="166" fontId="7" fillId="0" borderId="37" xfId="0" applyNumberFormat="1" applyFont="1" applyBorder="1" applyAlignment="1">
      <alignment horizontal="center" vertical="center"/>
    </xf>
    <xf numFmtId="166" fontId="7" fillId="0" borderId="37" xfId="0" applyNumberFormat="1" applyFont="1" applyBorder="1" applyAlignment="1">
      <alignment horizontal="center"/>
    </xf>
    <xf numFmtId="166" fontId="8" fillId="0" borderId="37" xfId="0" applyNumberFormat="1" applyFont="1" applyBorder="1" applyAlignment="1">
      <alignment horizontal="center"/>
    </xf>
    <xf numFmtId="164" fontId="7" fillId="0" borderId="15" xfId="4" applyFont="1" applyBorder="1"/>
    <xf numFmtId="0" fontId="7" fillId="0" borderId="0" xfId="0" applyFont="1" applyAlignment="1">
      <alignment wrapText="1"/>
    </xf>
    <xf numFmtId="0" fontId="7" fillId="0" borderId="0" xfId="0" applyFont="1" applyFill="1" applyAlignment="1">
      <alignment wrapText="1"/>
    </xf>
    <xf numFmtId="3" fontId="7" fillId="0" borderId="68" xfId="0" applyNumberFormat="1" applyFont="1" applyFill="1" applyBorder="1" applyAlignment="1">
      <alignment horizontal="center" vertical="center"/>
    </xf>
    <xf numFmtId="3" fontId="7" fillId="0" borderId="68" xfId="0" applyNumberFormat="1" applyFont="1" applyBorder="1" applyAlignment="1">
      <alignment horizontal="center" vertical="center" wrapText="1"/>
    </xf>
    <xf numFmtId="3" fontId="7" fillId="0" borderId="38" xfId="0" applyNumberFormat="1" applyFont="1" applyFill="1" applyBorder="1" applyAlignment="1" applyProtection="1">
      <alignment horizontal="center" vertical="top"/>
      <protection locked="0"/>
    </xf>
    <xf numFmtId="3" fontId="7" fillId="0" borderId="17" xfId="0" applyNumberFormat="1" applyFont="1" applyFill="1" applyBorder="1" applyAlignment="1">
      <alignment horizontal="center" vertical="center"/>
    </xf>
    <xf numFmtId="3" fontId="7" fillId="0" borderId="49" xfId="0" applyNumberFormat="1" applyFont="1" applyFill="1" applyBorder="1" applyAlignment="1">
      <alignment horizontal="center" vertical="center" wrapText="1"/>
    </xf>
    <xf numFmtId="3" fontId="7" fillId="0" borderId="38" xfId="0" applyNumberFormat="1" applyFont="1" applyFill="1" applyBorder="1" applyAlignment="1">
      <alignment horizontal="center" vertical="center" wrapText="1"/>
    </xf>
    <xf numFmtId="3" fontId="7" fillId="14" borderId="38" xfId="0" applyNumberFormat="1" applyFont="1" applyFill="1" applyBorder="1" applyAlignment="1" applyProtection="1">
      <alignment horizontal="center" vertical="center"/>
      <protection locked="0"/>
    </xf>
    <xf numFmtId="3" fontId="7" fillId="0" borderId="38" xfId="0" applyNumberFormat="1" applyFont="1" applyBorder="1" applyAlignment="1">
      <alignment horizontal="center" vertical="center" wrapText="1"/>
    </xf>
    <xf numFmtId="0" fontId="7" fillId="0" borderId="0" xfId="0" applyFont="1" applyBorder="1" applyAlignment="1">
      <alignment horizontal="center"/>
    </xf>
    <xf numFmtId="0" fontId="15" fillId="0" borderId="0" xfId="0" applyFont="1" applyAlignment="1">
      <alignment wrapText="1"/>
    </xf>
    <xf numFmtId="0" fontId="8" fillId="3" borderId="29" xfId="0" applyFont="1" applyFill="1" applyBorder="1" applyAlignment="1">
      <alignment horizontal="center" vertical="center"/>
    </xf>
    <xf numFmtId="0" fontId="8" fillId="3" borderId="26" xfId="0" applyFont="1" applyFill="1" applyBorder="1" applyAlignment="1">
      <alignment horizontal="center" vertical="center"/>
    </xf>
    <xf numFmtId="0" fontId="7" fillId="0" borderId="22" xfId="0" applyFont="1" applyBorder="1" applyAlignment="1">
      <alignment horizontal="center" vertical="center"/>
    </xf>
    <xf numFmtId="3" fontId="7" fillId="0" borderId="22" xfId="0" applyNumberFormat="1" applyFont="1" applyBorder="1" applyAlignment="1">
      <alignment horizontal="right" vertical="center"/>
    </xf>
    <xf numFmtId="4" fontId="7" fillId="0" borderId="1" xfId="0" applyNumberFormat="1" applyFont="1" applyBorder="1" applyAlignment="1">
      <alignment horizontal="right"/>
    </xf>
    <xf numFmtId="4" fontId="8" fillId="8" borderId="36" xfId="0" applyNumberFormat="1" applyFont="1" applyFill="1" applyBorder="1" applyAlignment="1">
      <alignment horizontal="center" vertical="center" wrapText="1"/>
    </xf>
    <xf numFmtId="4" fontId="8" fillId="0" borderId="14" xfId="0" applyNumberFormat="1" applyFont="1" applyBorder="1" applyAlignment="1">
      <alignment horizontal="right" vertical="center"/>
    </xf>
    <xf numFmtId="4" fontId="7" fillId="0" borderId="15" xfId="0" applyNumberFormat="1" applyFont="1" applyBorder="1" applyAlignment="1">
      <alignment horizontal="right" vertical="center" wrapText="1"/>
    </xf>
    <xf numFmtId="4" fontId="7" fillId="0" borderId="21" xfId="0" applyNumberFormat="1" applyFont="1" applyBorder="1" applyAlignment="1">
      <alignment horizontal="right" vertical="center" wrapText="1"/>
    </xf>
    <xf numFmtId="4" fontId="7" fillId="0" borderId="6" xfId="0" applyNumberFormat="1" applyFont="1" applyBorder="1" applyAlignment="1">
      <alignment horizontal="right" vertical="center" wrapText="1"/>
    </xf>
    <xf numFmtId="4" fontId="24" fillId="5" borderId="15" xfId="0" applyNumberFormat="1" applyFont="1" applyFill="1" applyBorder="1" applyAlignment="1">
      <alignment horizontal="right" vertical="center" wrapText="1"/>
    </xf>
    <xf numFmtId="4" fontId="24" fillId="0" borderId="6" xfId="0" applyNumberFormat="1" applyFont="1" applyFill="1" applyBorder="1" applyAlignment="1">
      <alignment horizontal="right" vertical="center" wrapText="1"/>
    </xf>
    <xf numFmtId="4" fontId="24" fillId="22" borderId="15" xfId="0" applyNumberFormat="1" applyFont="1" applyFill="1" applyBorder="1" applyAlignment="1">
      <alignment horizontal="right" vertical="center" wrapText="1"/>
    </xf>
    <xf numFmtId="4" fontId="7" fillId="0" borderId="18" xfId="0" applyNumberFormat="1" applyFont="1" applyBorder="1" applyAlignment="1">
      <alignment horizontal="right" vertical="center" wrapText="1"/>
    </xf>
    <xf numFmtId="4" fontId="24" fillId="5" borderId="6" xfId="0" applyNumberFormat="1" applyFont="1" applyFill="1" applyBorder="1" applyAlignment="1">
      <alignment horizontal="right" vertical="center" wrapText="1"/>
    </xf>
    <xf numFmtId="4" fontId="7" fillId="0" borderId="21" xfId="0" applyNumberFormat="1" applyFont="1" applyBorder="1" applyAlignment="1">
      <alignment vertical="center" wrapText="1"/>
    </xf>
    <xf numFmtId="4" fontId="7" fillId="0" borderId="15" xfId="0" applyNumberFormat="1" applyFont="1" applyBorder="1" applyAlignment="1">
      <alignment vertical="center" wrapText="1"/>
    </xf>
    <xf numFmtId="4" fontId="7" fillId="0" borderId="39" xfId="0" applyNumberFormat="1" applyFont="1" applyBorder="1" applyAlignment="1">
      <alignment vertical="center" wrapText="1"/>
    </xf>
    <xf numFmtId="4" fontId="7" fillId="0" borderId="50" xfId="0" applyNumberFormat="1" applyFont="1" applyBorder="1" applyAlignment="1">
      <alignment vertical="center" wrapText="1"/>
    </xf>
    <xf numFmtId="4" fontId="24" fillId="0" borderId="6" xfId="0" applyNumberFormat="1" applyFont="1" applyFill="1" applyBorder="1" applyAlignment="1">
      <alignment vertical="center" wrapText="1"/>
    </xf>
    <xf numFmtId="4" fontId="24" fillId="0" borderId="22" xfId="0" applyNumberFormat="1" applyFont="1" applyFill="1" applyBorder="1" applyAlignment="1">
      <alignment vertical="center" wrapText="1"/>
    </xf>
    <xf numFmtId="4" fontId="7" fillId="0" borderId="15" xfId="0" applyNumberFormat="1" applyFont="1" applyFill="1" applyBorder="1" applyAlignment="1">
      <alignment vertical="center" wrapText="1"/>
    </xf>
    <xf numFmtId="4" fontId="7" fillId="0" borderId="18" xfId="0" applyNumberFormat="1" applyFont="1" applyBorder="1" applyAlignment="1">
      <alignment vertical="center" wrapText="1"/>
    </xf>
    <xf numFmtId="4" fontId="24" fillId="5" borderId="6" xfId="0" applyNumberFormat="1" applyFont="1" applyFill="1" applyBorder="1" applyAlignment="1">
      <alignment vertical="center" wrapText="1"/>
    </xf>
    <xf numFmtId="4" fontId="7" fillId="0" borderId="15" xfId="0" applyNumberFormat="1" applyFont="1" applyFill="1" applyBorder="1" applyAlignment="1">
      <alignment vertical="center"/>
    </xf>
    <xf numFmtId="4" fontId="7" fillId="0" borderId="0" xfId="0" applyNumberFormat="1" applyFont="1" applyFill="1" applyBorder="1" applyAlignment="1">
      <alignment vertical="center"/>
    </xf>
    <xf numFmtId="4" fontId="7" fillId="0" borderId="18" xfId="0" applyNumberFormat="1" applyFont="1" applyFill="1" applyBorder="1" applyAlignment="1">
      <alignment vertical="center"/>
    </xf>
    <xf numFmtId="4" fontId="8" fillId="3" borderId="27" xfId="5" applyNumberFormat="1" applyFont="1" applyFill="1" applyBorder="1" applyAlignment="1">
      <alignment horizontal="right" vertical="center"/>
    </xf>
    <xf numFmtId="4" fontId="33" fillId="23" borderId="27" xfId="5" applyNumberFormat="1" applyFont="1" applyFill="1" applyBorder="1" applyAlignment="1">
      <alignment horizontal="right" vertical="center"/>
    </xf>
    <xf numFmtId="4" fontId="24" fillId="22" borderId="6" xfId="0" applyNumberFormat="1" applyFont="1" applyFill="1" applyBorder="1" applyAlignment="1">
      <alignment horizontal="right" vertical="center" wrapText="1"/>
    </xf>
    <xf numFmtId="4" fontId="7" fillId="0" borderId="69" xfId="0" applyNumberFormat="1" applyFont="1" applyBorder="1" applyAlignment="1">
      <alignment vertical="center" wrapText="1"/>
    </xf>
    <xf numFmtId="4" fontId="7" fillId="0" borderId="25" xfId="0" applyNumberFormat="1" applyFont="1" applyBorder="1" applyAlignment="1">
      <alignment vertical="center" wrapText="1"/>
    </xf>
    <xf numFmtId="4" fontId="7" fillId="0" borderId="0" xfId="0" applyNumberFormat="1" applyFont="1" applyBorder="1" applyAlignment="1">
      <alignment horizontal="right" vertical="center" wrapText="1"/>
    </xf>
    <xf numFmtId="4" fontId="24" fillId="5" borderId="70" xfId="0" applyNumberFormat="1" applyFont="1" applyFill="1" applyBorder="1" applyAlignment="1">
      <alignment horizontal="right" vertical="center" wrapText="1"/>
    </xf>
    <xf numFmtId="4" fontId="24" fillId="0" borderId="18" xfId="0" applyNumberFormat="1" applyFont="1" applyFill="1" applyBorder="1" applyAlignment="1">
      <alignment horizontal="right" wrapText="1"/>
    </xf>
    <xf numFmtId="4" fontId="7" fillId="0" borderId="64" xfId="0" applyNumberFormat="1" applyFont="1" applyBorder="1" applyAlignment="1">
      <alignment vertical="center" wrapText="1"/>
    </xf>
    <xf numFmtId="4" fontId="7" fillId="0" borderId="15" xfId="0" applyNumberFormat="1" applyFont="1" applyBorder="1" applyAlignment="1">
      <alignment horizontal="center" vertical="center" wrapText="1"/>
    </xf>
    <xf numFmtId="4" fontId="7" fillId="0" borderId="6" xfId="0" applyNumberFormat="1" applyFont="1" applyBorder="1" applyAlignment="1">
      <alignment horizontal="right" wrapText="1"/>
    </xf>
    <xf numFmtId="4" fontId="7" fillId="0" borderId="1" xfId="0" applyNumberFormat="1" applyFont="1" applyBorder="1" applyAlignment="1"/>
    <xf numFmtId="4" fontId="8" fillId="0" borderId="0" xfId="0" applyNumberFormat="1" applyFont="1" applyAlignment="1"/>
    <xf numFmtId="4" fontId="7" fillId="0" borderId="0" xfId="0" applyNumberFormat="1" applyFont="1" applyAlignment="1"/>
    <xf numFmtId="4" fontId="8" fillId="0" borderId="14" xfId="0" applyNumberFormat="1" applyFont="1" applyBorder="1" applyAlignment="1">
      <alignment vertical="center"/>
    </xf>
    <xf numFmtId="4" fontId="7" fillId="14" borderId="21" xfId="0" applyNumberFormat="1" applyFont="1" applyFill="1" applyBorder="1" applyAlignment="1">
      <alignment vertical="center" wrapText="1"/>
    </xf>
    <xf numFmtId="4" fontId="7" fillId="0" borderId="6" xfId="0" applyNumberFormat="1" applyFont="1" applyBorder="1" applyAlignment="1">
      <alignment vertical="center" wrapText="1"/>
    </xf>
    <xf numFmtId="4" fontId="24" fillId="5" borderId="15" xfId="0" applyNumberFormat="1" applyFont="1" applyFill="1" applyBorder="1" applyAlignment="1">
      <alignment vertical="center" wrapText="1"/>
    </xf>
    <xf numFmtId="4" fontId="24" fillId="22" borderId="6" xfId="0" applyNumberFormat="1" applyFont="1" applyFill="1" applyBorder="1" applyAlignment="1">
      <alignment vertical="center" wrapText="1"/>
    </xf>
    <xf numFmtId="4" fontId="7" fillId="0" borderId="34" xfId="0" applyNumberFormat="1" applyFont="1" applyFill="1" applyBorder="1" applyAlignment="1" applyProtection="1">
      <alignment vertical="center"/>
      <protection locked="0"/>
    </xf>
    <xf numFmtId="4" fontId="7" fillId="0" borderId="0" xfId="0" applyNumberFormat="1" applyFont="1" applyFill="1" applyBorder="1" applyAlignment="1">
      <alignment vertical="center" wrapText="1"/>
    </xf>
    <xf numFmtId="4" fontId="7" fillId="0" borderId="18" xfId="0" applyNumberFormat="1" applyFont="1" applyFill="1" applyBorder="1" applyAlignment="1">
      <alignment vertical="center" wrapText="1"/>
    </xf>
    <xf numFmtId="4" fontId="7" fillId="0" borderId="6" xfId="0" applyNumberFormat="1" applyFont="1" applyBorder="1" applyAlignment="1">
      <alignment wrapText="1"/>
    </xf>
    <xf numFmtId="4" fontId="7" fillId="0" borderId="22" xfId="0" applyNumberFormat="1" applyFont="1" applyBorder="1" applyAlignment="1">
      <alignment vertical="center"/>
    </xf>
    <xf numFmtId="4" fontId="8" fillId="3" borderId="26" xfId="5" applyNumberFormat="1" applyFont="1" applyFill="1" applyBorder="1" applyAlignment="1">
      <alignment vertical="center"/>
    </xf>
    <xf numFmtId="4" fontId="7" fillId="14" borderId="64" xfId="0" applyNumberFormat="1" applyFont="1" applyFill="1" applyBorder="1" applyAlignment="1">
      <alignment vertical="center" wrapText="1"/>
    </xf>
    <xf numFmtId="4" fontId="33" fillId="24" borderId="27" xfId="5" applyNumberFormat="1" applyFont="1" applyFill="1" applyBorder="1" applyAlignment="1">
      <alignment horizontal="right" vertical="center"/>
    </xf>
    <xf numFmtId="3" fontId="7" fillId="0" borderId="40" xfId="0" applyNumberFormat="1" applyFont="1" applyBorder="1" applyAlignment="1">
      <alignment horizontal="left" vertical="top" wrapText="1"/>
    </xf>
    <xf numFmtId="3" fontId="8" fillId="22" borderId="17" xfId="0" applyNumberFormat="1" applyFont="1" applyFill="1" applyBorder="1" applyAlignment="1">
      <alignment horizontal="center" vertical="center" wrapText="1"/>
    </xf>
    <xf numFmtId="4" fontId="24" fillId="22" borderId="18" xfId="0" applyNumberFormat="1" applyFont="1" applyFill="1" applyBorder="1" applyAlignment="1">
      <alignment horizontal="right" vertical="center" wrapText="1"/>
    </xf>
    <xf numFmtId="3" fontId="24" fillId="22" borderId="18" xfId="0" applyNumberFormat="1" applyFont="1" applyFill="1" applyBorder="1" applyAlignment="1">
      <alignment horizontal="justify" vertical="center" wrapText="1"/>
    </xf>
    <xf numFmtId="3" fontId="24" fillId="22" borderId="19" xfId="0" applyNumberFormat="1" applyFont="1" applyFill="1" applyBorder="1" applyAlignment="1">
      <alignment horizontal="right" vertical="center"/>
    </xf>
    <xf numFmtId="3" fontId="8" fillId="0" borderId="6" xfId="0" applyNumberFormat="1" applyFont="1" applyFill="1" applyBorder="1" applyAlignment="1">
      <alignment horizontal="center" vertical="center" wrapText="1"/>
    </xf>
    <xf numFmtId="3" fontId="24" fillId="0" borderId="6" xfId="0" applyNumberFormat="1" applyFont="1" applyFill="1" applyBorder="1" applyAlignment="1">
      <alignment horizontal="right" vertical="center"/>
    </xf>
    <xf numFmtId="4" fontId="8" fillId="7" borderId="6" xfId="0" applyNumberFormat="1" applyFont="1" applyFill="1" applyBorder="1" applyAlignment="1"/>
    <xf numFmtId="4" fontId="7" fillId="0" borderId="0" xfId="0" applyNumberFormat="1" applyFont="1" applyBorder="1" applyAlignment="1">
      <alignment vertical="center"/>
    </xf>
    <xf numFmtId="4" fontId="8" fillId="12" borderId="6" xfId="0" applyNumberFormat="1" applyFont="1" applyFill="1" applyBorder="1" applyAlignment="1">
      <alignment vertical="center"/>
    </xf>
    <xf numFmtId="4" fontId="8" fillId="7" borderId="6" xfId="0" applyNumberFormat="1" applyFont="1" applyFill="1" applyBorder="1" applyAlignment="1">
      <alignment vertical="center"/>
    </xf>
    <xf numFmtId="4" fontId="33" fillId="9" borderId="6" xfId="0" applyNumberFormat="1" applyFont="1" applyFill="1" applyBorder="1" applyAlignment="1">
      <alignment vertical="center"/>
    </xf>
    <xf numFmtId="0" fontId="44" fillId="0" borderId="0" xfId="0" applyFont="1"/>
    <xf numFmtId="164" fontId="7" fillId="0" borderId="0" xfId="4" applyFont="1"/>
    <xf numFmtId="3" fontId="8" fillId="8" borderId="36" xfId="0" applyNumberFormat="1" applyFont="1" applyFill="1" applyBorder="1" applyAlignment="1">
      <alignment horizontal="center" vertical="center"/>
    </xf>
    <xf numFmtId="0" fontId="8" fillId="0" borderId="0" xfId="0" applyFont="1" applyAlignment="1">
      <alignment horizontal="left"/>
    </xf>
    <xf numFmtId="171" fontId="7" fillId="0" borderId="0" xfId="0" applyNumberFormat="1" applyFont="1"/>
    <xf numFmtId="37" fontId="23" fillId="6" borderId="2" xfId="0" applyNumberFormat="1" applyFont="1" applyFill="1" applyBorder="1" applyAlignment="1">
      <alignment vertical="center"/>
    </xf>
    <xf numFmtId="37" fontId="23" fillId="6" borderId="27" xfId="0" applyNumberFormat="1" applyFont="1" applyFill="1" applyBorder="1" applyAlignment="1">
      <alignment vertical="center"/>
    </xf>
    <xf numFmtId="0" fontId="45" fillId="0" borderId="0" xfId="0" applyFont="1"/>
    <xf numFmtId="0" fontId="15" fillId="27" borderId="0" xfId="0" applyFont="1" applyFill="1"/>
    <xf numFmtId="4" fontId="7" fillId="18" borderId="21" xfId="0" applyNumberFormat="1" applyFont="1" applyFill="1" applyBorder="1" applyAlignment="1">
      <alignment vertical="center" wrapText="1"/>
    </xf>
    <xf numFmtId="164" fontId="7" fillId="0" borderId="31" xfId="4" applyFont="1" applyBorder="1"/>
    <xf numFmtId="164" fontId="7" fillId="0" borderId="55" xfId="4" applyFont="1" applyBorder="1"/>
    <xf numFmtId="0" fontId="10" fillId="0" borderId="76" xfId="0" applyFont="1" applyBorder="1" applyAlignment="1">
      <alignment horizontal="justify" vertical="center"/>
    </xf>
    <xf numFmtId="4" fontId="10" fillId="18" borderId="77" xfId="0" applyNumberFormat="1" applyFont="1" applyFill="1" applyBorder="1" applyAlignment="1">
      <alignment horizontal="right" vertical="center"/>
    </xf>
    <xf numFmtId="166" fontId="10" fillId="18" borderId="77" xfId="0" applyNumberFormat="1" applyFont="1" applyFill="1" applyBorder="1" applyAlignment="1">
      <alignment horizontal="center" vertical="center"/>
    </xf>
    <xf numFmtId="166" fontId="10" fillId="0" borderId="77" xfId="0" applyNumberFormat="1" applyFont="1" applyBorder="1" applyAlignment="1">
      <alignment horizontal="center" vertical="center"/>
    </xf>
    <xf numFmtId="166" fontId="10" fillId="0" borderId="78" xfId="0" applyNumberFormat="1" applyFont="1" applyBorder="1" applyAlignment="1">
      <alignment horizontal="center" vertical="center"/>
    </xf>
    <xf numFmtId="0" fontId="9" fillId="0" borderId="0" xfId="0" applyFont="1" applyAlignment="1">
      <alignment horizontal="center"/>
    </xf>
    <xf numFmtId="9" fontId="9" fillId="0" borderId="0" xfId="0" applyNumberFormat="1" applyFont="1" applyBorder="1" applyAlignment="1">
      <alignment horizontal="center"/>
    </xf>
    <xf numFmtId="3" fontId="9" fillId="0" borderId="1" xfId="0" applyNumberFormat="1" applyFont="1" applyBorder="1" applyAlignment="1">
      <alignment horizontal="center"/>
    </xf>
    <xf numFmtId="3" fontId="9" fillId="0" borderId="0" xfId="0" applyNumberFormat="1" applyFont="1" applyAlignment="1">
      <alignment horizontal="center"/>
    </xf>
    <xf numFmtId="3" fontId="9" fillId="0" borderId="1" xfId="0" applyNumberFormat="1" applyFont="1" applyBorder="1" applyAlignment="1"/>
    <xf numFmtId="4" fontId="9" fillId="0" borderId="1" xfId="0" applyNumberFormat="1" applyFont="1" applyBorder="1" applyAlignment="1">
      <alignment horizontal="right"/>
    </xf>
    <xf numFmtId="4" fontId="10" fillId="0" borderId="1" xfId="0" applyNumberFormat="1" applyFont="1" applyBorder="1" applyAlignment="1">
      <alignment horizontal="right"/>
    </xf>
    <xf numFmtId="0" fontId="10" fillId="0" borderId="1" xfId="0" applyFont="1" applyBorder="1" applyAlignment="1">
      <alignment horizontal="center"/>
    </xf>
    <xf numFmtId="4" fontId="9" fillId="0" borderId="0" xfId="0" applyNumberFormat="1" applyFont="1" applyAlignment="1">
      <alignment horizontal="right"/>
    </xf>
    <xf numFmtId="9" fontId="9" fillId="0" borderId="0" xfId="0" applyNumberFormat="1" applyFont="1" applyAlignment="1">
      <alignment horizontal="center"/>
    </xf>
    <xf numFmtId="4" fontId="10" fillId="0" borderId="0" xfId="0" applyNumberFormat="1" applyFont="1" applyAlignment="1">
      <alignment horizontal="right"/>
    </xf>
    <xf numFmtId="0" fontId="32" fillId="9" borderId="46" xfId="0" applyFont="1" applyFill="1" applyBorder="1"/>
    <xf numFmtId="4" fontId="32" fillId="9" borderId="47" xfId="0" applyNumberFormat="1" applyFont="1" applyFill="1" applyBorder="1" applyAlignment="1">
      <alignment horizontal="center"/>
    </xf>
    <xf numFmtId="9" fontId="32" fillId="9" borderId="47" xfId="0" applyNumberFormat="1" applyFont="1" applyFill="1" applyBorder="1" applyAlignment="1">
      <alignment horizontal="center"/>
    </xf>
    <xf numFmtId="4" fontId="32" fillId="9" borderId="47" xfId="0" applyNumberFormat="1" applyFont="1" applyFill="1" applyBorder="1" applyAlignment="1">
      <alignment horizontal="center" vertical="center"/>
    </xf>
    <xf numFmtId="0" fontId="32" fillId="9" borderId="47" xfId="0" applyFont="1" applyFill="1" applyBorder="1" applyAlignment="1">
      <alignment horizontal="center"/>
    </xf>
    <xf numFmtId="4" fontId="32" fillId="9" borderId="71" xfId="0" applyNumberFormat="1" applyFont="1" applyFill="1" applyBorder="1" applyAlignment="1">
      <alignment horizontal="center"/>
    </xf>
    <xf numFmtId="0" fontId="32" fillId="9" borderId="48" xfId="0" applyFont="1" applyFill="1" applyBorder="1" applyAlignment="1">
      <alignment horizontal="center"/>
    </xf>
    <xf numFmtId="0" fontId="32" fillId="9" borderId="49" xfId="0" applyFont="1" applyFill="1" applyBorder="1" applyAlignment="1">
      <alignment horizontal="center"/>
    </xf>
    <xf numFmtId="4" fontId="32" fillId="9" borderId="50" xfId="0" applyNumberFormat="1" applyFont="1" applyFill="1" applyBorder="1" applyAlignment="1">
      <alignment horizontal="center"/>
    </xf>
    <xf numFmtId="9" fontId="32" fillId="9" borderId="50" xfId="0" applyNumberFormat="1" applyFont="1" applyFill="1" applyBorder="1" applyAlignment="1">
      <alignment horizontal="center"/>
    </xf>
    <xf numFmtId="0" fontId="32" fillId="9" borderId="50" xfId="0" applyFont="1" applyFill="1" applyBorder="1" applyAlignment="1">
      <alignment horizontal="center"/>
    </xf>
    <xf numFmtId="0" fontId="32" fillId="9" borderId="51" xfId="0" applyFont="1" applyFill="1" applyBorder="1" applyAlignment="1">
      <alignment horizontal="center"/>
    </xf>
    <xf numFmtId="0" fontId="32" fillId="9" borderId="66" xfId="0" applyFont="1" applyFill="1" applyBorder="1"/>
    <xf numFmtId="4" fontId="32" fillId="9" borderId="65" xfId="0" applyNumberFormat="1" applyFont="1" applyFill="1" applyBorder="1" applyAlignment="1">
      <alignment horizontal="center"/>
    </xf>
    <xf numFmtId="9" fontId="32" fillId="9" borderId="65" xfId="0" applyNumberFormat="1" applyFont="1" applyFill="1" applyBorder="1" applyAlignment="1">
      <alignment horizontal="center"/>
    </xf>
    <xf numFmtId="0" fontId="32" fillId="9" borderId="65" xfId="0" applyFont="1" applyFill="1" applyBorder="1" applyAlignment="1">
      <alignment horizontal="center"/>
    </xf>
    <xf numFmtId="49" fontId="32" fillId="9" borderId="65" xfId="0" applyNumberFormat="1" applyFont="1" applyFill="1" applyBorder="1" applyAlignment="1">
      <alignment horizontal="center"/>
    </xf>
    <xf numFmtId="0" fontId="32" fillId="9" borderId="67" xfId="0" applyFont="1" applyFill="1" applyBorder="1" applyAlignment="1">
      <alignment horizontal="center"/>
    </xf>
    <xf numFmtId="4" fontId="10" fillId="0" borderId="14" xfId="0" applyNumberFormat="1" applyFont="1" applyBorder="1" applyAlignment="1">
      <alignment horizontal="right"/>
    </xf>
    <xf numFmtId="0" fontId="9" fillId="21" borderId="5" xfId="0" applyFont="1" applyFill="1" applyBorder="1" applyAlignment="1">
      <alignment vertical="center"/>
    </xf>
    <xf numFmtId="4" fontId="9" fillId="21" borderId="6" xfId="0" applyNumberFormat="1" applyFont="1" applyFill="1" applyBorder="1" applyAlignment="1">
      <alignment horizontal="right" vertical="center"/>
    </xf>
    <xf numFmtId="166" fontId="9" fillId="21" borderId="6" xfId="0" applyNumberFormat="1" applyFont="1" applyFill="1" applyBorder="1" applyAlignment="1">
      <alignment horizontal="center" vertical="center"/>
    </xf>
    <xf numFmtId="0" fontId="10" fillId="0" borderId="0" xfId="0" applyFont="1" applyAlignment="1">
      <alignment vertical="center"/>
    </xf>
    <xf numFmtId="166" fontId="9" fillId="2" borderId="0" xfId="0" applyNumberFormat="1" applyFont="1" applyFill="1" applyBorder="1" applyAlignment="1">
      <alignment horizontal="center"/>
    </xf>
    <xf numFmtId="0" fontId="10" fillId="0" borderId="4" xfId="0" applyFont="1" applyBorder="1" applyAlignment="1">
      <alignment vertical="center"/>
    </xf>
    <xf numFmtId="49" fontId="10" fillId="0" borderId="4" xfId="0" applyNumberFormat="1" applyFont="1" applyBorder="1" applyAlignment="1">
      <alignment vertical="center"/>
    </xf>
    <xf numFmtId="3" fontId="10" fillId="0" borderId="29" xfId="0" applyNumberFormat="1" applyFont="1" applyBorder="1" applyAlignment="1">
      <alignment horizontal="justify" vertical="center"/>
    </xf>
    <xf numFmtId="4" fontId="10" fillId="0" borderId="26" xfId="0" applyNumberFormat="1" applyFont="1" applyBorder="1" applyAlignment="1">
      <alignment horizontal="right" vertical="center"/>
    </xf>
    <xf numFmtId="3" fontId="10" fillId="0" borderId="4" xfId="8" applyNumberFormat="1" applyFont="1" applyBorder="1" applyAlignment="1">
      <alignment horizontal="justify" vertical="center"/>
    </xf>
    <xf numFmtId="3" fontId="10" fillId="0" borderId="4" xfId="0" applyNumberFormat="1" applyFont="1" applyBorder="1" applyAlignment="1">
      <alignment horizontal="justify"/>
    </xf>
    <xf numFmtId="3" fontId="9" fillId="7" borderId="5" xfId="0" applyNumberFormat="1" applyFont="1" applyFill="1" applyBorder="1" applyAlignment="1">
      <alignment horizontal="justify"/>
    </xf>
    <xf numFmtId="4" fontId="9" fillId="7" borderId="6" xfId="0" applyNumberFormat="1" applyFont="1" applyFill="1" applyBorder="1" applyAlignment="1">
      <alignment horizontal="right"/>
    </xf>
    <xf numFmtId="3" fontId="10" fillId="0" borderId="23" xfId="0" applyNumberFormat="1" applyFont="1" applyBorder="1" applyAlignment="1">
      <alignment horizontal="justify"/>
    </xf>
    <xf numFmtId="3" fontId="10" fillId="0" borderId="4" xfId="0" applyNumberFormat="1" applyFont="1" applyBorder="1" applyAlignment="1"/>
    <xf numFmtId="3" fontId="9" fillId="21" borderId="5" xfId="0" applyNumberFormat="1" applyFont="1" applyFill="1" applyBorder="1" applyAlignment="1">
      <alignment horizontal="justify" vertical="center"/>
    </xf>
    <xf numFmtId="0" fontId="10" fillId="0" borderId="29" xfId="0" applyFont="1" applyBorder="1" applyAlignment="1">
      <alignment horizontal="justify" vertical="center"/>
    </xf>
    <xf numFmtId="0" fontId="10" fillId="0" borderId="23" xfId="0" applyFont="1" applyBorder="1" applyAlignment="1">
      <alignment horizontal="justify" vertical="center"/>
    </xf>
    <xf numFmtId="4" fontId="10" fillId="0" borderId="26" xfId="0" applyNumberFormat="1" applyFont="1" applyBorder="1" applyAlignment="1">
      <alignment horizontal="right"/>
    </xf>
    <xf numFmtId="4" fontId="10" fillId="0" borderId="53" xfId="0" applyNumberFormat="1" applyFont="1" applyBorder="1" applyAlignment="1">
      <alignment horizontal="right"/>
    </xf>
    <xf numFmtId="0" fontId="10" fillId="0" borderId="53" xfId="0" applyFont="1" applyBorder="1" applyAlignment="1">
      <alignment horizontal="center"/>
    </xf>
    <xf numFmtId="4" fontId="10" fillId="0" borderId="37" xfId="0" applyNumberFormat="1" applyFont="1" applyBorder="1" applyAlignment="1">
      <alignment horizontal="right"/>
    </xf>
    <xf numFmtId="0" fontId="10" fillId="0" borderId="37" xfId="0" applyFont="1" applyBorder="1" applyAlignment="1">
      <alignment horizontal="center"/>
    </xf>
    <xf numFmtId="0" fontId="9" fillId="0" borderId="14" xfId="0" applyFont="1" applyBorder="1" applyAlignment="1">
      <alignment horizontal="center"/>
    </xf>
    <xf numFmtId="0" fontId="9" fillId="0" borderId="26" xfId="0" applyFont="1" applyBorder="1" applyAlignment="1">
      <alignment horizontal="center"/>
    </xf>
    <xf numFmtId="9" fontId="7" fillId="0" borderId="0" xfId="0" applyNumberFormat="1" applyFont="1"/>
    <xf numFmtId="164" fontId="7" fillId="0" borderId="0" xfId="0" applyNumberFormat="1" applyFont="1"/>
    <xf numFmtId="0" fontId="8" fillId="0" borderId="0" xfId="0" applyFont="1"/>
    <xf numFmtId="3" fontId="8" fillId="0" borderId="0" xfId="0" applyNumberFormat="1" applyFont="1"/>
    <xf numFmtId="0" fontId="10" fillId="0" borderId="7" xfId="0" applyFont="1" applyBorder="1" applyAlignment="1">
      <alignment horizontal="center"/>
    </xf>
    <xf numFmtId="164" fontId="15" fillId="0" borderId="0" xfId="4" applyFont="1"/>
    <xf numFmtId="164" fontId="44" fillId="0" borderId="0" xfId="4" applyFont="1"/>
    <xf numFmtId="164" fontId="15" fillId="14" borderId="0" xfId="4" applyFont="1" applyFill="1"/>
    <xf numFmtId="164" fontId="15" fillId="27" borderId="0" xfId="4" applyFont="1" applyFill="1"/>
    <xf numFmtId="164" fontId="45" fillId="0" borderId="0" xfId="4" applyFont="1"/>
    <xf numFmtId="164" fontId="45" fillId="27" borderId="0" xfId="4" applyFont="1" applyFill="1"/>
    <xf numFmtId="164" fontId="15" fillId="0" borderId="0" xfId="4" applyFont="1" applyAlignment="1">
      <alignment horizontal="center" vertical="center"/>
    </xf>
    <xf numFmtId="164" fontId="15" fillId="29" borderId="0" xfId="4" applyFont="1" applyFill="1"/>
    <xf numFmtId="4" fontId="7" fillId="14" borderId="37" xfId="0" applyNumberFormat="1" applyFont="1" applyFill="1" applyBorder="1"/>
    <xf numFmtId="4" fontId="7" fillId="18" borderId="0" xfId="0" applyNumberFormat="1" applyFont="1" applyFill="1" applyBorder="1"/>
    <xf numFmtId="43" fontId="15" fillId="0" borderId="0" xfId="0" applyNumberFormat="1" applyFont="1"/>
    <xf numFmtId="0" fontId="15" fillId="18" borderId="0" xfId="0" applyFont="1" applyFill="1"/>
    <xf numFmtId="164" fontId="15" fillId="18" borderId="0" xfId="4" applyFont="1" applyFill="1"/>
    <xf numFmtId="0" fontId="15" fillId="18" borderId="0" xfId="0" applyFont="1" applyFill="1" applyAlignment="1">
      <alignment wrapText="1"/>
    </xf>
    <xf numFmtId="4" fontId="15" fillId="18" borderId="0" xfId="0" applyNumberFormat="1" applyFont="1" applyFill="1"/>
    <xf numFmtId="164" fontId="16" fillId="28" borderId="0" xfId="4" applyFont="1" applyFill="1" applyAlignment="1">
      <alignment horizontal="center" vertical="center"/>
    </xf>
    <xf numFmtId="0" fontId="9" fillId="0" borderId="17" xfId="0" applyFont="1" applyBorder="1"/>
    <xf numFmtId="4" fontId="9" fillId="0" borderId="18" xfId="0" applyNumberFormat="1" applyFont="1" applyBorder="1" applyAlignment="1">
      <alignment horizontal="right"/>
    </xf>
    <xf numFmtId="166" fontId="9" fillId="21" borderId="16" xfId="0" applyNumberFormat="1" applyFont="1" applyFill="1" applyBorder="1" applyAlignment="1">
      <alignment horizontal="center" vertical="center"/>
    </xf>
    <xf numFmtId="166" fontId="9" fillId="2" borderId="7" xfId="0" applyNumberFormat="1" applyFont="1" applyFill="1" applyBorder="1" applyAlignment="1">
      <alignment horizontal="center"/>
    </xf>
    <xf numFmtId="10" fontId="9" fillId="0" borderId="7" xfId="0" applyNumberFormat="1" applyFont="1" applyBorder="1" applyAlignment="1">
      <alignment horizontal="center"/>
    </xf>
    <xf numFmtId="9" fontId="9" fillId="2" borderId="7" xfId="0" applyNumberFormat="1" applyFont="1" applyFill="1" applyBorder="1" applyAlignment="1">
      <alignment horizontal="center"/>
    </xf>
    <xf numFmtId="166" fontId="10" fillId="0" borderId="30" xfId="0" applyNumberFormat="1" applyFont="1" applyBorder="1" applyAlignment="1">
      <alignment horizontal="center"/>
    </xf>
    <xf numFmtId="166" fontId="9" fillId="7" borderId="16" xfId="11" applyNumberFormat="1" applyFont="1" applyFill="1" applyBorder="1" applyAlignment="1">
      <alignment horizontal="center"/>
    </xf>
    <xf numFmtId="3" fontId="10" fillId="0" borderId="17" xfId="0" applyNumberFormat="1" applyFont="1" applyBorder="1" applyAlignment="1">
      <alignment horizontal="justify"/>
    </xf>
    <xf numFmtId="166" fontId="10" fillId="0" borderId="18" xfId="0" applyNumberFormat="1" applyFont="1" applyBorder="1" applyAlignment="1">
      <alignment horizontal="center" vertical="center"/>
    </xf>
    <xf numFmtId="166" fontId="10" fillId="0" borderId="19" xfId="0" applyNumberFormat="1" applyFont="1" applyBorder="1" applyAlignment="1">
      <alignment horizontal="center" vertical="center"/>
    </xf>
    <xf numFmtId="3" fontId="7" fillId="0" borderId="68" xfId="0" applyNumberFormat="1" applyFont="1" applyBorder="1" applyAlignment="1" applyProtection="1">
      <alignment horizontal="center" vertical="center"/>
      <protection locked="0"/>
    </xf>
    <xf numFmtId="3" fontId="7" fillId="0" borderId="64" xfId="0" applyNumberFormat="1" applyFont="1" applyBorder="1" applyAlignment="1" applyProtection="1">
      <alignment horizontal="justify" vertical="center"/>
      <protection locked="0"/>
    </xf>
    <xf numFmtId="164" fontId="7" fillId="0" borderId="64" xfId="4" applyFont="1" applyBorder="1"/>
    <xf numFmtId="164" fontId="7" fillId="0" borderId="57" xfId="4" applyFont="1" applyBorder="1"/>
    <xf numFmtId="0" fontId="27" fillId="0" borderId="0" xfId="0" applyFont="1" applyAlignment="1">
      <alignment horizontal="left" vertical="top" wrapText="1"/>
    </xf>
    <xf numFmtId="0" fontId="28" fillId="0" borderId="0" xfId="0" applyFont="1" applyAlignment="1">
      <alignment horizontal="left" vertical="top" wrapText="1"/>
    </xf>
    <xf numFmtId="0" fontId="29" fillId="0" borderId="0" xfId="0" applyFont="1" applyAlignment="1">
      <alignment horizontal="left" vertical="top" wrapText="1"/>
    </xf>
    <xf numFmtId="0" fontId="27" fillId="0" borderId="15" xfId="0" applyFont="1" applyBorder="1" applyAlignment="1">
      <alignment horizontal="center" vertical="top" wrapText="1"/>
    </xf>
    <xf numFmtId="0" fontId="33" fillId="15" borderId="15" xfId="0" applyFont="1" applyFill="1" applyBorder="1" applyAlignment="1">
      <alignment horizontal="center" vertical="top" wrapText="1"/>
    </xf>
    <xf numFmtId="0" fontId="8" fillId="22" borderId="15" xfId="0" applyFont="1" applyFill="1" applyBorder="1" applyAlignment="1">
      <alignment horizontal="center" vertical="top" wrapText="1"/>
    </xf>
    <xf numFmtId="0" fontId="27" fillId="22" borderId="15" xfId="0" applyFont="1" applyFill="1" applyBorder="1" applyAlignment="1">
      <alignment horizontal="center" vertical="top" wrapText="1"/>
    </xf>
    <xf numFmtId="0" fontId="27" fillId="0" borderId="21" xfId="0" applyFont="1" applyBorder="1" applyAlignment="1">
      <alignment horizontal="center" vertical="top" wrapText="1"/>
    </xf>
    <xf numFmtId="0" fontId="6" fillId="14" borderId="72" xfId="0" applyFont="1" applyFill="1" applyBorder="1" applyAlignment="1">
      <alignment horizontal="center" vertical="center" wrapText="1"/>
    </xf>
    <xf numFmtId="164" fontId="18" fillId="0" borderId="0" xfId="4" applyFont="1" applyAlignment="1">
      <alignment horizontal="right" vertical="top"/>
    </xf>
    <xf numFmtId="164" fontId="29" fillId="0" borderId="0" xfId="4" applyFont="1" applyAlignment="1">
      <alignment horizontal="right" vertical="top"/>
    </xf>
    <xf numFmtId="43" fontId="7" fillId="0" borderId="73" xfId="0" applyNumberFormat="1" applyFont="1" applyBorder="1"/>
    <xf numFmtId="43" fontId="7" fillId="0" borderId="0" xfId="0" applyNumberFormat="1" applyFont="1"/>
    <xf numFmtId="0" fontId="28" fillId="30" borderId="0" xfId="0" applyFont="1" applyFill="1" applyAlignment="1">
      <alignment horizontal="left" vertical="top" wrapText="1"/>
    </xf>
    <xf numFmtId="0" fontId="29" fillId="30" borderId="0" xfId="0" applyFont="1" applyFill="1" applyAlignment="1">
      <alignment horizontal="left" vertical="top" wrapText="1"/>
    </xf>
    <xf numFmtId="164" fontId="29" fillId="30" borderId="0" xfId="4" applyFont="1" applyFill="1" applyAlignment="1">
      <alignment horizontal="right" vertical="top"/>
    </xf>
    <xf numFmtId="164" fontId="29" fillId="30" borderId="73" xfId="4" applyFont="1" applyFill="1" applyBorder="1" applyAlignment="1">
      <alignment horizontal="right" vertical="top"/>
    </xf>
    <xf numFmtId="0" fontId="27" fillId="22" borderId="0" xfId="0" applyFont="1" applyFill="1" applyAlignment="1">
      <alignment horizontal="left" vertical="top" wrapText="1"/>
    </xf>
    <xf numFmtId="0" fontId="29" fillId="22" borderId="0" xfId="0" applyFont="1" applyFill="1" applyAlignment="1">
      <alignment horizontal="left" vertical="top" wrapText="1"/>
    </xf>
    <xf numFmtId="164" fontId="29" fillId="22" borderId="0" xfId="4" applyFont="1" applyFill="1" applyAlignment="1">
      <alignment horizontal="right" vertical="top"/>
    </xf>
    <xf numFmtId="164" fontId="29" fillId="22" borderId="73" xfId="4" applyFont="1" applyFill="1" applyBorder="1" applyAlignment="1">
      <alignment horizontal="right" vertical="top"/>
    </xf>
    <xf numFmtId="0" fontId="33" fillId="31" borderId="74" xfId="0" applyFont="1" applyFill="1" applyBorder="1" applyAlignment="1">
      <alignment horizontal="left" vertical="top" wrapText="1"/>
    </xf>
    <xf numFmtId="164" fontId="33" fillId="31" borderId="74" xfId="4" applyFont="1" applyFill="1" applyBorder="1" applyAlignment="1">
      <alignment horizontal="right" vertical="top"/>
    </xf>
    <xf numFmtId="164" fontId="33" fillId="31" borderId="75" xfId="4" applyFont="1" applyFill="1" applyBorder="1" applyAlignment="1">
      <alignment horizontal="right" vertical="top"/>
    </xf>
    <xf numFmtId="169" fontId="7" fillId="0" borderId="0" xfId="0" applyNumberFormat="1" applyFont="1"/>
    <xf numFmtId="0" fontId="27" fillId="7" borderId="0" xfId="0" applyFont="1" applyFill="1" applyAlignment="1">
      <alignment horizontal="left" vertical="top" wrapText="1"/>
    </xf>
    <xf numFmtId="0" fontId="29" fillId="7" borderId="0" xfId="0" applyFont="1" applyFill="1" applyAlignment="1">
      <alignment horizontal="left" vertical="top" wrapText="1"/>
    </xf>
    <xf numFmtId="164" fontId="29" fillId="7" borderId="0" xfId="4" applyFont="1" applyFill="1" applyAlignment="1">
      <alignment horizontal="right" vertical="top"/>
    </xf>
    <xf numFmtId="164" fontId="29" fillId="7" borderId="73" xfId="4" applyFont="1" applyFill="1" applyBorder="1" applyAlignment="1">
      <alignment horizontal="right" vertical="top"/>
    </xf>
    <xf numFmtId="164" fontId="33" fillId="9" borderId="27" xfId="4" applyFont="1" applyFill="1" applyBorder="1" applyAlignment="1">
      <alignment horizontal="center" vertical="center"/>
    </xf>
    <xf numFmtId="4" fontId="10" fillId="18" borderId="77" xfId="4" applyNumberFormat="1" applyFont="1" applyFill="1" applyBorder="1" applyAlignment="1">
      <alignment horizontal="right" vertical="center"/>
    </xf>
    <xf numFmtId="3" fontId="8" fillId="7" borderId="5" xfId="0" applyNumberFormat="1" applyFont="1" applyFill="1" applyBorder="1" applyAlignment="1">
      <alignment horizontal="center" vertical="center"/>
    </xf>
    <xf numFmtId="4" fontId="7" fillId="0" borderId="39" xfId="0" applyNumberFormat="1" applyFont="1" applyBorder="1" applyAlignment="1">
      <alignment horizontal="right" vertical="center" wrapText="1"/>
    </xf>
    <xf numFmtId="0" fontId="18" fillId="0" borderId="15" xfId="0" applyFont="1" applyBorder="1" applyAlignment="1">
      <alignment horizontal="justify" vertical="top" wrapText="1"/>
    </xf>
    <xf numFmtId="4" fontId="10" fillId="18" borderId="6" xfId="0" applyNumberFormat="1" applyFont="1" applyFill="1" applyBorder="1" applyAlignment="1">
      <alignment vertical="center"/>
    </xf>
    <xf numFmtId="4" fontId="10" fillId="18" borderId="0" xfId="0" applyNumberFormat="1" applyFont="1" applyFill="1" applyBorder="1" applyAlignment="1">
      <alignment horizontal="justify" vertical="center"/>
    </xf>
    <xf numFmtId="3" fontId="7" fillId="0" borderId="51" xfId="0" applyNumberFormat="1" applyFont="1" applyBorder="1" applyAlignment="1">
      <alignment horizontal="left" vertical="top" wrapText="1"/>
    </xf>
    <xf numFmtId="3" fontId="7" fillId="0" borderId="16" xfId="0" applyNumberFormat="1" applyFont="1" applyBorder="1" applyAlignment="1">
      <alignment horizontal="left" vertical="top" wrapText="1"/>
    </xf>
    <xf numFmtId="0" fontId="7" fillId="0" borderId="0" xfId="0" applyFont="1" applyAlignment="1">
      <alignment horizontal="left" vertical="top"/>
    </xf>
    <xf numFmtId="0" fontId="15" fillId="0" borderId="1" xfId="0" applyFont="1" applyBorder="1" applyAlignment="1">
      <alignment horizontal="left" vertical="top"/>
    </xf>
    <xf numFmtId="0" fontId="16" fillId="0" borderId="0" xfId="0" applyFont="1" applyAlignment="1">
      <alignment horizontal="left" vertical="top"/>
    </xf>
    <xf numFmtId="0" fontId="8" fillId="0" borderId="0" xfId="0" applyFont="1" applyAlignment="1">
      <alignment horizontal="left" vertical="top"/>
    </xf>
    <xf numFmtId="0" fontId="8" fillId="8" borderId="3" xfId="0" applyFont="1" applyFill="1" applyBorder="1" applyAlignment="1">
      <alignment horizontal="left" vertical="top" wrapText="1"/>
    </xf>
    <xf numFmtId="0" fontId="8" fillId="0" borderId="10" xfId="0" applyFont="1" applyBorder="1" applyAlignment="1">
      <alignment horizontal="left" vertical="top"/>
    </xf>
    <xf numFmtId="0" fontId="8" fillId="22" borderId="24" xfId="0" applyFont="1" applyFill="1" applyBorder="1" applyAlignment="1">
      <alignment horizontal="left" vertical="top"/>
    </xf>
    <xf numFmtId="3" fontId="7" fillId="0" borderId="19" xfId="0" applyNumberFormat="1" applyFont="1" applyBorder="1" applyAlignment="1">
      <alignment horizontal="left" vertical="top"/>
    </xf>
    <xf numFmtId="3" fontId="7" fillId="0" borderId="16" xfId="0" applyNumberFormat="1" applyFont="1" applyBorder="1" applyAlignment="1">
      <alignment horizontal="left" vertical="top"/>
    </xf>
    <xf numFmtId="3" fontId="24" fillId="5" borderId="16" xfId="0" applyNumberFormat="1" applyFont="1" applyFill="1" applyBorder="1" applyAlignment="1">
      <alignment horizontal="left" vertical="top"/>
    </xf>
    <xf numFmtId="3" fontId="24" fillId="0" borderId="16" xfId="0" applyNumberFormat="1" applyFont="1" applyFill="1" applyBorder="1" applyAlignment="1">
      <alignment horizontal="left" vertical="top"/>
    </xf>
    <xf numFmtId="3" fontId="24" fillId="22" borderId="16" xfId="0" applyNumberFormat="1" applyFont="1" applyFill="1" applyBorder="1" applyAlignment="1">
      <alignment horizontal="left" vertical="top"/>
    </xf>
    <xf numFmtId="3" fontId="7" fillId="0" borderId="7" xfId="0" applyNumberFormat="1" applyFont="1" applyBorder="1" applyAlignment="1">
      <alignment horizontal="left" vertical="top"/>
    </xf>
    <xf numFmtId="3" fontId="7" fillId="22" borderId="7" xfId="0" applyNumberFormat="1" applyFont="1" applyFill="1" applyBorder="1" applyAlignment="1">
      <alignment horizontal="left" vertical="top"/>
    </xf>
    <xf numFmtId="3" fontId="7" fillId="0" borderId="51" xfId="0" applyNumberFormat="1" applyFont="1" applyBorder="1" applyAlignment="1">
      <alignment horizontal="left" vertical="top"/>
    </xf>
    <xf numFmtId="3" fontId="7" fillId="0" borderId="40" xfId="0" applyNumberFormat="1" applyFont="1" applyBorder="1" applyAlignment="1">
      <alignment horizontal="left" vertical="top"/>
    </xf>
    <xf numFmtId="3" fontId="7" fillId="22" borderId="16" xfId="0" applyNumberFormat="1" applyFont="1" applyFill="1" applyBorder="1" applyAlignment="1">
      <alignment horizontal="left" vertical="top"/>
    </xf>
    <xf numFmtId="3" fontId="24" fillId="0" borderId="24" xfId="0" applyNumberFormat="1" applyFont="1" applyFill="1" applyBorder="1" applyAlignment="1">
      <alignment horizontal="left" vertical="top"/>
    </xf>
    <xf numFmtId="3" fontId="7" fillId="0" borderId="40" xfId="0" applyNumberFormat="1" applyFont="1" applyFill="1" applyBorder="1" applyAlignment="1">
      <alignment horizontal="left" vertical="top" wrapText="1"/>
    </xf>
    <xf numFmtId="0" fontId="7" fillId="0" borderId="7" xfId="0" applyFont="1" applyBorder="1" applyAlignment="1">
      <alignment horizontal="left" vertical="top"/>
    </xf>
    <xf numFmtId="3" fontId="24" fillId="5" borderId="16" xfId="0" applyNumberFormat="1" applyFont="1" applyFill="1" applyBorder="1" applyAlignment="1">
      <alignment horizontal="left" vertical="top" wrapText="1"/>
    </xf>
    <xf numFmtId="3" fontId="7" fillId="0" borderId="13" xfId="0" applyNumberFormat="1" applyFont="1" applyBorder="1" applyAlignment="1">
      <alignment horizontal="left" vertical="top"/>
    </xf>
    <xf numFmtId="0" fontId="8" fillId="3" borderId="3" xfId="0" applyFont="1" applyFill="1" applyBorder="1" applyAlignment="1">
      <alignment horizontal="left" vertical="top"/>
    </xf>
    <xf numFmtId="0" fontId="7" fillId="23" borderId="3" xfId="0" applyFont="1" applyFill="1" applyBorder="1" applyAlignment="1">
      <alignment horizontal="left" vertical="top"/>
    </xf>
    <xf numFmtId="4" fontId="7" fillId="0" borderId="34" xfId="0" applyNumberFormat="1" applyFont="1" applyBorder="1" applyAlignment="1">
      <alignment horizontal="right" vertical="center" wrapText="1"/>
    </xf>
    <xf numFmtId="3" fontId="7" fillId="0" borderId="40" xfId="0" applyNumberFormat="1" applyFont="1" applyBorder="1" applyAlignment="1">
      <alignment horizontal="right"/>
    </xf>
    <xf numFmtId="4" fontId="8" fillId="0" borderId="14" xfId="0" applyNumberFormat="1" applyFont="1" applyBorder="1" applyAlignment="1">
      <alignment horizontal="center" vertical="center"/>
    </xf>
    <xf numFmtId="3" fontId="7" fillId="0" borderId="4" xfId="0" applyNumberFormat="1" applyFont="1" applyFill="1" applyBorder="1" applyAlignment="1">
      <alignment horizontal="left" vertical="center"/>
    </xf>
    <xf numFmtId="3" fontId="7" fillId="0" borderId="57" xfId="0" applyNumberFormat="1" applyFont="1" applyBorder="1" applyAlignment="1">
      <alignment horizontal="left" vertical="top" wrapText="1"/>
    </xf>
    <xf numFmtId="164" fontId="7" fillId="0" borderId="15" xfId="4" applyFont="1" applyBorder="1" applyAlignment="1">
      <alignment horizontal="right" vertical="center" wrapText="1"/>
    </xf>
    <xf numFmtId="0" fontId="15" fillId="0" borderId="1" xfId="0" applyFont="1" applyBorder="1" applyAlignment="1">
      <alignment horizontal="left"/>
    </xf>
    <xf numFmtId="0" fontId="16" fillId="0" borderId="0" xfId="0" applyFont="1" applyAlignment="1">
      <alignment horizontal="left"/>
    </xf>
    <xf numFmtId="0" fontId="8" fillId="0" borderId="19" xfId="0" applyFont="1" applyBorder="1" applyAlignment="1">
      <alignment horizontal="left" vertical="center"/>
    </xf>
    <xf numFmtId="0" fontId="8" fillId="22" borderId="7" xfId="0" applyFont="1" applyFill="1" applyBorder="1" applyAlignment="1">
      <alignment horizontal="left" vertical="center"/>
    </xf>
    <xf numFmtId="3" fontId="7" fillId="0" borderId="7" xfId="0" applyNumberFormat="1" applyFont="1" applyBorder="1" applyAlignment="1">
      <alignment horizontal="left" vertical="center"/>
    </xf>
    <xf numFmtId="3" fontId="7" fillId="14" borderId="19" xfId="0" applyNumberFormat="1" applyFont="1" applyFill="1" applyBorder="1" applyAlignment="1">
      <alignment horizontal="left"/>
    </xf>
    <xf numFmtId="3" fontId="7" fillId="0" borderId="16" xfId="0" applyNumberFormat="1" applyFont="1" applyBorder="1" applyAlignment="1">
      <alignment horizontal="left"/>
    </xf>
    <xf numFmtId="3" fontId="24" fillId="5" borderId="16" xfId="0" applyNumberFormat="1" applyFont="1" applyFill="1" applyBorder="1" applyAlignment="1">
      <alignment horizontal="left" vertical="center"/>
    </xf>
    <xf numFmtId="3" fontId="24" fillId="0" borderId="16" xfId="0" applyNumberFormat="1" applyFont="1" applyFill="1" applyBorder="1" applyAlignment="1">
      <alignment horizontal="left" vertical="center"/>
    </xf>
    <xf numFmtId="3" fontId="24" fillId="22" borderId="24" xfId="0" applyNumberFormat="1" applyFont="1" applyFill="1" applyBorder="1" applyAlignment="1">
      <alignment horizontal="left" vertical="center"/>
    </xf>
    <xf numFmtId="3" fontId="7" fillId="0" borderId="19" xfId="0" applyNumberFormat="1" applyFont="1" applyBorder="1" applyAlignment="1">
      <alignment horizontal="left" vertical="center"/>
    </xf>
    <xf numFmtId="3" fontId="7" fillId="22" borderId="7" xfId="0" applyNumberFormat="1" applyFont="1" applyFill="1" applyBorder="1" applyAlignment="1">
      <alignment horizontal="left" vertical="center"/>
    </xf>
    <xf numFmtId="3" fontId="24" fillId="0" borderId="24" xfId="0" applyNumberFormat="1" applyFont="1" applyFill="1" applyBorder="1" applyAlignment="1">
      <alignment horizontal="left" vertical="center"/>
    </xf>
    <xf numFmtId="3" fontId="7" fillId="22" borderId="16" xfId="0" applyNumberFormat="1" applyFont="1" applyFill="1" applyBorder="1" applyAlignment="1">
      <alignment horizontal="left" vertical="center"/>
    </xf>
    <xf numFmtId="3" fontId="7" fillId="0" borderId="40" xfId="0" applyNumberFormat="1" applyFont="1" applyFill="1" applyBorder="1" applyAlignment="1">
      <alignment horizontal="left" vertical="center" wrapText="1"/>
    </xf>
    <xf numFmtId="3" fontId="7" fillId="0" borderId="24" xfId="0" applyNumberFormat="1" applyFont="1" applyBorder="1" applyAlignment="1">
      <alignment horizontal="left" vertical="center"/>
    </xf>
    <xf numFmtId="3" fontId="7" fillId="0" borderId="7" xfId="0" applyNumberFormat="1" applyFont="1" applyFill="1" applyBorder="1" applyAlignment="1">
      <alignment horizontal="left" vertical="center"/>
    </xf>
    <xf numFmtId="3" fontId="7" fillId="0" borderId="19" xfId="0" applyNumberFormat="1" applyFont="1" applyFill="1" applyBorder="1" applyAlignment="1">
      <alignment horizontal="left" vertical="center"/>
    </xf>
    <xf numFmtId="3" fontId="7" fillId="0" borderId="16" xfId="0" applyNumberFormat="1" applyFont="1" applyBorder="1" applyAlignment="1">
      <alignment horizontal="left" vertical="center"/>
    </xf>
    <xf numFmtId="3" fontId="24" fillId="22" borderId="16" xfId="0" applyNumberFormat="1" applyFont="1" applyFill="1" applyBorder="1" applyAlignment="1">
      <alignment horizontal="left" vertical="center"/>
    </xf>
    <xf numFmtId="3" fontId="24" fillId="5" borderId="16" xfId="0" applyNumberFormat="1" applyFont="1" applyFill="1" applyBorder="1" applyAlignment="1">
      <alignment horizontal="left" vertical="center" wrapText="1"/>
    </xf>
    <xf numFmtId="3" fontId="7" fillId="0" borderId="22" xfId="0" applyNumberFormat="1" applyFont="1" applyBorder="1" applyAlignment="1">
      <alignment horizontal="left" vertical="center"/>
    </xf>
    <xf numFmtId="0" fontId="8" fillId="3" borderId="30" xfId="0" applyFont="1" applyFill="1" applyBorder="1" applyAlignment="1">
      <alignment horizontal="left" vertical="center"/>
    </xf>
    <xf numFmtId="0" fontId="7" fillId="0" borderId="0" xfId="0" applyFont="1" applyAlignment="1">
      <alignment horizontal="left"/>
    </xf>
    <xf numFmtId="3" fontId="7" fillId="0" borderId="24" xfId="0" applyNumberFormat="1" applyFont="1" applyBorder="1" applyAlignment="1">
      <alignment horizontal="left" vertical="top" wrapText="1"/>
    </xf>
    <xf numFmtId="3" fontId="7" fillId="14" borderId="21" xfId="0" applyNumberFormat="1" applyFont="1" applyFill="1" applyBorder="1"/>
    <xf numFmtId="168" fontId="10" fillId="0" borderId="0" xfId="4" applyNumberFormat="1" applyFont="1" applyAlignment="1">
      <alignment horizontal="right"/>
    </xf>
    <xf numFmtId="167" fontId="7" fillId="0" borderId="50" xfId="0" applyNumberFormat="1" applyFont="1" applyBorder="1" applyAlignment="1">
      <alignment horizontal="justify" vertical="center" wrapText="1"/>
    </xf>
    <xf numFmtId="167" fontId="7" fillId="0" borderId="15" xfId="0" applyNumberFormat="1" applyFont="1" applyBorder="1" applyAlignment="1">
      <alignment horizontal="justify" vertical="center" wrapText="1"/>
    </xf>
    <xf numFmtId="0" fontId="46" fillId="14" borderId="15" xfId="0" applyFont="1" applyFill="1" applyBorder="1" applyAlignment="1">
      <alignment horizontal="justify" vertical="center" wrapText="1"/>
    </xf>
    <xf numFmtId="0" fontId="7" fillId="0" borderId="15" xfId="0" applyFont="1" applyBorder="1" applyAlignment="1">
      <alignment horizontal="justify" vertical="top" wrapText="1"/>
    </xf>
    <xf numFmtId="164" fontId="16" fillId="18" borderId="0" xfId="4" applyFont="1" applyFill="1"/>
    <xf numFmtId="164" fontId="15" fillId="22" borderId="0" xfId="4" applyFont="1" applyFill="1"/>
    <xf numFmtId="164" fontId="15" fillId="18" borderId="0" xfId="0" applyNumberFormat="1" applyFont="1" applyFill="1"/>
    <xf numFmtId="0" fontId="15" fillId="18" borderId="0" xfId="0" applyFont="1" applyFill="1" applyAlignment="1">
      <alignment vertical="top" wrapText="1"/>
    </xf>
    <xf numFmtId="0" fontId="7" fillId="18" borderId="15" xfId="0" applyFont="1" applyFill="1" applyBorder="1" applyAlignment="1">
      <alignment horizontal="justify" vertical="center"/>
    </xf>
    <xf numFmtId="0" fontId="7" fillId="0" borderId="15" xfId="0" applyNumberFormat="1" applyFont="1" applyBorder="1" applyAlignment="1">
      <alignment horizontal="justify" vertical="top"/>
    </xf>
    <xf numFmtId="0" fontId="42" fillId="0" borderId="39" xfId="0" applyFont="1" applyBorder="1" applyAlignment="1">
      <alignment horizontal="justify" vertical="top" wrapText="1"/>
    </xf>
    <xf numFmtId="0" fontId="7" fillId="0" borderId="39" xfId="0" applyFont="1" applyBorder="1" applyAlignment="1">
      <alignment horizontal="justify" vertical="top" wrapText="1"/>
    </xf>
    <xf numFmtId="0" fontId="7" fillId="0" borderId="50" xfId="0" applyFont="1" applyBorder="1" applyAlignment="1">
      <alignment horizontal="justify" vertical="top" wrapText="1"/>
    </xf>
    <xf numFmtId="0" fontId="42" fillId="18" borderId="50" xfId="0" applyFont="1" applyFill="1" applyBorder="1" applyAlignment="1">
      <alignment horizontal="justify" vertical="top" wrapText="1"/>
    </xf>
    <xf numFmtId="0" fontId="7" fillId="18" borderId="15" xfId="0" applyFont="1" applyFill="1" applyBorder="1" applyAlignment="1">
      <alignment horizontal="justify" vertical="top" wrapText="1"/>
    </xf>
    <xf numFmtId="0" fontId="7" fillId="18" borderId="15" xfId="0" applyFont="1" applyFill="1" applyBorder="1" applyAlignment="1">
      <alignment horizontal="justify" vertical="center" wrapText="1"/>
    </xf>
    <xf numFmtId="3" fontId="7" fillId="18" borderId="15" xfId="0" applyNumberFormat="1" applyFont="1" applyFill="1" applyBorder="1" applyAlignment="1">
      <alignment horizontal="left" vertical="center" wrapText="1"/>
    </xf>
    <xf numFmtId="0" fontId="7" fillId="18" borderId="39" xfId="0" applyFont="1" applyFill="1" applyBorder="1" applyAlignment="1">
      <alignment horizontal="justify" vertical="center"/>
    </xf>
    <xf numFmtId="4" fontId="7" fillId="18" borderId="0" xfId="0" applyNumberFormat="1" applyFont="1" applyFill="1"/>
    <xf numFmtId="3" fontId="7" fillId="18" borderId="51" xfId="0" applyNumberFormat="1" applyFont="1" applyFill="1" applyBorder="1" applyAlignment="1">
      <alignment vertical="top" wrapText="1"/>
    </xf>
    <xf numFmtId="3" fontId="8" fillId="7" borderId="17" xfId="0" applyNumberFormat="1" applyFont="1" applyFill="1" applyBorder="1" applyAlignment="1">
      <alignment horizontal="justify" vertical="center"/>
    </xf>
    <xf numFmtId="3" fontId="8" fillId="7" borderId="4" xfId="0" applyNumberFormat="1" applyFont="1" applyFill="1" applyBorder="1" applyAlignment="1">
      <alignment horizontal="justify"/>
    </xf>
    <xf numFmtId="4" fontId="8" fillId="7" borderId="0" xfId="0" applyNumberFormat="1" applyFont="1" applyFill="1" applyBorder="1" applyAlignment="1">
      <alignment horizontal="right" vertical="center"/>
    </xf>
    <xf numFmtId="166" fontId="8" fillId="7" borderId="0" xfId="0" applyNumberFormat="1" applyFont="1" applyFill="1" applyBorder="1" applyAlignment="1">
      <alignment horizontal="center"/>
    </xf>
    <xf numFmtId="166" fontId="8" fillId="7" borderId="0" xfId="0" applyNumberFormat="1" applyFont="1" applyFill="1" applyBorder="1" applyAlignment="1">
      <alignment horizontal="center" vertical="center"/>
    </xf>
    <xf numFmtId="166" fontId="8" fillId="7" borderId="7" xfId="0" applyNumberFormat="1" applyFont="1" applyFill="1" applyBorder="1" applyAlignment="1">
      <alignment horizontal="center"/>
    </xf>
    <xf numFmtId="39" fontId="48" fillId="0" borderId="0" xfId="4" applyNumberFormat="1" applyFont="1" applyBorder="1" applyAlignment="1">
      <alignment horizontal="right" vertical="center"/>
    </xf>
    <xf numFmtId="3" fontId="8" fillId="7" borderId="4" xfId="0" applyNumberFormat="1" applyFont="1" applyFill="1" applyBorder="1" applyAlignment="1">
      <alignment horizontal="justify" vertical="center"/>
    </xf>
    <xf numFmtId="0" fontId="8" fillId="8" borderId="17" xfId="0" applyFont="1" applyFill="1" applyBorder="1" applyAlignment="1">
      <alignment vertical="center"/>
    </xf>
    <xf numFmtId="4" fontId="8" fillId="8" borderId="18" xfId="0" applyNumberFormat="1" applyFont="1" applyFill="1" applyBorder="1" applyAlignment="1">
      <alignment vertical="center"/>
    </xf>
    <xf numFmtId="166" fontId="8" fillId="8" borderId="18" xfId="0" applyNumberFormat="1" applyFont="1" applyFill="1" applyBorder="1" applyAlignment="1">
      <alignment horizontal="center" vertical="center"/>
    </xf>
    <xf numFmtId="166" fontId="8" fillId="8" borderId="19" xfId="0" applyNumberFormat="1" applyFont="1" applyFill="1" applyBorder="1" applyAlignment="1">
      <alignment horizontal="center" vertical="center"/>
    </xf>
    <xf numFmtId="166" fontId="8" fillId="0" borderId="30" xfId="0" applyNumberFormat="1" applyFont="1" applyBorder="1" applyAlignment="1">
      <alignment horizontal="center"/>
    </xf>
    <xf numFmtId="3" fontId="8" fillId="8" borderId="17" xfId="0" applyNumberFormat="1" applyFont="1" applyFill="1" applyBorder="1" applyAlignment="1">
      <alignment horizontal="justify"/>
    </xf>
    <xf numFmtId="4" fontId="8" fillId="8" borderId="18" xfId="0" applyNumberFormat="1" applyFont="1" applyFill="1" applyBorder="1" applyAlignment="1">
      <alignment horizontal="right"/>
    </xf>
    <xf numFmtId="166" fontId="8" fillId="8" borderId="18" xfId="0" applyNumberFormat="1" applyFont="1" applyFill="1" applyBorder="1" applyAlignment="1">
      <alignment horizontal="center"/>
    </xf>
    <xf numFmtId="166" fontId="8" fillId="8" borderId="19" xfId="0" applyNumberFormat="1" applyFont="1" applyFill="1" applyBorder="1" applyAlignment="1">
      <alignment horizontal="center"/>
    </xf>
    <xf numFmtId="0" fontId="8" fillId="0" borderId="29" xfId="0" applyFont="1" applyBorder="1"/>
    <xf numFmtId="4" fontId="7" fillId="0" borderId="26" xfId="0" applyNumberFormat="1" applyFont="1" applyBorder="1" applyAlignment="1">
      <alignment horizontal="right" vertical="center"/>
    </xf>
    <xf numFmtId="4" fontId="7" fillId="0" borderId="26" xfId="0" applyNumberFormat="1" applyFont="1" applyBorder="1" applyAlignment="1">
      <alignment horizontal="right"/>
    </xf>
    <xf numFmtId="3" fontId="7" fillId="0" borderId="26" xfId="0" applyNumberFormat="1" applyFont="1" applyBorder="1" applyAlignment="1">
      <alignment horizontal="center" vertical="center"/>
    </xf>
    <xf numFmtId="4" fontId="8" fillId="7" borderId="18" xfId="0" applyNumberFormat="1" applyFont="1" applyFill="1" applyBorder="1" applyAlignment="1">
      <alignment horizontal="right" vertical="center"/>
    </xf>
    <xf numFmtId="166" fontId="8" fillId="7" borderId="18" xfId="0" applyNumberFormat="1" applyFont="1" applyFill="1" applyBorder="1" applyAlignment="1">
      <alignment horizontal="center"/>
    </xf>
    <xf numFmtId="4" fontId="8" fillId="7" borderId="18" xfId="4" applyNumberFormat="1" applyFont="1" applyFill="1" applyBorder="1" applyAlignment="1">
      <alignment horizontal="right"/>
    </xf>
    <xf numFmtId="166" fontId="8" fillId="7" borderId="18" xfId="0" applyNumberFormat="1" applyFont="1" applyFill="1" applyBorder="1" applyAlignment="1">
      <alignment horizontal="center" vertical="center"/>
    </xf>
    <xf numFmtId="166" fontId="8" fillId="7" borderId="19" xfId="0" applyNumberFormat="1" applyFont="1" applyFill="1" applyBorder="1" applyAlignment="1">
      <alignment horizontal="center"/>
    </xf>
    <xf numFmtId="3" fontId="7" fillId="0" borderId="29" xfId="0" applyNumberFormat="1" applyFont="1" applyBorder="1" applyAlignment="1">
      <alignment horizontal="justify" vertical="center"/>
    </xf>
    <xf numFmtId="4" fontId="10" fillId="0" borderId="6" xfId="0" applyNumberFormat="1" applyFont="1" applyBorder="1" applyAlignment="1">
      <alignment horizontal="center" vertical="center"/>
    </xf>
    <xf numFmtId="164" fontId="15" fillId="0" borderId="0" xfId="4" applyFont="1" applyFill="1"/>
    <xf numFmtId="172" fontId="15" fillId="0" borderId="0" xfId="4" applyNumberFormat="1" applyFont="1"/>
    <xf numFmtId="0" fontId="15" fillId="14" borderId="0" xfId="0" applyFont="1" applyFill="1"/>
    <xf numFmtId="0" fontId="45" fillId="14" borderId="0" xfId="0" applyFont="1" applyFill="1"/>
    <xf numFmtId="164" fontId="45" fillId="14" borderId="0" xfId="4" applyFont="1" applyFill="1"/>
    <xf numFmtId="0" fontId="45" fillId="27" borderId="0" xfId="0" applyFont="1" applyFill="1"/>
    <xf numFmtId="164" fontId="7" fillId="18" borderId="0" xfId="4" applyFont="1" applyFill="1"/>
    <xf numFmtId="43" fontId="7" fillId="18" borderId="0" xfId="0" applyNumberFormat="1" applyFont="1" applyFill="1"/>
    <xf numFmtId="171" fontId="7" fillId="18" borderId="0" xfId="0" applyNumberFormat="1" applyFont="1" applyFill="1"/>
    <xf numFmtId="0" fontId="0" fillId="0" borderId="0" xfId="0" pivotButton="1"/>
    <xf numFmtId="0" fontId="0" fillId="0" borderId="0" xfId="0" applyAlignment="1">
      <alignment horizontal="left"/>
    </xf>
    <xf numFmtId="164" fontId="0" fillId="0" borderId="0" xfId="4" pivotButton="1" applyFont="1"/>
    <xf numFmtId="164" fontId="0" fillId="0" borderId="0" xfId="4" applyFont="1"/>
    <xf numFmtId="164" fontId="0" fillId="14" borderId="0" xfId="4" applyFont="1" applyFill="1"/>
    <xf numFmtId="0" fontId="8" fillId="0" borderId="0" xfId="0" applyFont="1" applyAlignment="1">
      <alignment horizontal="center"/>
    </xf>
    <xf numFmtId="0" fontId="8" fillId="0" borderId="0" xfId="0" applyFont="1" applyBorder="1" applyAlignment="1">
      <alignment horizontal="center"/>
    </xf>
    <xf numFmtId="0" fontId="8" fillId="0" borderId="1" xfId="0" applyFont="1" applyBorder="1" applyAlignment="1">
      <alignment horizontal="center"/>
    </xf>
    <xf numFmtId="0" fontId="9" fillId="0" borderId="0" xfId="0" applyFont="1" applyBorder="1" applyAlignment="1">
      <alignment horizontal="center"/>
    </xf>
    <xf numFmtId="0" fontId="9" fillId="0" borderId="0" xfId="0" applyFont="1" applyAlignment="1">
      <alignment horizontal="center"/>
    </xf>
    <xf numFmtId="0" fontId="16" fillId="0" borderId="0" xfId="0" applyFont="1" applyAlignment="1">
      <alignment horizontal="center"/>
    </xf>
    <xf numFmtId="0" fontId="14" fillId="0" borderId="0" xfId="0" applyFont="1" applyAlignment="1">
      <alignment horizontal="center"/>
    </xf>
    <xf numFmtId="0" fontId="16" fillId="0" borderId="1" xfId="0" applyFont="1" applyBorder="1" applyAlignment="1">
      <alignment horizontal="center"/>
    </xf>
    <xf numFmtId="0" fontId="8" fillId="8" borderId="5" xfId="0" applyFont="1" applyFill="1" applyBorder="1" applyAlignment="1">
      <alignment horizontal="left" vertical="center"/>
    </xf>
    <xf numFmtId="0" fontId="8" fillId="8" borderId="6" xfId="0" applyFont="1" applyFill="1" applyBorder="1" applyAlignment="1">
      <alignment horizontal="left" vertical="center"/>
    </xf>
    <xf numFmtId="0" fontId="8" fillId="8" borderId="16" xfId="0" applyFont="1" applyFill="1" applyBorder="1" applyAlignment="1">
      <alignment horizontal="left" vertical="center"/>
    </xf>
    <xf numFmtId="0" fontId="10" fillId="0" borderId="0" xfId="0" applyFont="1" applyAlignment="1">
      <alignment horizontal="center"/>
    </xf>
    <xf numFmtId="0" fontId="10" fillId="9" borderId="53" xfId="0" applyFont="1" applyFill="1" applyBorder="1" applyAlignment="1">
      <alignment horizontal="center"/>
    </xf>
    <xf numFmtId="0" fontId="9" fillId="0" borderId="0" xfId="0" applyFont="1" applyAlignment="1">
      <alignment horizontal="center" vertical="center"/>
    </xf>
    <xf numFmtId="0" fontId="32" fillId="0" borderId="1" xfId="0" applyFont="1" applyBorder="1" applyAlignment="1">
      <alignment horizontal="center"/>
    </xf>
    <xf numFmtId="0" fontId="9" fillId="18" borderId="0" xfId="0" applyFont="1" applyFill="1" applyAlignment="1">
      <alignment horizontal="center"/>
    </xf>
    <xf numFmtId="0" fontId="9" fillId="8" borderId="5" xfId="0" applyFont="1" applyFill="1" applyBorder="1" applyAlignment="1">
      <alignment horizontal="center" vertical="center"/>
    </xf>
    <xf numFmtId="0" fontId="9" fillId="8" borderId="6" xfId="0" applyFont="1" applyFill="1" applyBorder="1" applyAlignment="1">
      <alignment horizontal="center" vertical="center"/>
    </xf>
    <xf numFmtId="9" fontId="9" fillId="0" borderId="0" xfId="0" applyNumberFormat="1" applyFont="1" applyBorder="1" applyAlignment="1">
      <alignment horizontal="center"/>
    </xf>
    <xf numFmtId="9" fontId="10" fillId="0" borderId="0" xfId="0" applyNumberFormat="1" applyFont="1" applyBorder="1" applyAlignment="1">
      <alignment horizontal="center"/>
    </xf>
    <xf numFmtId="0" fontId="10" fillId="0" borderId="4" xfId="0" applyFont="1" applyBorder="1" applyAlignment="1">
      <alignment horizontal="center"/>
    </xf>
    <xf numFmtId="0" fontId="10" fillId="0" borderId="0" xfId="0" applyFont="1" applyBorder="1" applyAlignment="1">
      <alignment horizontal="center"/>
    </xf>
    <xf numFmtId="0" fontId="10" fillId="0" borderId="7" xfId="0" applyFont="1" applyBorder="1" applyAlignment="1">
      <alignment horizontal="center"/>
    </xf>
    <xf numFmtId="9" fontId="9" fillId="0" borderId="1" xfId="0" applyNumberFormat="1" applyFont="1" applyBorder="1" applyAlignment="1">
      <alignment horizontal="center"/>
    </xf>
    <xf numFmtId="3" fontId="32" fillId="9" borderId="47" xfId="0" applyNumberFormat="1" applyFont="1" applyFill="1" applyBorder="1" applyAlignment="1">
      <alignment horizontal="center" vertical="center" wrapText="1"/>
    </xf>
    <xf numFmtId="3" fontId="32" fillId="9" borderId="50" xfId="0" applyNumberFormat="1" applyFont="1" applyFill="1" applyBorder="1" applyAlignment="1">
      <alignment horizontal="center" vertical="center" wrapText="1"/>
    </xf>
    <xf numFmtId="3" fontId="20" fillId="0" borderId="0" xfId="0" applyNumberFormat="1" applyFont="1" applyAlignment="1">
      <alignment horizontal="center"/>
    </xf>
    <xf numFmtId="3" fontId="9" fillId="0" borderId="1" xfId="0" applyNumberFormat="1" applyFont="1" applyBorder="1" applyAlignment="1">
      <alignment horizontal="center"/>
    </xf>
    <xf numFmtId="3" fontId="9" fillId="0" borderId="37" xfId="0" applyNumberFormat="1" applyFont="1" applyBorder="1" applyAlignment="1">
      <alignment horizontal="center"/>
    </xf>
    <xf numFmtId="3" fontId="9" fillId="0" borderId="0" xfId="0" applyNumberFormat="1" applyFont="1" applyAlignment="1">
      <alignment horizontal="center"/>
    </xf>
    <xf numFmtId="3" fontId="10" fillId="0" borderId="0" xfId="0" applyNumberFormat="1" applyFont="1" applyAlignment="1">
      <alignment horizontal="center"/>
    </xf>
    <xf numFmtId="4" fontId="32" fillId="9" borderId="50" xfId="0" applyNumberFormat="1" applyFont="1" applyFill="1" applyBorder="1" applyAlignment="1">
      <alignment horizontal="center" vertical="center" wrapText="1"/>
    </xf>
    <xf numFmtId="4" fontId="32" fillId="9" borderId="65" xfId="0" applyNumberFormat="1" applyFont="1" applyFill="1" applyBorder="1" applyAlignment="1">
      <alignment horizontal="center" vertical="center" wrapText="1"/>
    </xf>
    <xf numFmtId="3" fontId="8" fillId="0" borderId="0" xfId="0" applyNumberFormat="1" applyFont="1" applyAlignment="1">
      <alignment horizontal="center"/>
    </xf>
    <xf numFmtId="4" fontId="8" fillId="0" borderId="0" xfId="0" applyNumberFormat="1" applyFont="1" applyAlignment="1">
      <alignment horizontal="center"/>
    </xf>
    <xf numFmtId="3" fontId="8" fillId="0" borderId="4" xfId="0" applyNumberFormat="1" applyFont="1" applyBorder="1" applyAlignment="1">
      <alignment horizontal="center" vertical="center"/>
    </xf>
    <xf numFmtId="4" fontId="8" fillId="0" borderId="0" xfId="0" applyNumberFormat="1" applyFont="1" applyBorder="1" applyAlignment="1">
      <alignment horizontal="center" vertical="center"/>
    </xf>
    <xf numFmtId="3" fontId="8" fillId="0" borderId="0" xfId="0" applyNumberFormat="1" applyFont="1" applyBorder="1" applyAlignment="1">
      <alignment horizontal="center" vertical="center"/>
    </xf>
    <xf numFmtId="3" fontId="8" fillId="0" borderId="7" xfId="0" applyNumberFormat="1" applyFont="1" applyBorder="1" applyAlignment="1">
      <alignment horizontal="center" vertical="center"/>
    </xf>
    <xf numFmtId="3" fontId="7" fillId="0" borderId="4" xfId="0" applyNumberFormat="1" applyFont="1" applyBorder="1" applyAlignment="1">
      <alignment horizontal="center"/>
    </xf>
    <xf numFmtId="4" fontId="7" fillId="0" borderId="0" xfId="0" applyNumberFormat="1" applyFont="1" applyBorder="1" applyAlignment="1">
      <alignment horizontal="center"/>
    </xf>
    <xf numFmtId="3" fontId="7" fillId="0" borderId="0" xfId="0" applyNumberFormat="1" applyFont="1" applyBorder="1" applyAlignment="1">
      <alignment horizontal="center"/>
    </xf>
    <xf numFmtId="3" fontId="7" fillId="0" borderId="7" xfId="0" applyNumberFormat="1" applyFont="1" applyBorder="1" applyAlignment="1">
      <alignment horizontal="center"/>
    </xf>
    <xf numFmtId="3" fontId="8" fillId="0" borderId="26" xfId="0" applyNumberFormat="1" applyFont="1" applyBorder="1" applyAlignment="1">
      <alignment horizontal="center"/>
    </xf>
    <xf numFmtId="4" fontId="8" fillId="0" borderId="26" xfId="0" applyNumberFormat="1" applyFont="1" applyBorder="1" applyAlignment="1">
      <alignment horizontal="center"/>
    </xf>
    <xf numFmtId="0" fontId="8" fillId="0" borderId="29" xfId="0" applyFont="1" applyBorder="1" applyAlignment="1">
      <alignment horizontal="center"/>
    </xf>
    <xf numFmtId="0" fontId="8" fillId="0" borderId="26" xfId="0" applyFont="1" applyBorder="1" applyAlignment="1">
      <alignment horizontal="center"/>
    </xf>
    <xf numFmtId="0" fontId="8" fillId="0" borderId="30" xfId="0" applyFont="1" applyBorder="1" applyAlignment="1">
      <alignment horizontal="center"/>
    </xf>
    <xf numFmtId="4" fontId="8" fillId="0" borderId="14" xfId="0" applyNumberFormat="1" applyFont="1" applyBorder="1" applyAlignment="1">
      <alignment horizontal="center" vertical="center"/>
    </xf>
    <xf numFmtId="3" fontId="7" fillId="0" borderId="4" xfId="0" applyNumberFormat="1" applyFont="1" applyFill="1" applyBorder="1" applyAlignment="1">
      <alignment horizontal="left" vertical="center"/>
    </xf>
    <xf numFmtId="3" fontId="7" fillId="0" borderId="0" xfId="0" applyNumberFormat="1" applyFont="1" applyFill="1" applyBorder="1" applyAlignment="1">
      <alignment horizontal="left" vertical="center"/>
    </xf>
    <xf numFmtId="37" fontId="23" fillId="6" borderId="2" xfId="0" applyNumberFormat="1" applyFont="1" applyFill="1" applyBorder="1" applyAlignment="1">
      <alignment horizontal="left" vertical="center"/>
    </xf>
    <xf numFmtId="37" fontId="23" fillId="6" borderId="27" xfId="0" applyNumberFormat="1" applyFont="1" applyFill="1" applyBorder="1" applyAlignment="1">
      <alignment horizontal="left" vertical="center"/>
    </xf>
    <xf numFmtId="4" fontId="10" fillId="0" borderId="0" xfId="0" applyNumberFormat="1" applyFont="1" applyBorder="1" applyAlignment="1">
      <alignment horizontal="center"/>
    </xf>
    <xf numFmtId="0" fontId="7" fillId="0" borderId="0" xfId="0" applyFont="1" applyAlignment="1">
      <alignment horizontal="center" wrapText="1"/>
    </xf>
    <xf numFmtId="3" fontId="7" fillId="0" borderId="57" xfId="0" applyNumberFormat="1" applyFont="1" applyBorder="1" applyAlignment="1">
      <alignment horizontal="left" vertical="top" wrapText="1"/>
    </xf>
    <xf numFmtId="3" fontId="7" fillId="0" borderId="40" xfId="0" applyNumberFormat="1" applyFont="1" applyBorder="1" applyAlignment="1">
      <alignment horizontal="left" vertical="top" wrapText="1"/>
    </xf>
    <xf numFmtId="3" fontId="7" fillId="0" borderId="51" xfId="0" applyNumberFormat="1" applyFont="1" applyBorder="1" applyAlignment="1">
      <alignment horizontal="left" vertical="top" wrapText="1"/>
    </xf>
    <xf numFmtId="3" fontId="7" fillId="0" borderId="57" xfId="0" applyNumberFormat="1" applyFont="1" applyBorder="1" applyAlignment="1">
      <alignment horizontal="center" vertical="top" wrapText="1"/>
    </xf>
    <xf numFmtId="3" fontId="7" fillId="0" borderId="51" xfId="0" applyNumberFormat="1" applyFont="1" applyBorder="1" applyAlignment="1">
      <alignment horizontal="center" vertical="top" wrapText="1"/>
    </xf>
    <xf numFmtId="3" fontId="7" fillId="0" borderId="40" xfId="0" applyNumberFormat="1" applyFont="1" applyBorder="1" applyAlignment="1">
      <alignment horizontal="center" vertical="top" wrapText="1"/>
    </xf>
    <xf numFmtId="0" fontId="8" fillId="22" borderId="5" xfId="0" applyFont="1" applyFill="1" applyBorder="1" applyAlignment="1">
      <alignment horizontal="left" vertical="center" wrapText="1"/>
    </xf>
    <xf numFmtId="0" fontId="8" fillId="22" borderId="6" xfId="0" applyFont="1" applyFill="1" applyBorder="1" applyAlignment="1">
      <alignment horizontal="left" vertical="center" wrapText="1"/>
    </xf>
    <xf numFmtId="0" fontId="8" fillId="22" borderId="32" xfId="0" applyFont="1" applyFill="1" applyBorder="1" applyAlignment="1">
      <alignment horizontal="left" vertical="center" wrapText="1"/>
    </xf>
    <xf numFmtId="3" fontId="8" fillId="22" borderId="5" xfId="0" applyNumberFormat="1" applyFont="1" applyFill="1" applyBorder="1" applyAlignment="1">
      <alignment horizontal="left" vertical="center" wrapText="1"/>
    </xf>
    <xf numFmtId="3" fontId="8" fillId="22" borderId="6" xfId="0" applyNumberFormat="1" applyFont="1" applyFill="1" applyBorder="1" applyAlignment="1">
      <alignment horizontal="left" vertical="center" wrapText="1"/>
    </xf>
    <xf numFmtId="0" fontId="8" fillId="0" borderId="37" xfId="0" applyFont="1" applyBorder="1" applyAlignment="1">
      <alignment horizontal="center"/>
    </xf>
    <xf numFmtId="0" fontId="8" fillId="22" borderId="5" xfId="0" applyFont="1" applyFill="1" applyBorder="1" applyAlignment="1">
      <alignment horizontal="left" vertical="center"/>
    </xf>
    <xf numFmtId="0" fontId="8" fillId="22" borderId="6" xfId="0" applyFont="1" applyFill="1" applyBorder="1" applyAlignment="1">
      <alignment horizontal="left" vertical="center"/>
    </xf>
    <xf numFmtId="0" fontId="8" fillId="0" borderId="0" xfId="0" applyFont="1" applyAlignment="1">
      <alignment horizontal="left"/>
    </xf>
    <xf numFmtId="3" fontId="7" fillId="0" borderId="51" xfId="0" applyNumberFormat="1" applyFont="1" applyBorder="1" applyAlignment="1">
      <alignment horizontal="center" vertical="center" wrapText="1"/>
    </xf>
    <xf numFmtId="3" fontId="8" fillId="22" borderId="5" xfId="0" applyNumberFormat="1" applyFont="1" applyFill="1" applyBorder="1" applyAlignment="1">
      <alignment horizontal="center" vertical="center" wrapText="1"/>
    </xf>
    <xf numFmtId="3" fontId="8" fillId="22" borderId="6" xfId="0" applyNumberFormat="1" applyFont="1" applyFill="1" applyBorder="1" applyAlignment="1">
      <alignment horizontal="center" vertical="center" wrapText="1"/>
    </xf>
    <xf numFmtId="3" fontId="7" fillId="0" borderId="24" xfId="0" applyNumberFormat="1" applyFont="1" applyBorder="1" applyAlignment="1">
      <alignment horizontal="left" vertical="center" wrapText="1"/>
    </xf>
    <xf numFmtId="3" fontId="7" fillId="0" borderId="7" xfId="0" applyNumberFormat="1" applyFont="1" applyBorder="1" applyAlignment="1">
      <alignment horizontal="left" vertical="center" wrapText="1"/>
    </xf>
    <xf numFmtId="3" fontId="7" fillId="0" borderId="19" xfId="0" applyNumberFormat="1" applyFont="1" applyBorder="1" applyAlignment="1">
      <alignment horizontal="left" vertical="center" wrapText="1"/>
    </xf>
    <xf numFmtId="3" fontId="7" fillId="0" borderId="57" xfId="0" applyNumberFormat="1" applyFont="1" applyBorder="1" applyAlignment="1">
      <alignment horizontal="center" vertical="center" wrapText="1"/>
    </xf>
    <xf numFmtId="3" fontId="7" fillId="0" borderId="40" xfId="0" applyNumberFormat="1" applyFont="1" applyBorder="1" applyAlignment="1">
      <alignment horizontal="center" vertical="center" wrapText="1"/>
    </xf>
    <xf numFmtId="3" fontId="8" fillId="22" borderId="21" xfId="0" applyNumberFormat="1" applyFont="1" applyFill="1" applyBorder="1" applyAlignment="1">
      <alignment horizontal="left" vertical="center" wrapText="1"/>
    </xf>
    <xf numFmtId="3" fontId="8" fillId="22" borderId="22" xfId="0" applyNumberFormat="1" applyFont="1" applyFill="1" applyBorder="1" applyAlignment="1">
      <alignment horizontal="left" vertical="center" wrapText="1"/>
    </xf>
    <xf numFmtId="0" fontId="7" fillId="0" borderId="64" xfId="0" applyNumberFormat="1" applyFont="1" applyBorder="1" applyAlignment="1">
      <alignment horizontal="justify" vertical="center" wrapText="1"/>
    </xf>
    <xf numFmtId="0" fontId="7" fillId="0" borderId="39" xfId="0" applyNumberFormat="1" applyFont="1" applyBorder="1" applyAlignment="1">
      <alignment horizontal="justify" vertical="center" wrapText="1"/>
    </xf>
    <xf numFmtId="3" fontId="7" fillId="0" borderId="23"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4" fontId="7" fillId="0" borderId="64" xfId="0" applyNumberFormat="1" applyFont="1" applyBorder="1" applyAlignment="1">
      <alignment horizontal="center" vertical="center" wrapText="1"/>
    </xf>
    <xf numFmtId="4" fontId="7" fillId="0" borderId="39" xfId="0" applyNumberFormat="1" applyFont="1" applyBorder="1" applyAlignment="1">
      <alignment horizontal="center" vertical="center" wrapText="1"/>
    </xf>
    <xf numFmtId="0" fontId="7" fillId="0" borderId="64" xfId="0" applyFont="1" applyBorder="1" applyAlignment="1">
      <alignment horizontal="justify" vertical="center" wrapText="1"/>
    </xf>
    <xf numFmtId="0" fontId="7" fillId="0" borderId="39" xfId="0" applyFont="1" applyBorder="1" applyAlignment="1">
      <alignment horizontal="justify" vertical="center" wrapText="1"/>
    </xf>
    <xf numFmtId="3" fontId="7" fillId="0" borderId="57" xfId="0" applyNumberFormat="1" applyFont="1" applyBorder="1" applyAlignment="1">
      <alignment horizontal="left" vertical="center" wrapText="1"/>
    </xf>
    <xf numFmtId="3" fontId="7" fillId="0" borderId="40" xfId="0" applyNumberFormat="1" applyFont="1" applyBorder="1" applyAlignment="1">
      <alignment horizontal="left" vertical="center" wrapText="1"/>
    </xf>
    <xf numFmtId="0" fontId="7" fillId="0" borderId="64" xfId="0" applyFont="1" applyBorder="1" applyAlignment="1">
      <alignment horizontal="justify" vertical="top" wrapText="1"/>
    </xf>
    <xf numFmtId="0" fontId="7" fillId="0" borderId="39" xfId="0" applyFont="1" applyBorder="1" applyAlignment="1">
      <alignment horizontal="justify" vertical="top" wrapText="1"/>
    </xf>
    <xf numFmtId="0" fontId="7" fillId="18" borderId="4" xfId="0" applyFont="1" applyFill="1" applyBorder="1" applyAlignment="1">
      <alignment horizontal="center" vertical="center" wrapText="1"/>
    </xf>
    <xf numFmtId="0" fontId="7" fillId="18" borderId="0" xfId="0" applyFont="1" applyFill="1" applyAlignment="1">
      <alignment horizontal="center" vertical="center" wrapText="1"/>
    </xf>
    <xf numFmtId="3" fontId="7" fillId="0" borderId="51" xfId="0" applyNumberFormat="1" applyFont="1" applyFill="1" applyBorder="1" applyAlignment="1">
      <alignment horizontal="left" vertical="top" wrapText="1"/>
    </xf>
    <xf numFmtId="3" fontId="7" fillId="0" borderId="40" xfId="0" applyNumberFormat="1" applyFont="1" applyFill="1" applyBorder="1" applyAlignment="1">
      <alignment horizontal="left" vertical="top" wrapText="1"/>
    </xf>
    <xf numFmtId="4" fontId="7" fillId="0" borderId="50" xfId="0" applyNumberFormat="1" applyFont="1" applyBorder="1" applyAlignment="1">
      <alignment horizontal="center" vertical="center" wrapText="1"/>
    </xf>
    <xf numFmtId="0" fontId="7" fillId="18" borderId="4" xfId="0" applyFont="1" applyFill="1" applyBorder="1" applyAlignment="1">
      <alignment horizontal="center" vertical="center"/>
    </xf>
    <xf numFmtId="0" fontId="7" fillId="18" borderId="0" xfId="0" applyFont="1" applyFill="1" applyAlignment="1">
      <alignment horizontal="center" vertical="center"/>
    </xf>
    <xf numFmtId="0" fontId="8" fillId="22" borderId="22" xfId="0" applyFont="1" applyFill="1" applyBorder="1" applyAlignment="1">
      <alignment horizontal="left" vertical="center" wrapText="1"/>
    </xf>
    <xf numFmtId="3" fontId="14" fillId="0" borderId="0" xfId="0" applyNumberFormat="1" applyFont="1" applyAlignment="1">
      <alignment horizontal="center"/>
    </xf>
    <xf numFmtId="3" fontId="16" fillId="0" borderId="0" xfId="0" applyNumberFormat="1" applyFont="1" applyAlignment="1">
      <alignment horizontal="center"/>
    </xf>
    <xf numFmtId="0" fontId="20" fillId="0" borderId="0" xfId="0" applyFont="1" applyAlignment="1">
      <alignment horizontal="center"/>
    </xf>
    <xf numFmtId="3" fontId="7" fillId="0" borderId="0" xfId="0" applyNumberFormat="1" applyFont="1" applyAlignment="1">
      <alignment horizontal="center"/>
    </xf>
  </cellXfs>
  <cellStyles count="12">
    <cellStyle name="Euro" xfId="1" xr:uid="{00000000-0005-0000-0000-000000000000}"/>
    <cellStyle name="Euro 2" xfId="2" xr:uid="{00000000-0005-0000-0000-000001000000}"/>
    <cellStyle name="Euro 3" xfId="3" xr:uid="{00000000-0005-0000-0000-000002000000}"/>
    <cellStyle name="Millares" xfId="4" builtinId="3"/>
    <cellStyle name="Millares 6" xfId="5" xr:uid="{00000000-0005-0000-0000-000004000000}"/>
    <cellStyle name="Normal" xfId="0" builtinId="0"/>
    <cellStyle name="Normal 2 2" xfId="6" xr:uid="{00000000-0005-0000-0000-000006000000}"/>
    <cellStyle name="Normal 2 3" xfId="7" xr:uid="{00000000-0005-0000-0000-000007000000}"/>
    <cellStyle name="Normal 3" xfId="8" xr:uid="{00000000-0005-0000-0000-000008000000}"/>
    <cellStyle name="Normal 4" xfId="9" xr:uid="{00000000-0005-0000-0000-000009000000}"/>
    <cellStyle name="Normal 6" xfId="10" xr:uid="{00000000-0005-0000-0000-00000A000000}"/>
    <cellStyle name="Porcentaje" xfId="11" builtinId="5"/>
  </cellStyles>
  <dxfs count="36">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color rgb="FF9C5700"/>
      </font>
      <fill>
        <patternFill>
          <bgColor rgb="FFFFEB9C"/>
        </patternFill>
      </fill>
    </dxf>
    <dxf>
      <font>
        <b val="0"/>
        <i val="0"/>
        <strike val="0"/>
        <condense val="0"/>
        <extend val="0"/>
        <outline val="0"/>
        <shadow val="0"/>
        <u val="none"/>
        <vertAlign val="baseline"/>
        <sz val="9"/>
        <color auto="1"/>
        <name val="Tahoma"/>
        <scheme val="none"/>
      </font>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2" defaultTableStyle="TableStyleMedium9" defaultPivotStyle="PivotStyleLight16">
    <tableStyle name="Hoja1-style" pivot="0" count="3" xr9:uid="{00000000-0011-0000-FFFF-FFFF00000000}">
      <tableStyleElement type="headerRow" dxfId="35"/>
      <tableStyleElement type="firstRowStripe" dxfId="34"/>
      <tableStyleElement type="secondRowStripe" dxfId="33"/>
    </tableStyle>
    <tableStyle name="Hoja1-style 2" pivot="0" count="3" xr9:uid="{00000000-0011-0000-FFFF-FFFF01000000}">
      <tableStyleElement type="headerRow" dxfId="32"/>
      <tableStyleElement type="firstRowStripe" dxfId="31"/>
      <tableStyleElement type="secondRowStripe" dxfId="3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0.xml.rels><?xml version="1.0" encoding="UTF-8" standalone="yes"?>
<Relationships xmlns="http://schemas.openxmlformats.org/package/2006/relationships"><Relationship Id="rId1" Type="http://schemas.openxmlformats.org/officeDocument/2006/relationships/image" Target="../media/image3.wmf"/></Relationships>
</file>

<file path=xl/drawings/_rels/drawing1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2.xml.rels><?xml version="1.0" encoding="UTF-8" standalone="yes"?>
<Relationships xmlns="http://schemas.openxmlformats.org/package/2006/relationships"><Relationship Id="rId1" Type="http://schemas.openxmlformats.org/officeDocument/2006/relationships/image" Target="../media/image1.wmf"/></Relationships>
</file>

<file path=xl/drawings/_rels/drawing13.xml.rels><?xml version="1.0" encoding="UTF-8" standalone="yes"?>
<Relationships xmlns="http://schemas.openxmlformats.org/package/2006/relationships"><Relationship Id="rId1" Type="http://schemas.openxmlformats.org/officeDocument/2006/relationships/image" Target="../media/image1.wmf"/></Relationships>
</file>

<file path=xl/drawings/_rels/drawing14.xml.rels><?xml version="1.0" encoding="UTF-8" standalone="yes"?>
<Relationships xmlns="http://schemas.openxmlformats.org/package/2006/relationships"><Relationship Id="rId1" Type="http://schemas.openxmlformats.org/officeDocument/2006/relationships/image" Target="../media/image1.wmf"/></Relationships>
</file>

<file path=xl/drawings/_rels/drawing15.xml.rels><?xml version="1.0" encoding="UTF-8" standalone="yes"?>
<Relationships xmlns="http://schemas.openxmlformats.org/package/2006/relationships"><Relationship Id="rId1" Type="http://schemas.openxmlformats.org/officeDocument/2006/relationships/image" Target="../media/image1.wmf"/></Relationships>
</file>

<file path=xl/drawings/_rels/drawing16.xml.rels><?xml version="1.0" encoding="UTF-8" standalone="yes"?>
<Relationships xmlns="http://schemas.openxmlformats.org/package/2006/relationships"><Relationship Id="rId1" Type="http://schemas.openxmlformats.org/officeDocument/2006/relationships/image" Target="../media/image3.wmf"/></Relationships>
</file>

<file path=xl/drawings/_rels/drawing17.xml.rels><?xml version="1.0" encoding="UTF-8" standalone="yes"?>
<Relationships xmlns="http://schemas.openxmlformats.org/package/2006/relationships"><Relationship Id="rId1" Type="http://schemas.openxmlformats.org/officeDocument/2006/relationships/image" Target="../media/image3.wmf"/></Relationships>
</file>

<file path=xl/drawings/_rels/drawing18.xml.rels><?xml version="1.0" encoding="UTF-8" standalone="yes"?>
<Relationships xmlns="http://schemas.openxmlformats.org/package/2006/relationships"><Relationship Id="rId1" Type="http://schemas.openxmlformats.org/officeDocument/2006/relationships/image" Target="../media/image3.wmf"/></Relationships>
</file>

<file path=xl/drawings/_rels/drawing19.xml.rels><?xml version="1.0" encoding="UTF-8" standalone="yes"?>
<Relationships xmlns="http://schemas.openxmlformats.org/package/2006/relationships"><Relationship Id="rId1" Type="http://schemas.openxmlformats.org/officeDocument/2006/relationships/image" Target="../media/image3.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20.xml.rels><?xml version="1.0" encoding="UTF-8" standalone="yes"?>
<Relationships xmlns="http://schemas.openxmlformats.org/package/2006/relationships"><Relationship Id="rId1" Type="http://schemas.openxmlformats.org/officeDocument/2006/relationships/image" Target="../media/image3.wmf"/></Relationships>
</file>

<file path=xl/drawings/_rels/drawing3.x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wmf"/></Relationships>
</file>

<file path=xl/drawings/_rels/drawing5.xml.rels><?xml version="1.0" encoding="UTF-8" standalone="yes"?>
<Relationships xmlns="http://schemas.openxmlformats.org/package/2006/relationships"><Relationship Id="rId1" Type="http://schemas.openxmlformats.org/officeDocument/2006/relationships/image" Target="../media/image3.wmf"/></Relationships>
</file>

<file path=xl/drawings/_rels/drawing6.xml.rels><?xml version="1.0" encoding="UTF-8" standalone="yes"?>
<Relationships xmlns="http://schemas.openxmlformats.org/package/2006/relationships"><Relationship Id="rId1" Type="http://schemas.openxmlformats.org/officeDocument/2006/relationships/image" Target="../media/image3.wmf"/></Relationships>
</file>

<file path=xl/drawings/_rels/drawing7.xml.rels><?xml version="1.0" encoding="UTF-8" standalone="yes"?>
<Relationships xmlns="http://schemas.openxmlformats.org/package/2006/relationships"><Relationship Id="rId1" Type="http://schemas.openxmlformats.org/officeDocument/2006/relationships/image" Target="../media/image3.wmf"/></Relationships>
</file>

<file path=xl/drawings/_rels/drawing8.xml.rels><?xml version="1.0" encoding="UTF-8" standalone="yes"?>
<Relationships xmlns="http://schemas.openxmlformats.org/package/2006/relationships"><Relationship Id="rId1" Type="http://schemas.openxmlformats.org/officeDocument/2006/relationships/image" Target="../media/image3.wmf"/></Relationships>
</file>

<file path=xl/drawings/_rels/drawing9.xml.rels><?xml version="1.0" encoding="UTF-8" standalone="yes"?>
<Relationships xmlns="http://schemas.openxmlformats.org/package/2006/relationships"><Relationship Id="rId1" Type="http://schemas.openxmlformats.org/officeDocument/2006/relationships/image" Target="../media/image3.wmf"/></Relationships>
</file>

<file path=xl/drawings/drawing1.xml><?xml version="1.0" encoding="utf-8"?>
<xdr:wsDr xmlns:xdr="http://schemas.openxmlformats.org/drawingml/2006/spreadsheetDrawing" xmlns:a="http://schemas.openxmlformats.org/drawingml/2006/main">
  <xdr:twoCellAnchor>
    <xdr:from>
      <xdr:col>0</xdr:col>
      <xdr:colOff>144780</xdr:colOff>
      <xdr:row>0</xdr:row>
      <xdr:rowOff>91440</xdr:rowOff>
    </xdr:from>
    <xdr:to>
      <xdr:col>0</xdr:col>
      <xdr:colOff>1120140</xdr:colOff>
      <xdr:row>3</xdr:row>
      <xdr:rowOff>137160</xdr:rowOff>
    </xdr:to>
    <xdr:pic>
      <xdr:nvPicPr>
        <xdr:cNvPr id="1071" name="Picture 1" descr="cmyk">
          <a:extLst>
            <a:ext uri="{FF2B5EF4-FFF2-40B4-BE49-F238E27FC236}">
              <a16:creationId xmlns:a16="http://schemas.microsoft.com/office/drawing/2014/main" id="{BC30EADF-3BB5-465F-A732-912C3C0621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 y="91440"/>
          <a:ext cx="838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373380</xdr:colOff>
      <xdr:row>0</xdr:row>
      <xdr:rowOff>160020</xdr:rowOff>
    </xdr:from>
    <xdr:to>
      <xdr:col>1</xdr:col>
      <xdr:colOff>381000</xdr:colOff>
      <xdr:row>4</xdr:row>
      <xdr:rowOff>83820</xdr:rowOff>
    </xdr:to>
    <xdr:pic>
      <xdr:nvPicPr>
        <xdr:cNvPr id="10287" name="Picture 1" descr="cmyk">
          <a:extLst>
            <a:ext uri="{FF2B5EF4-FFF2-40B4-BE49-F238E27FC236}">
              <a16:creationId xmlns:a16="http://schemas.microsoft.com/office/drawing/2014/main" id="{4BBBB309-F2EF-4FC2-8098-F21668FF2C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380" y="99060"/>
          <a:ext cx="60198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556260</xdr:colOff>
      <xdr:row>1</xdr:row>
      <xdr:rowOff>30480</xdr:rowOff>
    </xdr:from>
    <xdr:to>
      <xdr:col>1</xdr:col>
      <xdr:colOff>784860</xdr:colOff>
      <xdr:row>5</xdr:row>
      <xdr:rowOff>121920</xdr:rowOff>
    </xdr:to>
    <xdr:pic>
      <xdr:nvPicPr>
        <xdr:cNvPr id="11311" name="Picture 1" descr="cmyk">
          <a:extLst>
            <a:ext uri="{FF2B5EF4-FFF2-40B4-BE49-F238E27FC236}">
              <a16:creationId xmlns:a16="http://schemas.microsoft.com/office/drawing/2014/main" id="{B29E7559-B572-494B-8811-B8D77089FC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780" y="121920"/>
          <a:ext cx="78486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350520</xdr:colOff>
      <xdr:row>0</xdr:row>
      <xdr:rowOff>91440</xdr:rowOff>
    </xdr:from>
    <xdr:to>
      <xdr:col>1</xdr:col>
      <xdr:colOff>213360</xdr:colOff>
      <xdr:row>4</xdr:row>
      <xdr:rowOff>45720</xdr:rowOff>
    </xdr:to>
    <xdr:pic>
      <xdr:nvPicPr>
        <xdr:cNvPr id="12335" name="Picture 1" descr="cmyk">
          <a:extLst>
            <a:ext uri="{FF2B5EF4-FFF2-40B4-BE49-F238E27FC236}">
              <a16:creationId xmlns:a16="http://schemas.microsoft.com/office/drawing/2014/main" id="{A7965642-46CC-4AC7-87AE-8132AB56B3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91440"/>
          <a:ext cx="594360" cy="777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320040</xdr:colOff>
      <xdr:row>0</xdr:row>
      <xdr:rowOff>129540</xdr:rowOff>
    </xdr:from>
    <xdr:to>
      <xdr:col>1</xdr:col>
      <xdr:colOff>236220</xdr:colOff>
      <xdr:row>4</xdr:row>
      <xdr:rowOff>99060</xdr:rowOff>
    </xdr:to>
    <xdr:pic>
      <xdr:nvPicPr>
        <xdr:cNvPr id="13359" name="Picture 1" descr="cmyk">
          <a:extLst>
            <a:ext uri="{FF2B5EF4-FFF2-40B4-BE49-F238E27FC236}">
              <a16:creationId xmlns:a16="http://schemas.microsoft.com/office/drawing/2014/main" id="{397A4143-704B-4E61-BEC7-4E39D8E282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040" y="129540"/>
          <a:ext cx="647700" cy="792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373380</xdr:colOff>
      <xdr:row>0</xdr:row>
      <xdr:rowOff>114300</xdr:rowOff>
    </xdr:from>
    <xdr:to>
      <xdr:col>1</xdr:col>
      <xdr:colOff>335280</xdr:colOff>
      <xdr:row>4</xdr:row>
      <xdr:rowOff>137160</xdr:rowOff>
    </xdr:to>
    <xdr:pic>
      <xdr:nvPicPr>
        <xdr:cNvPr id="14383" name="Picture 1" descr="cmyk">
          <a:extLst>
            <a:ext uri="{FF2B5EF4-FFF2-40B4-BE49-F238E27FC236}">
              <a16:creationId xmlns:a16="http://schemas.microsoft.com/office/drawing/2014/main" id="{30843A2D-52B7-4C47-84CE-E24585E0CC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380" y="114300"/>
          <a:ext cx="693420" cy="845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342900</xdr:colOff>
      <xdr:row>0</xdr:row>
      <xdr:rowOff>114300</xdr:rowOff>
    </xdr:from>
    <xdr:to>
      <xdr:col>1</xdr:col>
      <xdr:colOff>320040</xdr:colOff>
      <xdr:row>4</xdr:row>
      <xdr:rowOff>144780</xdr:rowOff>
    </xdr:to>
    <xdr:pic>
      <xdr:nvPicPr>
        <xdr:cNvPr id="15407" name="Picture 1" descr="cmyk">
          <a:extLst>
            <a:ext uri="{FF2B5EF4-FFF2-40B4-BE49-F238E27FC236}">
              <a16:creationId xmlns:a16="http://schemas.microsoft.com/office/drawing/2014/main" id="{12A6165E-57A1-42B3-8140-FAD58E84BE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114300"/>
          <a:ext cx="708660" cy="853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906780</xdr:colOff>
      <xdr:row>3</xdr:row>
      <xdr:rowOff>38100</xdr:rowOff>
    </xdr:from>
    <xdr:to>
      <xdr:col>2</xdr:col>
      <xdr:colOff>640080</xdr:colOff>
      <xdr:row>9</xdr:row>
      <xdr:rowOff>236220</xdr:rowOff>
    </xdr:to>
    <xdr:pic>
      <xdr:nvPicPr>
        <xdr:cNvPr id="16431" name="Picture 3" descr="cmyk">
          <a:extLst>
            <a:ext uri="{FF2B5EF4-FFF2-40B4-BE49-F238E27FC236}">
              <a16:creationId xmlns:a16="http://schemas.microsoft.com/office/drawing/2014/main" id="{05304997-2348-4301-A402-74D406E17C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3420" y="662940"/>
          <a:ext cx="78486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792480</xdr:colOff>
      <xdr:row>4</xdr:row>
      <xdr:rowOff>68580</xdr:rowOff>
    </xdr:from>
    <xdr:to>
      <xdr:col>2</xdr:col>
      <xdr:colOff>350520</xdr:colOff>
      <xdr:row>7</xdr:row>
      <xdr:rowOff>30480</xdr:rowOff>
    </xdr:to>
    <xdr:pic>
      <xdr:nvPicPr>
        <xdr:cNvPr id="17455" name="Picture 3" descr="cmyk">
          <a:extLst>
            <a:ext uri="{FF2B5EF4-FFF2-40B4-BE49-F238E27FC236}">
              <a16:creationId xmlns:a16="http://schemas.microsoft.com/office/drawing/2014/main" id="{EF021922-15D5-423B-9C13-7267EBF0D2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4860" y="899160"/>
          <a:ext cx="480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822960</xdr:colOff>
      <xdr:row>3</xdr:row>
      <xdr:rowOff>83820</xdr:rowOff>
    </xdr:from>
    <xdr:to>
      <xdr:col>2</xdr:col>
      <xdr:colOff>411480</xdr:colOff>
      <xdr:row>6</xdr:row>
      <xdr:rowOff>91440</xdr:rowOff>
    </xdr:to>
    <xdr:pic>
      <xdr:nvPicPr>
        <xdr:cNvPr id="18479" name="Picture 3" descr="cmyk">
          <a:extLst>
            <a:ext uri="{FF2B5EF4-FFF2-40B4-BE49-F238E27FC236}">
              <a16:creationId xmlns:a16="http://schemas.microsoft.com/office/drawing/2014/main" id="{8E058A01-8542-425D-8BAA-A3B3F24B78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4860" y="708660"/>
          <a:ext cx="571500"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45720</xdr:colOff>
      <xdr:row>3</xdr:row>
      <xdr:rowOff>198120</xdr:rowOff>
    </xdr:from>
    <xdr:to>
      <xdr:col>2</xdr:col>
      <xdr:colOff>647700</xdr:colOff>
      <xdr:row>7</xdr:row>
      <xdr:rowOff>114300</xdr:rowOff>
    </xdr:to>
    <xdr:pic>
      <xdr:nvPicPr>
        <xdr:cNvPr id="19503" name="Picture 3" descr="cmyk">
          <a:extLst>
            <a:ext uri="{FF2B5EF4-FFF2-40B4-BE49-F238E27FC236}">
              <a16:creationId xmlns:a16="http://schemas.microsoft.com/office/drawing/2014/main" id="{FC6B1394-4DED-401E-8F43-2477640ED5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 y="792480"/>
          <a:ext cx="746760" cy="739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182880</xdr:colOff>
      <xdr:row>0</xdr:row>
      <xdr:rowOff>68580</xdr:rowOff>
    </xdr:from>
    <xdr:to>
      <xdr:col>0</xdr:col>
      <xdr:colOff>1158240</xdr:colOff>
      <xdr:row>3</xdr:row>
      <xdr:rowOff>114300</xdr:rowOff>
    </xdr:to>
    <xdr:pic>
      <xdr:nvPicPr>
        <xdr:cNvPr id="2095" name="Picture 1" descr="cmyk">
          <a:extLst>
            <a:ext uri="{FF2B5EF4-FFF2-40B4-BE49-F238E27FC236}">
              <a16:creationId xmlns:a16="http://schemas.microsoft.com/office/drawing/2014/main" id="{CA2D835B-01C3-4509-9248-FB9E9AC55A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2880" y="68580"/>
          <a:ext cx="975360" cy="662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502920</xdr:colOff>
      <xdr:row>2</xdr:row>
      <xdr:rowOff>213360</xdr:rowOff>
    </xdr:from>
    <xdr:to>
      <xdr:col>2</xdr:col>
      <xdr:colOff>182880</xdr:colOff>
      <xdr:row>5</xdr:row>
      <xdr:rowOff>175260</xdr:rowOff>
    </xdr:to>
    <xdr:pic>
      <xdr:nvPicPr>
        <xdr:cNvPr id="20527" name="Picture 3" descr="cmyk">
          <a:extLst>
            <a:ext uri="{FF2B5EF4-FFF2-40B4-BE49-F238E27FC236}">
              <a16:creationId xmlns:a16="http://schemas.microsoft.com/office/drawing/2014/main" id="{33C503BC-6919-4B15-B8C2-E1C7C7B33D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2920" y="624840"/>
          <a:ext cx="48006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22860</xdr:colOff>
      <xdr:row>0</xdr:row>
      <xdr:rowOff>0</xdr:rowOff>
    </xdr:from>
    <xdr:to>
      <xdr:col>1</xdr:col>
      <xdr:colOff>1173480</xdr:colOff>
      <xdr:row>0</xdr:row>
      <xdr:rowOff>0</xdr:rowOff>
    </xdr:to>
    <xdr:pic>
      <xdr:nvPicPr>
        <xdr:cNvPr id="3165" name="Picture 3" descr="Logoin INEC, Color">
          <a:extLst>
            <a:ext uri="{FF2B5EF4-FFF2-40B4-BE49-F238E27FC236}">
              <a16:creationId xmlns:a16="http://schemas.microsoft.com/office/drawing/2014/main" id="{C4AC2F31-C5BF-4D1C-8091-B6C5E3107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734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350520</xdr:colOff>
      <xdr:row>0</xdr:row>
      <xdr:rowOff>68580</xdr:rowOff>
    </xdr:from>
    <xdr:to>
      <xdr:col>1</xdr:col>
      <xdr:colOff>1104900</xdr:colOff>
      <xdr:row>2</xdr:row>
      <xdr:rowOff>220980</xdr:rowOff>
    </xdr:to>
    <xdr:pic>
      <xdr:nvPicPr>
        <xdr:cNvPr id="3166" name="Picture 4" descr="cmyk">
          <a:extLst>
            <a:ext uri="{FF2B5EF4-FFF2-40B4-BE49-F238E27FC236}">
              <a16:creationId xmlns:a16="http://schemas.microsoft.com/office/drawing/2014/main" id="{34AB7CB3-4F4C-481C-82B7-29927E77D54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0520" y="68580"/>
          <a:ext cx="754380" cy="541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243840</xdr:colOff>
      <xdr:row>0</xdr:row>
      <xdr:rowOff>38100</xdr:rowOff>
    </xdr:from>
    <xdr:to>
      <xdr:col>0</xdr:col>
      <xdr:colOff>1089660</xdr:colOff>
      <xdr:row>2</xdr:row>
      <xdr:rowOff>198120</xdr:rowOff>
    </xdr:to>
    <xdr:pic>
      <xdr:nvPicPr>
        <xdr:cNvPr id="4143" name="Picture 8" descr="cmyk">
          <a:extLst>
            <a:ext uri="{FF2B5EF4-FFF2-40B4-BE49-F238E27FC236}">
              <a16:creationId xmlns:a16="http://schemas.microsoft.com/office/drawing/2014/main" id="{7A24B229-C732-4E71-B60C-CF8C89BBA0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840" y="38100"/>
          <a:ext cx="84582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411480</xdr:colOff>
      <xdr:row>0</xdr:row>
      <xdr:rowOff>91440</xdr:rowOff>
    </xdr:from>
    <xdr:to>
      <xdr:col>1</xdr:col>
      <xdr:colOff>1485900</xdr:colOff>
      <xdr:row>3</xdr:row>
      <xdr:rowOff>160020</xdr:rowOff>
    </xdr:to>
    <xdr:pic>
      <xdr:nvPicPr>
        <xdr:cNvPr id="5167" name="Picture 3" descr="cmyk">
          <a:extLst>
            <a:ext uri="{FF2B5EF4-FFF2-40B4-BE49-F238E27FC236}">
              <a16:creationId xmlns:a16="http://schemas.microsoft.com/office/drawing/2014/main" id="{27C06907-4A7B-4400-9E9A-5D9DFC0142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 y="91440"/>
          <a:ext cx="107442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274320</xdr:colOff>
      <xdr:row>0</xdr:row>
      <xdr:rowOff>30480</xdr:rowOff>
    </xdr:from>
    <xdr:to>
      <xdr:col>0</xdr:col>
      <xdr:colOff>891540</xdr:colOff>
      <xdr:row>2</xdr:row>
      <xdr:rowOff>68580</xdr:rowOff>
    </xdr:to>
    <xdr:pic>
      <xdr:nvPicPr>
        <xdr:cNvPr id="6237" name="Picture 3" descr="cmyk">
          <a:extLst>
            <a:ext uri="{FF2B5EF4-FFF2-40B4-BE49-F238E27FC236}">
              <a16:creationId xmlns:a16="http://schemas.microsoft.com/office/drawing/2014/main" id="{43A4C03F-517B-4578-9E11-D768A831F0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320" y="30480"/>
          <a:ext cx="61722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0</xdr:row>
      <xdr:rowOff>30480</xdr:rowOff>
    </xdr:from>
    <xdr:to>
      <xdr:col>12</xdr:col>
      <xdr:colOff>0</xdr:colOff>
      <xdr:row>2</xdr:row>
      <xdr:rowOff>68580</xdr:rowOff>
    </xdr:to>
    <xdr:pic>
      <xdr:nvPicPr>
        <xdr:cNvPr id="6238" name="Picture 3" descr="cmyk">
          <a:extLst>
            <a:ext uri="{FF2B5EF4-FFF2-40B4-BE49-F238E27FC236}">
              <a16:creationId xmlns:a16="http://schemas.microsoft.com/office/drawing/2014/main" id="{CFD83BCB-4BE6-43A2-BC1D-D15DF1077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94920" y="30480"/>
          <a:ext cx="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685800</xdr:colOff>
      <xdr:row>0</xdr:row>
      <xdr:rowOff>99060</xdr:rowOff>
    </xdr:from>
    <xdr:to>
      <xdr:col>1</xdr:col>
      <xdr:colOff>1821180</xdr:colOff>
      <xdr:row>3</xdr:row>
      <xdr:rowOff>175260</xdr:rowOff>
    </xdr:to>
    <xdr:pic>
      <xdr:nvPicPr>
        <xdr:cNvPr id="7215" name="Picture 4" descr="cmyk">
          <a:extLst>
            <a:ext uri="{FF2B5EF4-FFF2-40B4-BE49-F238E27FC236}">
              <a16:creationId xmlns:a16="http://schemas.microsoft.com/office/drawing/2014/main" id="{0CE1F492-556C-471A-9911-66AD3572D5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99060"/>
          <a:ext cx="1135380"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586740</xdr:colOff>
      <xdr:row>0</xdr:row>
      <xdr:rowOff>38100</xdr:rowOff>
    </xdr:from>
    <xdr:to>
      <xdr:col>1</xdr:col>
      <xdr:colOff>1577340</xdr:colOff>
      <xdr:row>3</xdr:row>
      <xdr:rowOff>99060</xdr:rowOff>
    </xdr:to>
    <xdr:pic>
      <xdr:nvPicPr>
        <xdr:cNvPr id="8239" name="Picture 3" descr="cmyk">
          <a:extLst>
            <a:ext uri="{FF2B5EF4-FFF2-40B4-BE49-F238E27FC236}">
              <a16:creationId xmlns:a16="http://schemas.microsoft.com/office/drawing/2014/main" id="{12B79285-4C90-4631-8ABE-4BF06F9A6C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740" y="38100"/>
          <a:ext cx="9906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480060</xdr:colOff>
      <xdr:row>0</xdr:row>
      <xdr:rowOff>53340</xdr:rowOff>
    </xdr:from>
    <xdr:to>
      <xdr:col>1</xdr:col>
      <xdr:colOff>1348740</xdr:colOff>
      <xdr:row>2</xdr:row>
      <xdr:rowOff>213360</xdr:rowOff>
    </xdr:to>
    <xdr:pic>
      <xdr:nvPicPr>
        <xdr:cNvPr id="9309" name="Picture 96" descr="cmyk">
          <a:extLst>
            <a:ext uri="{FF2B5EF4-FFF2-40B4-BE49-F238E27FC236}">
              <a16:creationId xmlns:a16="http://schemas.microsoft.com/office/drawing/2014/main" id="{418D0B4C-9620-4423-A614-D2CE5F8CBF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 y="53340"/>
          <a:ext cx="86868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480060</xdr:colOff>
      <xdr:row>0</xdr:row>
      <xdr:rowOff>53340</xdr:rowOff>
    </xdr:from>
    <xdr:to>
      <xdr:col>1</xdr:col>
      <xdr:colOff>1348740</xdr:colOff>
      <xdr:row>2</xdr:row>
      <xdr:rowOff>213360</xdr:rowOff>
    </xdr:to>
    <xdr:pic>
      <xdr:nvPicPr>
        <xdr:cNvPr id="9310" name="Picture 96" descr="cmyk">
          <a:extLst>
            <a:ext uri="{FF2B5EF4-FFF2-40B4-BE49-F238E27FC236}">
              <a16:creationId xmlns:a16="http://schemas.microsoft.com/office/drawing/2014/main" id="{1887B44C-1F79-44A9-8839-E69ABDAACA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 y="53340"/>
          <a:ext cx="86868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lliana.carvajal/AppData/Local/Microsoft/Windows/INetCache/Content.Outlook/Y0IGTLD7/04%20INGRESOS%20Y%20GASTOS%20-%20PRESUPUESTO%20ORDINARIO%2020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lliana.carvajal.INEC/AppData/Local/Microsoft/Windows/Temporary%20Internet%20Files/Content.Outlook/SNF2IB9Z/PRESUPUESTO%20ORDINARIO%202015%20-%20JUSTIFICAC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RESUPUESTO%202014\PRESUPUESTO%20ORDINARIO%202012%20-%20CD%20-%2007%20SET.%202011%20-%20JUSTIFICACION%20A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LASIFICACION DE INGRESOS 2020"/>
      <sheetName val="INGRESOS 2020"/>
      <sheetName val="JUSTIFICACION"/>
      <sheetName val="INGRESOS 2014-2019"/>
      <sheetName val="COMPARATIVO"/>
      <sheetName val="OBJETO "/>
      <sheetName val="EGRESOS"/>
      <sheetName val="GASTO"/>
      <sheetName val="CLASIF.ECONOMICO DEL GTO"/>
      <sheetName val="PROYECTO DE INVERSIÓN"/>
      <sheetName val="EST.ORIGEN Y APLICACION"/>
      <sheetName val=" CLASIFICACION DE GASTOS 2020"/>
      <sheetName val="JUST. PROG.01"/>
      <sheetName val="JUST. PROG.02"/>
      <sheetName val="JUST. PROG.03"/>
      <sheetName val="JUST. PROG.04"/>
      <sheetName val="PRESUPUESTO 2020"/>
      <sheetName val="RESUMEN INEC"/>
      <sheetName val="RESUMEN 01"/>
      <sheetName val="RESUMEN 02"/>
      <sheetName val="RESUMEN 03"/>
      <sheetName val="RESUMEN 04"/>
      <sheetName val="Hoja2"/>
      <sheetName val="EST.ORIGEN Y APLICACION AP"/>
      <sheetName val="Hoja1"/>
    </sheetNames>
    <sheetDataSet>
      <sheetData sheetId="0" refreshError="1"/>
      <sheetData sheetId="1" refreshError="1"/>
      <sheetData sheetId="2" refreshError="1">
        <row r="19">
          <cell r="B19" t="str">
            <v>Transferencias Ctes de Instituciones  Descentralizadas No Empresariales</v>
          </cell>
        </row>
      </sheetData>
      <sheetData sheetId="3" refreshError="1"/>
      <sheetData sheetId="4" refreshError="1"/>
      <sheetData sheetId="5" refreshError="1"/>
      <sheetData sheetId="6" refreshError="1"/>
      <sheetData sheetId="7" refreshError="1">
        <row r="10">
          <cell r="J10" t="str">
            <v>Programa 04</v>
          </cell>
        </row>
        <row r="11">
          <cell r="F11" t="str">
            <v>Rectoría Técnica de las Estadísticas Nacionales</v>
          </cell>
          <cell r="J11" t="str">
            <v>Difusión y Promoción de la Producción  Estadística</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SEMPEÑO ESPECIFICO"/>
      <sheetName val="INDICE"/>
      <sheetName val="CLASIFICACION PRESUPUESTARIA"/>
      <sheetName val="AUDITORIA"/>
      <sheetName val="JUSTIF. 01"/>
      <sheetName val="JUSTIF. 02"/>
      <sheetName val="JUSTIF. 03 (con Proyec)"/>
      <sheetName val="JUSTIF. 04"/>
      <sheetName val="JUSTIF. ENAHO"/>
      <sheetName val="JUSTIF. ECE"/>
      <sheetName val="JUSTIF. ENHOPRO"/>
      <sheetName val="JUSTIF. MODULO DE GASTOS"/>
      <sheetName val="JUSTIF. ETAPA"/>
      <sheetName val="JUSTIF. ENAE"/>
      <sheetName val="JUSTIF.CENAGRO"/>
      <sheetName val="JUSTIF. ACT IPC"/>
      <sheetName val="JUSTIF. EEE"/>
      <sheetName val="JUSTIF.ENC"/>
      <sheetName val="JUSTIF. 03"/>
      <sheetName val="JUSTIF. 01 (14)"/>
      <sheetName val="JUSTIF. 01 (15)"/>
      <sheetName val="JUSTIF. 01 (16)"/>
      <sheetName val="JUSTIF. 01 (17)"/>
      <sheetName val="Hoja2"/>
      <sheetName val="Hoja1"/>
      <sheetName val="RESUMEN POR PROGRAMA"/>
      <sheetName val="RESUMEN POR SUBPROGRAMAS"/>
      <sheetName val="RESUMEN DE EGRESOS"/>
      <sheetName val="GRAFICOS"/>
    </sheetNames>
    <sheetDataSet>
      <sheetData sheetId="0"/>
      <sheetData sheetId="1"/>
      <sheetData sheetId="2" refreshError="1">
        <row r="131">
          <cell r="Q131">
            <v>0</v>
          </cell>
        </row>
        <row r="169">
          <cell r="Q169">
            <v>0</v>
          </cell>
        </row>
        <row r="170">
          <cell r="Q170">
            <v>0</v>
          </cell>
        </row>
        <row r="171">
          <cell r="Q171">
            <v>0</v>
          </cell>
        </row>
        <row r="212">
          <cell r="Q212">
            <v>0</v>
          </cell>
          <cell r="AS212">
            <v>0</v>
          </cell>
          <cell r="AZ212">
            <v>0</v>
          </cell>
        </row>
      </sheetData>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
      <sheetName val="PRESUPUESTO 2011"/>
      <sheetName val="PRESUPUESTO 2012"/>
      <sheetName val="JUSTIF. 01"/>
      <sheetName val="JUST. IND."/>
      <sheetName val="JUST. DUIE"/>
      <sheetName val="ENIGH"/>
      <sheetName val="JUSTIF. 02"/>
      <sheetName val="JUSTIF. PEA"/>
      <sheetName val="JUSTIF. ECE"/>
      <sheetName val="EHP-BCCR"/>
      <sheetName val="ENAHO"/>
      <sheetName val="JUSTIF. 03"/>
      <sheetName val="CENSOS"/>
      <sheetName val="ORIGEN Y APLICACION"/>
      <sheetName val="INGRESOS"/>
      <sheetName val="Hoja6"/>
      <sheetName val="PROGRAMA 01"/>
      <sheetName val="PROGRAMA 02"/>
      <sheetName val="JUST. 01"/>
      <sheetName val="ENDE"/>
      <sheetName val="INDICES"/>
      <sheetName val="DUIE"/>
      <sheetName val="JUST. 02"/>
      <sheetName val="JUST. ECE"/>
      <sheetName val="ENC. AGROPEC."/>
      <sheetName val="JUST. BCCR"/>
      <sheetName val="JUST.ENAHO"/>
      <sheetName val="JUST. 03"/>
      <sheetName val="JUST. CENSOS"/>
      <sheetName val="COMP. 2009-2010 PROY"/>
      <sheetName val="CONTRALORIA 1"/>
      <sheetName val="CONTRALORIA 2"/>
      <sheetName val="CONTRALORIA 3"/>
      <sheetName val="Hoja1"/>
      <sheetName val="COMP 2009 - 2011"/>
      <sheetName val="Hoja2"/>
      <sheetName val="PROGRAMA 03"/>
      <sheetName val="PROGRAMA 04"/>
      <sheetName val="Hoja3"/>
      <sheetName val="JUST. ING."/>
    </sheetNames>
    <sheetDataSet>
      <sheetData sheetId="0" refreshError="1"/>
      <sheetData sheetId="1" refreshError="1"/>
      <sheetData sheetId="2" refreshError="1">
        <row r="195">
          <cell r="A195" t="str">
            <v>9.02.01</v>
          </cell>
        </row>
        <row r="196">
          <cell r="A196" t="str">
            <v>9.02.02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ladimir Calero Gaitán" refreshedDate="45652.442437500002" createdVersion="7" refreshedVersion="7" minRefreshableVersion="3" recordCount="1696" xr:uid="{50076BE4-2BFA-40FC-AFDB-2FC68DFE0930}">
  <cacheSource type="worksheet">
    <worksheetSource ref="A1:G1048576" sheet="Distribución OyA Detalle"/>
  </cacheSource>
  <cacheFields count="7">
    <cacheField name="PROGRAMA" numFmtId="0">
      <sharedItems containsString="0" containsBlank="1" containsNumber="1" containsInteger="1" minValue="1" maxValue="4"/>
    </cacheField>
    <cacheField name="SUBPROPCESO" numFmtId="0">
      <sharedItems containsBlank="1" count="49">
        <s v="SP101 Despacho gerencial"/>
        <s v="SP102 Consejo Directivo"/>
        <s v="SP103 Auditoría Interna"/>
        <s v="SP104 Unidad de Planificación Institucional"/>
        <s v="SP105 Unidad de Asesoría Jurídica"/>
        <s v="SP107 Área de Administración y Finanzas"/>
        <s v="SP108 Unidad de Finanzas"/>
        <s v="SP109 Unidad de Proveeduría"/>
        <s v="SP110 Unidad de Recursos Humanos"/>
        <s v="SP113 Archivo"/>
        <s v="SP114 Consultorio Médico"/>
        <s v="SP119  Departamento de Tecnologías de información"/>
        <s v="SP120 Departamento Administrativo Financiero"/>
        <s v="SP122 SERVICIOS INSTITUCIONALES"/>
        <s v="SP203 Dirección de Rectoría de la Estadística Nacional"/>
        <s v="SP301 Área de Censos y Encuestas"/>
        <s v="SP302 Encuesta Nacional de Hogares (ENAHO)"/>
        <s v="SP303 Unidad de Estadísticas Demográficas"/>
        <s v="SP304 Encuesta Continua de Empleo (ECE)"/>
        <s v="SP305 Encuesta Nacional de Microempresas y Hogares (ENAMEH)"/>
        <s v="SP307 Unidad de Diseño, análisis y operaciones"/>
        <s v="SP308 Unidad de Cartografía"/>
        <s v="SP309 Muestreo"/>
        <s v="SP313 Área de Estadísticas Continuas"/>
        <s v="SP314 Unidad de Índice de Precios"/>
        <s v="SP315 Encuesta Nacional Agropecuaria (ENA)"/>
        <s v="SP317 Directorio de Empresas y Establecimientos (DEE)"/>
        <s v="SP318 Unidad de Estadísticas Económicas"/>
        <s v="SP319 Censo Nacional Agropecuario (CENAGRO)"/>
        <s v="SP321 Sistema Integrado Encuesta a Hogares (SIEH) (CF)"/>
        <s v="SP322 Encuesta Económica de Empresa"/>
        <s v="SP323 ENIGH / ENFIHO"/>
        <s v="SP338 Censos Nacionales (CF)"/>
        <s v="SP339 Sistema Integrado Encuesta a Hogares (SIEH) (SE)"/>
        <s v="SP341 ENIGH (SE)"/>
        <s v="SP343 ENCUESTAS ESPECIALES (CF)"/>
        <s v="SP344 ENC. NAC. DE DEMANDA LABORAL SERVICIO (ENADEL) (CF)"/>
        <s v="SP345 ENC. NAC. DE DEMANDA LABORAL SERVICIO (ENADEL) (SE)"/>
        <s v="SP346 (IPP) Índice de precios al productor (SE)"/>
        <s v="SP347 (FII) Fuentes de Información Índices (SE)"/>
        <s v="SP348 Encuesta de confianza"/>
        <s v="SP401 Área de Información y Divulgación Estadística"/>
        <s v="SP402 Centro de Información"/>
        <s v="SP403 Producción Gráfica"/>
        <s v="SP404 Biblioteca"/>
        <s v="SP405 Comunicación"/>
        <s v="SP406 Servicios de Información"/>
        <s v="SP407 Difusión y Promoción"/>
        <m/>
      </sharedItems>
    </cacheField>
    <cacheField name="PARTIDA" numFmtId="0">
      <sharedItems containsBlank="1" count="7">
        <s v="1 SERVICIOS"/>
        <s v="2 MATERIALES Y SUMINISTROS"/>
        <s v="0 REMUNERACIONES"/>
        <s v="6 TRANSFERENCIAS CORRIENTES"/>
        <s v="5 BIENES DURADEROS"/>
        <s v="4 Activos Financieros"/>
        <m/>
      </sharedItems>
    </cacheField>
    <cacheField name="NOMBRE SUBPARTIDA" numFmtId="0">
      <sharedItems containsBlank="1" count="79">
        <s v="1.01.01"/>
        <s v="1.02.01"/>
        <s v="1.02.02"/>
        <s v="1.02.04"/>
        <s v="1.03.03"/>
        <s v="1.04.06"/>
        <s v="1.04.99"/>
        <s v="1.05.03"/>
        <s v="1.05.04"/>
        <s v="1.06.01"/>
        <s v="1.07.01"/>
        <s v="1.07.03"/>
        <s v="2.04.02"/>
        <s v="0.01.01"/>
        <s v="0.03.01"/>
        <s v="0.03.02"/>
        <s v="0.03.03"/>
        <s v="0.03.04"/>
        <s v="0.03.99"/>
        <s v="0.04.01"/>
        <s v="0.04.02"/>
        <s v="0.04.03"/>
        <s v="0.04.04"/>
        <s v="0.04.05"/>
        <s v="0.05.01"/>
        <s v="0.05.02"/>
        <s v="0.05.03"/>
        <s v="0.02.01"/>
        <s v="0.02.05"/>
        <s v="1.04.02"/>
        <s v="1.04.04"/>
        <s v="1.05.01"/>
        <s v="1.05.02"/>
        <s v="1.08.08"/>
        <s v="1.09.99"/>
        <s v="6.01.01"/>
        <s v="0.01.05"/>
        <s v="1.07.02"/>
        <s v="1.08.07"/>
        <s v="2.99.04"/>
        <s v="2.99.99"/>
        <s v="6.02.02"/>
        <s v="6.03.01"/>
        <s v="1.03.07"/>
        <s v="2.99.02"/>
        <s v="2.99.03"/>
        <s v="1.02.99"/>
        <s v="2.01.02"/>
        <s v="1.01.99"/>
        <s v="1.04.05"/>
        <s v="5.01.03"/>
        <s v="5.01.05"/>
        <s v="5.99.03"/>
        <s v="1.03.01"/>
        <s v="1.03.06"/>
        <s v="2.01.04"/>
        <s v="2.99.01"/>
        <s v="4.99.99"/>
        <s v="1.01.02"/>
        <s v="1.02.03"/>
        <s v="1.03.04"/>
        <s v="1.08.05"/>
        <s v="1.08.06"/>
        <s v="1.08.99"/>
        <s v="1.99.05"/>
        <s v="1.99.99"/>
        <s v="2.01.01"/>
        <s v="2.03.04"/>
        <s v="2.99.05"/>
        <s v="2.99.06"/>
        <s v="0.01.03"/>
        <s v="5.01.02"/>
        <s v="6.07.01"/>
        <s v="1.03.02"/>
        <s v="6.07.02"/>
        <s v="0.02.02"/>
        <s v="1.99.02"/>
        <s v="1.08.01"/>
        <m/>
      </sharedItems>
    </cacheField>
    <cacheField name="SUBPARTIDA" numFmtId="0">
      <sharedItems containsBlank="1" count="79">
        <s v="1.01.01 Alquiler de edificios, locales y terrenos"/>
        <s v="1.02.01 Servicio de Agua y Alcantarillado"/>
        <s v="1.02.02 Servicio de Energía Eléctrica"/>
        <s v="1.02.04 (ICE) Servicio de telecomunicaciones"/>
        <s v="1.03.03 Impresión, Encuadernación y Otros"/>
        <s v="1.04.06 Servicios Generales"/>
        <s v="1.04.99 Otros servicios de gestión y apoyo"/>
        <s v="1.05.03 Transporte al Exterior"/>
        <s v="1.05.04 Viáticos en el Exterior"/>
        <s v="1.06.01 Seguro de Riesgos del Trabajo (INS)"/>
        <s v="1.07.01 Actividades de Capacitación"/>
        <s v="1.07.03 Gastos de Representación Institucional"/>
        <s v="2.04.02 Repuestos y Accesorios"/>
        <s v="0.01.01 Sueldos para Cargos Fijos"/>
        <s v="0.03.01 Retribución por Años Servidos"/>
        <s v="0.03.02 Restricción al Ejercicio Liberal de la Profesión"/>
        <s v="0.03.03 Decimotercer Mes"/>
        <s v="0.03.04 Salario Escolar"/>
        <s v="0.03.99 Otros Incentivos Salariales"/>
        <s v="0.04.01 Contribución Patronal al Seguro de Salud de la Caja Costarricense del Seguro Social"/>
        <s v="0.04.02 Contribución Patronal al Instituto Mixto de Ayuda Social"/>
        <s v="0.04.03 Contribución Patronal al Instituto Nacional de Aprendizaje"/>
        <s v="0.04.04 Contribución Patronal al Fondo de Desarrollo Social  y Asignaciones Familiares"/>
        <s v="0.04.05 Contribución Patronal al Banco Popular y de Desarrollo Comunal"/>
        <s v="0.05.01 Contribución Patronal al Seguro de Pensiones  de la Caja Costarricense de Seguro Social"/>
        <s v="0.05.02 Aporte Patronal al Régimen Obligatorio de Pensiones Complementarias"/>
        <s v="0.05.03 Aporte Patronal al Fondo de Capitalización Laboral"/>
        <s v="0.02.01 Tiempo Extraordinario"/>
        <s v="0.02.05 Dietas"/>
        <s v="1.04.02 Servicios Jurídicos"/>
        <s v="1.04.04 Servicios en Ciencias Económicas y Sociales"/>
        <s v="1.05.01 Transporte Dentro del País"/>
        <s v="1.05.02 Viáticos Dentro del País"/>
        <s v="1.08.08 Mantenimiento y reparación de equipo de cómputo y  sistemas de información"/>
        <s v="1.09.99 Otros Impuestos"/>
        <s v="6.01.01 Transferencias corrientes al Gobierno Central"/>
        <s v="0.01.05 Suplencias"/>
        <s v="1.07.02 Actividades protocolarias"/>
        <s v="1.08.07 Mantenimiento y Reparación de Equipo y Mobiliario de Oficina"/>
        <s v="2.99.04 Textiles y Vestuario"/>
        <s v="2.99.99 Otros Utiles, Materiales y Suministros diversos"/>
        <s v="6.02.02 Becas a terceras personas"/>
        <s v="6.03.01 Prestaciones Legales"/>
        <s v="1.03.07 Servicios de tecnologías de información"/>
        <s v="2.99.02 Utiles y Materiales Médico, Hospitalario y de Investigación"/>
        <s v="2.99.03 Productos de Papel, Cartón e Impresos"/>
        <s v="1.02.99 Otros Servicios Básicos"/>
        <s v="2.01.02 Productos Farmacéuticos y Medicinales"/>
        <s v="1.01.99 Otros Alquileres"/>
        <s v="1.04.05 Servicios informáticos"/>
        <s v="5.01.03 Equipo de Comunicación"/>
        <s v="5.01.05 Equipo de Cómputo"/>
        <s v="5.99.03 Derechos de autor"/>
        <s v="1.03.01 Información"/>
        <s v="1.03.06 Comisiones y Gastos por Servicios Financieros y Comerciales"/>
        <s v="2.01.04 Tintas, Pinturas y Diluyentes"/>
        <s v="2.99.01 Utiles y Materiales de Oficina y Cómputo"/>
        <s v="4.99.99 OTROS ACTIVOS FINANCIEROS"/>
        <s v="1.01.02 Alquiler de Maquinaria, Equipo y Mobiliario"/>
        <s v="1.02.03 Servicio de Correo"/>
        <s v="1.03.04 Transporte de Bienes"/>
        <s v="1.08.05 Mantenimiento y Reparación de Equipo de Transporte"/>
        <s v="1.08.06 Mantenimiento y Reparación de Equipo de Comunicación"/>
        <s v="1.08.99 Mantenimiento y Reparación de Otros Equipos"/>
        <s v="1.99.05 Deducibles"/>
        <s v="1.99.99 Otros Servicios No Especificados"/>
        <s v="2.01.01 Combustibles y Lubricantes"/>
        <s v="2.03.04 Materiales y Productos Eléctricos, Telefónicos y de Cómputo"/>
        <s v="2.99.05 Utiles y Materiales de Limpieza"/>
        <s v="2.99.06 Utiles y Materiales de Resguardo y Seguridad"/>
        <s v="0.01.03 Servicios Especiales"/>
        <s v="5.01.02 Equipo de Transporte"/>
        <s v="6.07.01 Transferencias corrientes a Organismos Internacionales"/>
        <s v="1.03.02 Publicidad y Propaganda"/>
        <s v="6.07.02 Otras Transferencias corrientes al Sector Externo"/>
        <s v="0.02.02 Recargo de funciones"/>
        <s v="1.99.02 Intereses Moratorios y Multas"/>
        <s v="1.08.01 Mantenimiento de edificios, locales y terrenos"/>
        <m/>
      </sharedItems>
    </cacheField>
    <cacheField name="JUSTIFICACIÓN" numFmtId="0">
      <sharedItems containsBlank="1" longText="1"/>
    </cacheField>
    <cacheField name="PO_2025" numFmtId="164">
      <sharedItems containsString="0" containsBlank="1" containsNumber="1" minValue="0" maxValue="2196631825.31000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96">
  <r>
    <n v="1"/>
    <x v="0"/>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11246000"/>
  </r>
  <r>
    <n v="1"/>
    <x v="0"/>
    <x v="0"/>
    <x v="1"/>
    <x v="1"/>
    <s v="Servicio de suministro de agua potable, según consumo. Esta estimación se realiza con base en el promedio real de enero a junio y un promedio proyectado al segundo semestre 2024."/>
    <n v="486000"/>
  </r>
  <r>
    <n v="1"/>
    <x v="0"/>
    <x v="0"/>
    <x v="2"/>
    <x v="2"/>
    <s v="Servicio de energía eléctrica, según consumo. Esta estimación se realiza con base en el promedio real de enero a junio y un promedio proyectado al segundo semestre 2024."/>
    <n v="1520000"/>
  </r>
  <r>
    <n v="1"/>
    <x v="0"/>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790000"/>
  </r>
  <r>
    <n v="1"/>
    <x v="0"/>
    <x v="0"/>
    <x v="4"/>
    <x v="4"/>
    <s v="Empaste de los libros de actas del Comité de TI ¢50 000"/>
    <n v="50000"/>
  </r>
  <r>
    <n v="1"/>
    <x v="0"/>
    <x v="0"/>
    <x v="5"/>
    <x v="5"/>
    <s v="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2 032 000 / Limpieza ¢ 1 688 000"/>
    <n v="3720000"/>
  </r>
  <r>
    <n v="1"/>
    <x v="0"/>
    <x v="0"/>
    <x v="6"/>
    <x v="6"/>
    <s v="Asesoría al Equipo Gestor de TI (2025):_x000a_Con la intención de generar mayor valor a los procesos institucionales y gestionar la estrategia para el desarrollo e implementación de los procesos transversales del marco de gobierno y gestión de tecnología de información, se creó el Equipo Gestor de TI. El mismo, debe proponer una metodología institucional para la implementación de los procesos transversales priorizados de manera integral en temas relacionados con continuidad del negocio, arquitectura empresarial, seguridad de la información y ciberseguridad, entre otros. Por tanto, se ve la necesidad de recibir una asesoría en base a los temas mencionados anteriormente, la cual conlleve al cumplimiento de los objetivos estratégicos del INEC."/>
    <n v="60000000"/>
  </r>
  <r>
    <n v="1"/>
    <x v="0"/>
    <x v="0"/>
    <x v="7"/>
    <x v="7"/>
    <s v="Tiquetes aéreos para participar en reuniones de las Naciones Unidas, Comisión de Estadística de OCDE y la CEA._x000a_Asistencia a eventos internacionales para formación en diversos temas, algunos asumidos por participar en grupos de trabajo de la OCDE y otros de interes institucional por su temática."/>
    <n v="9000000"/>
  </r>
  <r>
    <n v="1"/>
    <x v="0"/>
    <x v="0"/>
    <x v="8"/>
    <x v="8"/>
    <s v="Viáticos para participar en reuniones de las Naciones Unidas, Comisión de Estadística de OCDE y la CEA._x000d__x000a_Asistencia a eventos internacionales para formación en diversos temas, algunos asumidos por participar en grupos de trabajo de la OCDE y otros de interes institucional por su temática"/>
    <n v="8000000"/>
  </r>
  <r>
    <n v="1"/>
    <x v="0"/>
    <x v="0"/>
    <x v="9"/>
    <x v="9"/>
    <s v="RT ¢1 153 00_Seguro de Riesgos del Trabajo que debe cubrir la Institución a los funcionarios por todo el año. La póliza de Riesgos del Trabajo se estima en base al 0,69% del total remuneraciones formulada para el año 2025._x000d__x000a_"/>
    <n v="1153000"/>
  </r>
  <r>
    <n v="1"/>
    <x v="0"/>
    <x v="0"/>
    <x v="10"/>
    <x v="10"/>
    <s v="Actividades de capacitacion presenciales de la CIE y el CONACE  ¢1 000 000"/>
    <n v="1000000"/>
  </r>
  <r>
    <n v="1"/>
    <x v="0"/>
    <x v="0"/>
    <x v="11"/>
    <x v="11"/>
    <s v="Actividades autorizadas por Gerencia atención de personas ajenas a la institución "/>
    <n v="150000"/>
  </r>
  <r>
    <n v="1"/>
    <x v="0"/>
    <x v="1"/>
    <x v="12"/>
    <x v="12"/>
    <m/>
    <n v="51000"/>
  </r>
  <r>
    <n v="1"/>
    <x v="0"/>
    <x v="2"/>
    <x v="13"/>
    <x v="13"/>
    <s v="Salario base del personal por cargos fijos para cumplir con las actividades permanentes del Instituto, según las Directrices técnicas y metodológicas para la formulación del Presupuesto 2025."/>
    <n v="104942000"/>
  </r>
  <r>
    <n v="1"/>
    <x v="0"/>
    <x v="2"/>
    <x v="14"/>
    <x v="14"/>
    <s v="Reconocimiento adicional al salario base que se paga cada vez que el funcionario cumple años de laborar en la institución pública, de acuerdo con la categoría de salarios en que esté ubicado su puesto."/>
    <n v="5183000"/>
  </r>
  <r>
    <n v="1"/>
    <x v="0"/>
    <x v="2"/>
    <x v="15"/>
    <x v="15"/>
    <s v="Compensación económica al servidor al que por legislación vigente se le ha impuesto la restricción al ejercicio de la profesión que ostenta en su cargo."/>
    <n v="3905000"/>
  </r>
  <r>
    <n v="1"/>
    <x v="0"/>
    <x v="2"/>
    <x v="16"/>
    <x v="16"/>
    <s v="Pago de salario adicional para los funcionarios, en cumplimiento de lo establecido en la ley de aguinaldos para Instituciones Autónomas."/>
    <n v="10309000"/>
  </r>
  <r>
    <n v="1"/>
    <x v="0"/>
    <x v="2"/>
    <x v="17"/>
    <x v="17"/>
    <s v="Pago de salario escolar para los funcionarios, en cumplimiento a lo establecido en la ley de salario escolar."/>
    <n v="9587000"/>
  </r>
  <r>
    <n v="1"/>
    <x v="0"/>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64000"/>
  </r>
  <r>
    <n v="1"/>
    <x v="0"/>
    <x v="2"/>
    <x v="19"/>
    <x v="19"/>
    <s v="Cuota patronal a la Caja Costarricense de Seguro Social por concepto de salud."/>
    <n v="11450000"/>
  </r>
  <r>
    <n v="1"/>
    <x v="0"/>
    <x v="2"/>
    <x v="20"/>
    <x v="20"/>
    <s v="Aporte patronal que se debe cancelar al I.M.A.S, según la Ley N°4760, artículo 3°"/>
    <n v="619000"/>
  </r>
  <r>
    <n v="1"/>
    <x v="0"/>
    <x v="2"/>
    <x v="21"/>
    <x v="21"/>
    <s v="Aporte patronal que se debe cancelar al I.N.A., según la Ley N°6868, artículo 15."/>
    <n v="1857000"/>
  </r>
  <r>
    <n v="1"/>
    <x v="0"/>
    <x v="2"/>
    <x v="22"/>
    <x v="22"/>
    <s v="Aporte patronal al Fondo de Desarrollo Social y Asignaciones Familiares, según la  Ley N°5662, artículo 15."/>
    <n v="6189000"/>
  </r>
  <r>
    <n v="1"/>
    <x v="0"/>
    <x v="2"/>
    <x v="23"/>
    <x v="23"/>
    <s v="Aporte patronal que se debe cancelar al Banco Popular, según la Ley N°4351, artículo 5°."/>
    <n v="619000"/>
  </r>
  <r>
    <n v="1"/>
    <x v="0"/>
    <x v="2"/>
    <x v="24"/>
    <x v="24"/>
    <s v="Contribución Patronal al Seguro de Pensiones  de la Caja Costarricense de Seguro Social, según lo establecido en la Ley de Protección al Trabajador Ley N°7983."/>
    <n v="6709000"/>
  </r>
  <r>
    <n v="1"/>
    <x v="0"/>
    <x v="2"/>
    <x v="25"/>
    <x v="25"/>
    <s v="Aporte patronal al Régimen Obligatorio de Pensiones Complementarias, según lo establecido en la Ley de Protección al Trabajador Ley N°7983."/>
    <n v="3714000"/>
  </r>
  <r>
    <n v="1"/>
    <x v="0"/>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857000"/>
  </r>
  <r>
    <n v="1"/>
    <x v="1"/>
    <x v="2"/>
    <x v="13"/>
    <x v="13"/>
    <s v="Salario base del personal por cargos fijos para cumplir con las actividades permanentes del Instituto, según las Directrices técnicas y metodológicas para la formulación del Presupuesto 2025. "/>
    <n v="4219000"/>
  </r>
  <r>
    <n v="1"/>
    <x v="1"/>
    <x v="2"/>
    <x v="27"/>
    <x v="27"/>
    <s v="Cancelación de tiempo extraordinario para las personas funcionarias, que laboran fuera de horario, para el cumplimiento de actividades que requieren su atención urgente."/>
    <n v="540000"/>
  </r>
  <r>
    <n v="1"/>
    <x v="1"/>
    <x v="2"/>
    <x v="28"/>
    <x v="28"/>
    <s v="Pago de dietas para los cinco miembros del Consejo Directivo, que sesionan una vez a la semana, lo que corresponde a 4 sesiones al mes y 48 sesiones al año."/>
    <n v="13500000"/>
  </r>
  <r>
    <n v="1"/>
    <x v="1"/>
    <x v="2"/>
    <x v="14"/>
    <x v="14"/>
    <s v="Reconocimiento adicional al salario base que se paga cada vez que el funcionario cumple años de laborar en la institución pública, de acuerdo con la categoría de salarios en que esté ubicado su puesto."/>
    <n v="2569000"/>
  </r>
  <r>
    <n v="1"/>
    <x v="1"/>
    <x v="2"/>
    <x v="16"/>
    <x v="16"/>
    <s v="Reconocimiento adicional al salario base que se paga cada vez que el funcionario cumple años de laborar en la institución pública, de acuerdo con la categoría de salarios en que esté ubicado su puesto."/>
    <n v="662000"/>
  </r>
  <r>
    <n v="1"/>
    <x v="1"/>
    <x v="2"/>
    <x v="17"/>
    <x v="17"/>
    <s v="Pago de salario escolar para los funcionarios, en cumplimiento a lo establecido en la ley de salario escolar._x000d__x000a_"/>
    <n v="648000"/>
  </r>
  <r>
    <n v="1"/>
    <x v="1"/>
    <x v="2"/>
    <x v="19"/>
    <x v="19"/>
    <s v="Cuota patronal a la Caja Costarricense de Seguro Social por concepto de salud._x000d__x000a_"/>
    <n v="738000"/>
  </r>
  <r>
    <n v="1"/>
    <x v="1"/>
    <x v="2"/>
    <x v="20"/>
    <x v="20"/>
    <s v="Aporte patronal que se debe cancelar al I.M.A.S, según la Ley N°4760, artículo 3°._x000d__x000a_"/>
    <n v="40000"/>
  </r>
  <r>
    <n v="1"/>
    <x v="1"/>
    <x v="2"/>
    <x v="21"/>
    <x v="21"/>
    <s v="Aporte patronal que se debe cancelar al I.N.A., según la Ley N°6868, artículo 15._x000d__x000a_"/>
    <n v="120000"/>
  </r>
  <r>
    <n v="1"/>
    <x v="1"/>
    <x v="2"/>
    <x v="22"/>
    <x v="22"/>
    <s v="Aporte patronal al Fondo de Desarrollo Social y Asignaciones Familiares, según la  Ley N°5662, artículo 15._x000d__x000a_"/>
    <n v="399000"/>
  </r>
  <r>
    <n v="1"/>
    <x v="1"/>
    <x v="2"/>
    <x v="23"/>
    <x v="23"/>
    <s v="Aporte patronal que se debe cancelar al Banco Popular, según la Ley N°4351, artículo 5°._x000d__x000a_"/>
    <n v="40000"/>
  </r>
  <r>
    <n v="1"/>
    <x v="1"/>
    <x v="2"/>
    <x v="24"/>
    <x v="24"/>
    <s v="Contribución Patronal al Seguro de Pensiones  de la Caja Costarricense de Seguro Social, según lo establecido en la Ley de Protección al Trabajador Ley N°7983._x000d__x000a_"/>
    <n v="432000"/>
  </r>
  <r>
    <n v="1"/>
    <x v="1"/>
    <x v="2"/>
    <x v="25"/>
    <x v="25"/>
    <s v="Aporte patronal al Régimen Obligatorio de Pensiones Complementarias, según lo establecido en la Ley de Protección al Trabajador Ley N°7983._x000d__x000a_"/>
    <n v="240000"/>
  </r>
  <r>
    <n v="1"/>
    <x v="1"/>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120000"/>
  </r>
  <r>
    <n v="1"/>
    <x v="1"/>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994000"/>
  </r>
  <r>
    <n v="1"/>
    <x v="1"/>
    <x v="0"/>
    <x v="1"/>
    <x v="1"/>
    <s v="Servicio de suministro de agua potable, según consumo. Esta estimación se realiza con base en el promedio real de enero a junio y un promedio proyectado al segundo semestre 2024."/>
    <n v="42000"/>
  </r>
  <r>
    <n v="1"/>
    <x v="1"/>
    <x v="0"/>
    <x v="2"/>
    <x v="2"/>
    <s v="Servicio de energía eléctrica, según consumo. Esta estimación se realiza con base en el promedio real de enero a junio y un promedio proyectado al segundo semestre 2024._x000d__x000a_"/>
    <n v="134000"/>
  </r>
  <r>
    <n v="1"/>
    <x v="1"/>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70000"/>
  </r>
  <r>
    <n v="1"/>
    <x v="1"/>
    <x v="0"/>
    <x v="5"/>
    <x v="5"/>
    <s v="&quot;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180 000 / Limpieza ¢ 150 000&quot;_x000d__x000a_"/>
    <n v="330000"/>
  </r>
  <r>
    <n v="1"/>
    <x v="1"/>
    <x v="0"/>
    <x v="9"/>
    <x v="9"/>
    <s v="RT ¢ 74 000_Seguro de Riesgos del Trabajo que debe cubrir la Institución a los funcionarios por todo el año. La póliza de Riesgos del Trabajo se estima en base al 0,69% del total remuneraciones formulada para el año 2025._x000d__x000a_"/>
    <n v="74000"/>
  </r>
  <r>
    <n v="1"/>
    <x v="2"/>
    <x v="2"/>
    <x v="13"/>
    <x v="13"/>
    <s v="Salario base del personal por cargos fijos para cumplir con las actividades permanentes del Instituto, según las Directrices técnicas y metodológicas para la formulación del Presupuesto 2025."/>
    <n v="171159000"/>
  </r>
  <r>
    <n v="1"/>
    <x v="2"/>
    <x v="2"/>
    <x v="14"/>
    <x v="14"/>
    <s v="Reconocimiento adicional al salario base que se paga cada vez que el funcionario cumple años de laborar en la institución pública, de acuerdo con la categoría de salarios en que esté ubicado su puesto."/>
    <n v="6600000"/>
  </r>
  <r>
    <n v="1"/>
    <x v="2"/>
    <x v="2"/>
    <x v="15"/>
    <x v="15"/>
    <s v="Compensación económica al servidor al que por legislación vigente se le ha impuesto la restricción al ejercicio de la profesión que ostenta en su cargo."/>
    <n v="14925000"/>
  </r>
  <r>
    <n v="1"/>
    <x v="2"/>
    <x v="2"/>
    <x v="16"/>
    <x v="16"/>
    <s v="Pago de salario adicional para los funcionarios, en cumplimiento de lo establecido en la ley de aguinaldos para Instituciones Autónomas."/>
    <n v="17532000"/>
  </r>
  <r>
    <n v="1"/>
    <x v="2"/>
    <x v="2"/>
    <x v="17"/>
    <x v="17"/>
    <s v="Pago de salario escolar para los funcionarios, en cumplimiento a lo establecido en la ley de salario escolar."/>
    <n v="16327000"/>
  </r>
  <r>
    <n v="1"/>
    <x v="2"/>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527000"/>
  </r>
  <r>
    <n v="1"/>
    <x v="2"/>
    <x v="2"/>
    <x v="19"/>
    <x v="19"/>
    <s v="Cuota patronal a la Caja Costarricense de Seguro Social por concepto de salud."/>
    <n v="19475000"/>
  </r>
  <r>
    <n v="1"/>
    <x v="2"/>
    <x v="2"/>
    <x v="20"/>
    <x v="20"/>
    <s v="Aporte patronal que se debe cancelar al I.M.A.S, según la Ley N°4760, artículo 3°"/>
    <n v="1053000"/>
  </r>
  <r>
    <n v="1"/>
    <x v="2"/>
    <x v="2"/>
    <x v="21"/>
    <x v="21"/>
    <s v="Aporte patronal que se debe cancelar al I.N.A., según la Ley N°6868, artículo 15."/>
    <n v="3158000"/>
  </r>
  <r>
    <n v="1"/>
    <x v="2"/>
    <x v="2"/>
    <x v="22"/>
    <x v="22"/>
    <s v="Aporte patronal al Fondo de Desarrollo Social y Asignaciones Familiares, según la  Ley N°5662, artículo 15."/>
    <n v="10527000"/>
  </r>
  <r>
    <n v="1"/>
    <x v="2"/>
    <x v="2"/>
    <x v="23"/>
    <x v="23"/>
    <s v="Aporte patronal que se debe cancelar al Banco Popular, según la Ley N°4351, artículo 5°."/>
    <n v="1053000"/>
  </r>
  <r>
    <n v="1"/>
    <x v="2"/>
    <x v="2"/>
    <x v="24"/>
    <x v="24"/>
    <s v="Contribución Patronal al Seguro de Pensiones  de la Caja Costarricense de Seguro Social, según lo establecido en la Ley de Protección al Trabajador Ley N°7983."/>
    <n v="11411000"/>
  </r>
  <r>
    <n v="1"/>
    <x v="2"/>
    <x v="2"/>
    <x v="25"/>
    <x v="25"/>
    <s v="Aporte patronal al Régimen Obligatorio de Pensiones Complementarias, según lo establecido en la Ley de Protección al Trabajador Ley N°7983."/>
    <n v="6316000"/>
  </r>
  <r>
    <n v="1"/>
    <x v="2"/>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3158000"/>
  </r>
  <r>
    <n v="1"/>
    <x v="2"/>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3978000"/>
  </r>
  <r>
    <n v="1"/>
    <x v="2"/>
    <x v="0"/>
    <x v="1"/>
    <x v="1"/>
    <s v="Servicio de suministro de agua potable, según consumo. Esta estimación se realiza con base en el promedio real de enero a junio y un promedio proyectado al segundo semestre 2024."/>
    <n v="172000"/>
  </r>
  <r>
    <n v="1"/>
    <x v="2"/>
    <x v="0"/>
    <x v="2"/>
    <x v="2"/>
    <s v="Servicio de energía eléctrica, según consumo. Esta estimación se realiza con base en el promedio real de enero a junio y un promedio proyectado al segundo semestre 2024."/>
    <n v="538000"/>
  </r>
  <r>
    <n v="1"/>
    <x v="2"/>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280000"/>
  </r>
  <r>
    <n v="1"/>
    <x v="2"/>
    <x v="0"/>
    <x v="29"/>
    <x v="29"/>
    <s v="La Ley de Control Interno indica: Cuando el personal de la auditoría interna, en el cumplimiento de sus funciones, se involucre en un conflicto legal o una demanda, la Institución dará todo su respaldo tanto jurídico como técnico y cubrirá los costos para atender ese proceso hasta su resolución final, por lo que se presupuesta este monto para cualquier eventualidad. Asimismo, la Contraloría General de la República ha indicado que cuando la Auditoría Interna requiere profesionales en ciertos campos no debe recurrir a los profesionales que laboran para la institución. Adicionalmente se requiere realizar consultorías externas jurídicas como apoyo a los estudios de fiscalización"/>
    <n v="5500000"/>
  </r>
  <r>
    <n v="1"/>
    <x v="2"/>
    <x v="0"/>
    <x v="30"/>
    <x v="30"/>
    <s v="Por limitación de recurso humano en la Auditoría se requiere de la fiscalización de las áreas sustantivas, además de la atención de aquellos estudios considerados de carácter especial que por el nivel de riesgos y por el escaso recurso humano y agilidad se requieran utilizando bajo la modalidad de contratación de auditoria externa, por aspectos técnicos es necesario que sean tratados por personal calificado. "/>
    <n v="7000000"/>
  </r>
  <r>
    <n v="1"/>
    <x v="2"/>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Distribuidos de la siguiente Forma:_x000d__x000a_Seguridad: ¢ 718 000 / Limpieza ¢ 598 000"/>
    <n v="1316000"/>
  </r>
  <r>
    <n v="1"/>
    <x v="2"/>
    <x v="0"/>
    <x v="31"/>
    <x v="31"/>
    <s v="Para lograr una información con evidencia y más detallada en la ejecución de las encuestas es necesario hacer los desplazamientos a los lugares donde se realizan las actividades, por lo que es necesario contar con recursos para el transporte requerido "/>
    <n v="80000"/>
  </r>
  <r>
    <n v="1"/>
    <x v="2"/>
    <x v="0"/>
    <x v="32"/>
    <x v="32"/>
    <s v="Para lograr una información con evidencia y más detallada en la ejecución de las encuestas es necesario hacer los desplazamientos a los lugares donde se realizan las actividades, por lo que es necesario contar con recursos para el transporte requerido"/>
    <n v="200000"/>
  </r>
  <r>
    <n v="1"/>
    <x v="2"/>
    <x v="0"/>
    <x v="7"/>
    <x v="7"/>
    <s v="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transporte."/>
    <n v="1500000"/>
  </r>
  <r>
    <n v="1"/>
    <x v="2"/>
    <x v="0"/>
    <x v="8"/>
    <x v="8"/>
    <s v="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viáticos y alimentación."/>
    <n v="2000000"/>
  </r>
  <r>
    <n v="1"/>
    <x v="2"/>
    <x v="0"/>
    <x v="9"/>
    <x v="9"/>
    <s v="RT ¢ 1 187 000_Seguro de Riesgos del Trabajo que debe cubrir la Institución a los funcionarios por todo el año. La póliza de Riesgos del Trabajo se estima en base al 0,69% del total remuneraciones formulada para el año 2025._x000d__x000a_"/>
    <n v="1187000"/>
  </r>
  <r>
    <n v="1"/>
    <x v="2"/>
    <x v="0"/>
    <x v="10"/>
    <x v="10"/>
    <s v="Según las normas para el ejercicio de la auditoría interna emitida por la Contraloría General de República, el personal de esta dependencia debe estar en un mejoramiento continuo, incluyendo su capacitación, por lo cual se requiere cumplir con el Programa de capacitación, el cual incluye certificaciones del personal de la AI, Congresos."/>
    <n v="6000000"/>
  </r>
  <r>
    <n v="1"/>
    <x v="2"/>
    <x v="0"/>
    <x v="33"/>
    <x v="33"/>
    <s v="Mantenimiento, soporte, actualizaciones y migraciones de versiones de Argos Sistema Integrado de Auditoría&quot;, adquirido por la institución, para brindar los servicios profesionales correspondientes."/>
    <n v="4000000"/>
  </r>
  <r>
    <n v="1"/>
    <x v="3"/>
    <x v="2"/>
    <x v="13"/>
    <x v="13"/>
    <s v="Salario base del personal por cargos fijos para cumplir con las actividades permanentes del Instituto, según las Directrices técnicas y metodológicas para la formulación del Presupuesto 2025. _x000d__x000a_"/>
    <n v="118368000"/>
  </r>
  <r>
    <n v="1"/>
    <x v="3"/>
    <x v="2"/>
    <x v="27"/>
    <x v="27"/>
    <s v="Cancelación de tiempo extraordinario para las personas funcionarias, que laboran fuera de horario, para el cumplimiento de actividades que requieren su atención urgente._x000d__x000a_"/>
    <n v="1568000"/>
  </r>
  <r>
    <n v="1"/>
    <x v="3"/>
    <x v="2"/>
    <x v="14"/>
    <x v="14"/>
    <s v="Reconocimiento adicional al salario base que se paga cada vez que el funcionario cumple años de laborar en la institución pública, de acuerdo con la categoría de salarios en que esté ubicado su puesto._x000d__x000a_"/>
    <n v="15242000"/>
  </r>
  <r>
    <n v="1"/>
    <x v="3"/>
    <x v="2"/>
    <x v="15"/>
    <x v="15"/>
    <s v="Compensación económica al servidor al que por legislación vigente se le ha impuesto la restricción al ejercicio de la profesión que ostenta en su cargo._x000d__x000a_"/>
    <n v="26005000"/>
  </r>
  <r>
    <n v="1"/>
    <x v="3"/>
    <x v="2"/>
    <x v="16"/>
    <x v="16"/>
    <s v="Pago de salario adicional para los funcionarios, en cumplimiento de lo establecido en la ley de aguinaldos para Instituciones Autónomas._x000d__x000a_"/>
    <n v="14993000"/>
  </r>
  <r>
    <n v="1"/>
    <x v="3"/>
    <x v="2"/>
    <x v="17"/>
    <x v="17"/>
    <s v="Pago de salario escolar para los funcionarios, en cumplimiento a lo establecido en la ley de salario escolar._x000d__x000a_"/>
    <n v="14008000"/>
  </r>
  <r>
    <n v="1"/>
    <x v="3"/>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d__x000a_"/>
    <n v="4896000"/>
  </r>
  <r>
    <n v="1"/>
    <x v="3"/>
    <x v="2"/>
    <x v="19"/>
    <x v="19"/>
    <s v="Cuota patronal a la Caja Costarricense de Seguro Social por concepto de salud._x000d__x000a_"/>
    <n v="16658000"/>
  </r>
  <r>
    <n v="1"/>
    <x v="3"/>
    <x v="2"/>
    <x v="20"/>
    <x v="20"/>
    <s v="Aporte patronal que se debe cancelar al I.M.A.S, según la Ley N°4760, artículo 3°._x000a_"/>
    <n v="900000"/>
  </r>
  <r>
    <n v="1"/>
    <x v="3"/>
    <x v="2"/>
    <x v="21"/>
    <x v="21"/>
    <s v="Aporte patronal que se debe cancelar al I.N.A., según la Ley N°6868, artículo 15._x000d__x000a_"/>
    <n v="2701000"/>
  </r>
  <r>
    <n v="1"/>
    <x v="3"/>
    <x v="2"/>
    <x v="22"/>
    <x v="22"/>
    <s v="Aporte patronal al Fondo de Desarrollo Social y Asignaciones Familiares, según la  Ley N°5662, artículo 15._x000d__x000a_"/>
    <n v="9004000"/>
  </r>
  <r>
    <n v="1"/>
    <x v="3"/>
    <x v="2"/>
    <x v="23"/>
    <x v="23"/>
    <s v="Aporte patronal que se debe cancelar al Banco Popular, según la Ley N°4351, artículo 5°._x000d__x000a_"/>
    <n v="900000"/>
  </r>
  <r>
    <n v="1"/>
    <x v="3"/>
    <x v="2"/>
    <x v="24"/>
    <x v="24"/>
    <s v="Contribución Patronal al Seguro de Pensiones  de la Caja Costarricense de Seguro Social, según lo establecido en la Ley de Protección al Trabajador Ley N°7983._x000d__x000a_"/>
    <n v="9761000"/>
  </r>
  <r>
    <n v="1"/>
    <x v="3"/>
    <x v="2"/>
    <x v="25"/>
    <x v="25"/>
    <s v="Aporte patronal al Régimen Obligatorio de Pensiones Complementarias, según lo establecido en la Ley de Protección al Trabajador Ley N°7983._x000d__x000a_"/>
    <n v="5403000"/>
  </r>
  <r>
    <n v="1"/>
    <x v="3"/>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2701000"/>
  </r>
  <r>
    <n v="1"/>
    <x v="3"/>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2250000"/>
  </r>
  <r>
    <n v="1"/>
    <x v="3"/>
    <x v="0"/>
    <x v="1"/>
    <x v="1"/>
    <s v="Servicio de suministro de agua potable, según consumo. Esta estimación se realiza con base en el promedio real de enero a junio y un promedio proyectado al segundo semestre 2024."/>
    <n v="98000"/>
  </r>
  <r>
    <n v="1"/>
    <x v="3"/>
    <x v="0"/>
    <x v="2"/>
    <x v="2"/>
    <s v="Servicio de energía eléctrica, según consumo. Esta estimación se realiza con base en el promedio real de enero a junio y un promedio proyectado al segundo semestre 2024."/>
    <n v="304000"/>
  </r>
  <r>
    <n v="1"/>
    <x v="3"/>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158000"/>
  </r>
  <r>
    <n v="1"/>
    <x v="3"/>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Seguridad: ¢ 406 000 / Limpieza ¢ 338 000"/>
    <n v="744000"/>
  </r>
  <r>
    <n v="1"/>
    <x v="3"/>
    <x v="0"/>
    <x v="6"/>
    <x v="6"/>
    <s v="(Nuevo Ingreso) Este monto comtempla dos contrataciones de consultorías, la primera es contratación de servicios de consultoría en temas de riesgos, gobierno corporativo y control interno, por un monto de ¢ 10, 000, 000.00 + ¢ 10 mill agregados"/>
    <n v="20000000"/>
  </r>
  <r>
    <n v="1"/>
    <x v="3"/>
    <x v="0"/>
    <x v="9"/>
    <x v="9"/>
    <s v="RT ¢ 1 677 000_Seguro de Riesgos del Trabajo que debe cubrir la Institución a los funcionarios por todo el año. La póliza de Riesgos del Trabajo se estima en base al 0,69% del total remuneraciones formulada para el año 2025._x000d__x000a_"/>
    <n v="1677000"/>
  </r>
  <r>
    <n v="1"/>
    <x v="4"/>
    <x v="2"/>
    <x v="13"/>
    <x v="13"/>
    <s v="Salario base del personal por cargos fijos para cumplir con las actividades permanentes del Instituto, según las Directrices técnicas y metodológicas para la formulación del Presupuesto 2025. "/>
    <n v="34238000"/>
  </r>
  <r>
    <n v="1"/>
    <x v="4"/>
    <x v="2"/>
    <x v="27"/>
    <x v="27"/>
    <s v="Cancelación de tiempo extraordinario para las personas funcionarias, que laboran fuera de horario, para el cumplimiento de actividades que requieren su atención urgente._x000d__x000a_"/>
    <n v="222000"/>
  </r>
  <r>
    <n v="1"/>
    <x v="4"/>
    <x v="2"/>
    <x v="14"/>
    <x v="14"/>
    <s v="Reconocimiento adicional al salario base que se paga cada vez que el funcionario cumple años de laborar en la institución pública, de acuerdo con la categoría de salarios en que esté ubicado su puesto._x000d__x000a_"/>
    <n v="13373000"/>
  </r>
  <r>
    <n v="1"/>
    <x v="4"/>
    <x v="2"/>
    <x v="15"/>
    <x v="15"/>
    <s v="Compensación económica al servidor al que por legislación vigente se le ha impuesto la restricción al ejercicio de la profesión que ostenta en su cargo._x000d__x000a_"/>
    <n v="9338000"/>
  </r>
  <r>
    <n v="1"/>
    <x v="4"/>
    <x v="2"/>
    <x v="16"/>
    <x v="16"/>
    <s v="Pago de salario adicional para los funcionarios, en cumplimiento de lo establecido en la ley de aguinaldos para Instituciones Autónomas._x000d__x000a_"/>
    <n v="5416000"/>
  </r>
  <r>
    <n v="1"/>
    <x v="4"/>
    <x v="2"/>
    <x v="17"/>
    <x v="17"/>
    <s v="Pago de salario escolar para los funcionarios, en cumplimiento a lo establecido en la ley de salario escolar._x000d__x000a_"/>
    <n v="5092000"/>
  </r>
  <r>
    <n v="1"/>
    <x v="4"/>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823000"/>
  </r>
  <r>
    <n v="1"/>
    <x v="4"/>
    <x v="2"/>
    <x v="19"/>
    <x v="19"/>
    <s v="Cuota patronal a la Caja Costarricense de Seguro Social por concepto de salud._x000d__x000a_"/>
    <n v="6020000"/>
  </r>
  <r>
    <n v="1"/>
    <x v="4"/>
    <x v="2"/>
    <x v="20"/>
    <x v="20"/>
    <s v="Aporte patronal que se debe cancelar al I.M.A.S, según la Ley N°4760, artículo 3°._x000d__x000a_"/>
    <n v="325000"/>
  </r>
  <r>
    <n v="1"/>
    <x v="4"/>
    <x v="2"/>
    <x v="21"/>
    <x v="21"/>
    <s v="Aporte patronal que se debe cancelar al I.N.A., según la Ley N°6868, artículo 15._x000a_"/>
    <n v="976000"/>
  </r>
  <r>
    <n v="1"/>
    <x v="4"/>
    <x v="2"/>
    <x v="22"/>
    <x v="22"/>
    <s v="Aporte patronal al Fondo de Desarrollo Social y Asignaciones Familiares, según la  Ley N°5662, artículo 15._x000d__x000a_"/>
    <n v="3254000"/>
  </r>
  <r>
    <n v="1"/>
    <x v="4"/>
    <x v="2"/>
    <x v="23"/>
    <x v="23"/>
    <s v="Aporte patronal que se debe cancelar al Banco Popular, según la Ley N°4351, artículo 5°._x000d__x000a_"/>
    <n v="325000"/>
  </r>
  <r>
    <n v="1"/>
    <x v="4"/>
    <x v="2"/>
    <x v="24"/>
    <x v="24"/>
    <s v="Contribución Patronal al Seguro de Pensiones  de la Caja Costarricense de Seguro Social, según lo establecido en la Ley de Protección al Trabajador Ley N°7983._x000d__x000a_"/>
    <n v="3528000"/>
  </r>
  <r>
    <n v="1"/>
    <x v="4"/>
    <x v="2"/>
    <x v="25"/>
    <x v="25"/>
    <s v="Aporte patronal al Régimen Obligatorio de Pensiones Complementarias, según lo establecido en la Ley de Protección al Trabajador Ley N°7983._x000d__x000a_"/>
    <n v="1953000"/>
  </r>
  <r>
    <n v="1"/>
    <x v="4"/>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976000"/>
  </r>
  <r>
    <n v="1"/>
    <x v="4"/>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
    <n v="356000"/>
  </r>
  <r>
    <n v="1"/>
    <x v="4"/>
    <x v="0"/>
    <x v="1"/>
    <x v="1"/>
    <s v="Servicio de suministro de agua potable, según consumo. Esta estimación se realiza con base en el promedio real de enero a junio y un promedio proyectado al segundo semestre 2024._x000d__x000a_"/>
    <n v="16000"/>
  </r>
  <r>
    <n v="1"/>
    <x v="4"/>
    <x v="0"/>
    <x v="2"/>
    <x v="2"/>
    <s v="Servicio de energía eléctrica, según consumo. Esta estimación se realiza con base en el promedio real de enero a junio y un promedio proyectado al segundo semestre 2024._x000d__x000a_"/>
    <n v="48000"/>
  </r>
  <r>
    <n v="1"/>
    <x v="4"/>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a_"/>
    <n v="26000"/>
  </r>
  <r>
    <n v="1"/>
    <x v="4"/>
    <x v="0"/>
    <x v="5"/>
    <x v="5"/>
    <s v="&quot;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64 000 / Limpieza ¢ 54 000&quot;_x000d__x000a_"/>
    <n v="118000"/>
  </r>
  <r>
    <n v="1"/>
    <x v="4"/>
    <x v="0"/>
    <x v="9"/>
    <x v="9"/>
    <s v="RT ¢ 605 000_Seguro de Riesgos del Trabajo que debe cubrir la Institución a los funcionarios por todo el año. La póliza de Riesgos del Trabajo se estima en base al 0,69% del total remuneraciones formulada para el año 2025._x000d__x000a_"/>
    <n v="605000"/>
  </r>
  <r>
    <n v="1"/>
    <x v="5"/>
    <x v="2"/>
    <x v="13"/>
    <x v="13"/>
    <s v="Salario base del personal por cargos fijos para cumplir con las actividades permanentes del Instituto, según las Directrices técnicas y metodológicas para la formulación del Presupuesto 2025"/>
    <n v="41526000"/>
  </r>
  <r>
    <n v="1"/>
    <x v="5"/>
    <x v="2"/>
    <x v="27"/>
    <x v="27"/>
    <s v="Cancelación de tiempo extraordinario para las personas funcionarias, que laboran fuera de horario, para el cumplimiento de actividades que requieren su atención urgente._x000d__x000a_"/>
    <n v="4411000"/>
  </r>
  <r>
    <n v="1"/>
    <x v="5"/>
    <x v="2"/>
    <x v="14"/>
    <x v="14"/>
    <s v="Reconocimiento adicional al salario base que se paga cada vez que el funcionario cumple años de laborar en la institución pública, de acuerdo con la categoría de salarios en que esté ubicado su puesto._x000d__x000a_"/>
    <n v="7022000"/>
  </r>
  <r>
    <n v="1"/>
    <x v="5"/>
    <x v="2"/>
    <x v="15"/>
    <x v="15"/>
    <s v="Compensación económica al servidor al que por legislación vigente se le ha impuesto la restricción al ejercicio de la profesión que ostenta en su cargo._x000d__x000a_"/>
    <n v="9218000"/>
  </r>
  <r>
    <n v="1"/>
    <x v="5"/>
    <x v="2"/>
    <x v="16"/>
    <x v="16"/>
    <s v="Pago de salario adicional para los funcionarios, en cumplimiento de lo establecido en la ley de aguinaldos para Instituciones Autónomas._x000d__x000a_"/>
    <n v="5843000"/>
  </r>
  <r>
    <n v="1"/>
    <x v="5"/>
    <x v="2"/>
    <x v="17"/>
    <x v="17"/>
    <s v="Pago de salario escolar para los funcionarios, en cumplimiento a lo establecido en la ley de salario escolar._x000d__x000a_"/>
    <n v="5493000"/>
  </r>
  <r>
    <n v="1"/>
    <x v="5"/>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a_"/>
    <n v="2550000"/>
  </r>
  <r>
    <n v="1"/>
    <x v="5"/>
    <x v="2"/>
    <x v="19"/>
    <x v="19"/>
    <s v="Cuota patronal a la Caja Costarricense de Seguro Social por concepto de salud._x000d__x000a_"/>
    <n v="6495000"/>
  </r>
  <r>
    <n v="1"/>
    <x v="5"/>
    <x v="2"/>
    <x v="20"/>
    <x v="20"/>
    <s v="Aporte patronal que se debe cancelar al I.M.A.S, según la Ley N°4760, artículo 3°._x000d__x000a_"/>
    <n v="351000"/>
  </r>
  <r>
    <n v="1"/>
    <x v="5"/>
    <x v="2"/>
    <x v="21"/>
    <x v="21"/>
    <s v="Aporte patronal que se debe cancelar al I.N.A., según la Ley N°6868, artículo 15._x000d__x000a_"/>
    <n v="1053000"/>
  </r>
  <r>
    <n v="1"/>
    <x v="5"/>
    <x v="2"/>
    <x v="22"/>
    <x v="22"/>
    <s v="Aporte patronal al Fondo de Desarrollo Social y Asignaciones Familiares, según la  Ley N°5662, artículo 15._x000d__x000a_"/>
    <n v="3511000"/>
  </r>
  <r>
    <n v="1"/>
    <x v="5"/>
    <x v="2"/>
    <x v="23"/>
    <x v="23"/>
    <s v="Aporte patronal que se debe cancelar al Banco Popular, según la Ley N°4351, artículo 5°._x000a_"/>
    <n v="351000"/>
  </r>
  <r>
    <n v="1"/>
    <x v="5"/>
    <x v="2"/>
    <x v="24"/>
    <x v="24"/>
    <s v="Contribución Patronal al Seguro de Pensiones  de la Caja Costarricense de Seguro Social, según lo establecido en la Ley de Protección al Trabajador Ley N°7983._x000d__x000a_"/>
    <n v="3806000"/>
  </r>
  <r>
    <n v="1"/>
    <x v="5"/>
    <x v="2"/>
    <x v="25"/>
    <x v="25"/>
    <s v="Aporte patronal al Régimen Obligatorio de Pensiones Complementarias, según lo establecido en la Ley de Protección al Trabajador Ley N°7983._x000d__x000a_"/>
    <n v="2106000"/>
  </r>
  <r>
    <n v="1"/>
    <x v="5"/>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1053000"/>
  </r>
  <r>
    <n v="1"/>
    <x v="5"/>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1282000"/>
  </r>
  <r>
    <n v="1"/>
    <x v="5"/>
    <x v="0"/>
    <x v="1"/>
    <x v="1"/>
    <s v="Servicio de suministro de agua potable, según consumo. Esta estimación se realiza con base en el promedio real de enero a junio y un promedio proyectado al segundo semestre 2024._x000d__x000a_"/>
    <n v="56000"/>
  </r>
  <r>
    <n v="1"/>
    <x v="5"/>
    <x v="0"/>
    <x v="2"/>
    <x v="2"/>
    <s v="Servicio de energía eléctrica, según consumo. Esta estimación se realiza con base en el promedio real de enero a junio y un promedio proyectado al segundo semestre 2024._x000d__x000a_"/>
    <n v="174000"/>
  </r>
  <r>
    <n v="1"/>
    <x v="5"/>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d__x000a_"/>
    <n v="90000"/>
  </r>
  <r>
    <n v="1"/>
    <x v="5"/>
    <x v="0"/>
    <x v="5"/>
    <x v="5"/>
    <s v="&quot;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232 000 / Limpieza ¢ 192 000&quot;_x000d__x000a_"/>
    <n v="424000"/>
  </r>
  <r>
    <n v="1"/>
    <x v="5"/>
    <x v="0"/>
    <x v="9"/>
    <x v="9"/>
    <s v="RT ¢ 654 000_Seguro de Riesgos del Trabajo que debe cubrir la Institución a los funcionarios por todo el año. La póliza de Riesgos del Trabajo se estima en base al 0,69% del total remuneraciones formulada para el año 2025._x000d__x000a_"/>
    <n v="654000"/>
  </r>
  <r>
    <n v="1"/>
    <x v="6"/>
    <x v="2"/>
    <x v="13"/>
    <x v="13"/>
    <s v="Salario base del personal por cargos fijos para cumplir con las actividades permanentes del Instituto, según las Directrices técnicas y metodológicas para la formulación del Presupuesto 2025._x000d__x000a_"/>
    <n v="103095000"/>
  </r>
  <r>
    <n v="1"/>
    <x v="6"/>
    <x v="2"/>
    <x v="27"/>
    <x v="27"/>
    <s v="Cancelación de tiempo extraordinario para las personas funcionarias, que laboran fuera de horario, para el cumplimiento de actividades que requieren su atención urgente._x000d__x000a_"/>
    <n v="167000"/>
  </r>
  <r>
    <n v="1"/>
    <x v="6"/>
    <x v="2"/>
    <x v="14"/>
    <x v="14"/>
    <s v="Reconocimiento adicional al salario base que se paga cada vez que el funcionario cumple años de laborar en la institución pública, de acuerdo con la categoría de salarios en que esté ubicado su puesto._x000d__x000a_"/>
    <n v="16182000"/>
  </r>
  <r>
    <n v="1"/>
    <x v="6"/>
    <x v="2"/>
    <x v="15"/>
    <x v="15"/>
    <s v="Compensación económica al servidor al que por legislación vigente se le ha impuesto la restricción al ejercicio de la profesión que ostenta en su cargo._x000d__x000a_"/>
    <n v="25487000"/>
  </r>
  <r>
    <n v="1"/>
    <x v="6"/>
    <x v="2"/>
    <x v="16"/>
    <x v="16"/>
    <s v="Pago de salario adicional para los funcionarios, en cumplimiento de lo establecido en la ley de aguinaldos para Instituciones Autónomas._x000d__x000a_"/>
    <n v="13528000"/>
  </r>
  <r>
    <n v="1"/>
    <x v="6"/>
    <x v="2"/>
    <x v="17"/>
    <x v="17"/>
    <s v="Pago de salario escolar para los funcionarios, en cumplimiento a lo establecido en la ley de salario escolar._x000d__x000a_"/>
    <n v="12785000"/>
  </r>
  <r>
    <n v="1"/>
    <x v="6"/>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d__x000a_"/>
    <n v="4923000"/>
  </r>
  <r>
    <n v="1"/>
    <x v="6"/>
    <x v="2"/>
    <x v="19"/>
    <x v="19"/>
    <s v="Cuota patronal a la Caja Costarricense de Seguro Social por concepto de salud._x000d__x000a_"/>
    <n v="15044000"/>
  </r>
  <r>
    <n v="1"/>
    <x v="6"/>
    <x v="2"/>
    <x v="20"/>
    <x v="20"/>
    <s v="Aporte patronal que se debe cancelar al I.M.A.S, según la Ley N°4760, artículo 3°._x000d__x000a_"/>
    <n v="813000"/>
  </r>
  <r>
    <n v="1"/>
    <x v="6"/>
    <x v="2"/>
    <x v="21"/>
    <x v="21"/>
    <s v="Aporte patronal que se debe cancelar al I.N.A., según la Ley N°6868, artículo 15._x000d__x000a_"/>
    <n v="2440000"/>
  </r>
  <r>
    <n v="1"/>
    <x v="6"/>
    <x v="2"/>
    <x v="22"/>
    <x v="22"/>
    <s v="Aporte patronal al Fondo de Desarrollo Social y Asignaciones Familiares, según la  Ley N°5662, artículo 15._x000d__x000a_"/>
    <n v="8132000"/>
  </r>
  <r>
    <n v="1"/>
    <x v="6"/>
    <x v="2"/>
    <x v="23"/>
    <x v="23"/>
    <s v="Aporte patronal que se debe cancelar al Banco Popular, según la Ley N°4351, artículo 5°._x000d__x000a_"/>
    <n v="813000"/>
  </r>
  <r>
    <n v="1"/>
    <x v="6"/>
    <x v="2"/>
    <x v="24"/>
    <x v="24"/>
    <s v="Contribución Patronal al Seguro de Pensiones  de la Caja Costarricense de Seguro Social, según lo establecido en la Ley de Protección al Trabajador Ley N°7983._x000a_"/>
    <n v="8815000"/>
  </r>
  <r>
    <n v="1"/>
    <x v="6"/>
    <x v="2"/>
    <x v="25"/>
    <x v="25"/>
    <s v="Aporte patronal al Régimen Obligatorio de Pensiones Complementarias, según lo establecido en la Ley de Protección al Trabajador Ley N°7983._x000d__x000a_"/>
    <n v="4879000"/>
  </r>
  <r>
    <n v="1"/>
    <x v="6"/>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2440000"/>
  </r>
  <r>
    <n v="1"/>
    <x v="6"/>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
    <n v="5706000"/>
  </r>
  <r>
    <n v="1"/>
    <x v="6"/>
    <x v="0"/>
    <x v="1"/>
    <x v="1"/>
    <s v="Servicio de suministro de agua potable, según consumo. Esta estimación se realiza con base en el promedio real de enero a junio y un promedio proyectado al segundo semestre 2024._x000d__x000a_"/>
    <n v="246000"/>
  </r>
  <r>
    <n v="1"/>
    <x v="6"/>
    <x v="0"/>
    <x v="2"/>
    <x v="2"/>
    <s v="Servicio de energía eléctrica, según consumo. Esta estimación se realiza con base en el promedio real de enero a junio y un promedio proyectado al segundo semestre 2024._x000d__x000a_"/>
    <n v="772000"/>
  </r>
  <r>
    <n v="1"/>
    <x v="6"/>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d__x000a_"/>
    <n v="400000"/>
  </r>
  <r>
    <n v="1"/>
    <x v="6"/>
    <x v="0"/>
    <x v="30"/>
    <x v="30"/>
    <s v="¢3 000 000 millones para realizar estimación del valor de  las cesantías para los funcionarios de servicios especiales y cargos fijos e incorporar en la adopción de las NICSP 39 Beneficios a empleados en el INEC. (Contabilidad)"/>
    <n v="3000000"/>
  </r>
  <r>
    <n v="1"/>
    <x v="6"/>
    <x v="0"/>
    <x v="5"/>
    <x v="5"/>
    <s v="&quot;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1 030 000 / Limpieza ¢ 856 000&quot;_x000d__x000a_"/>
    <n v="1886000"/>
  </r>
  <r>
    <n v="1"/>
    <x v="6"/>
    <x v="0"/>
    <x v="9"/>
    <x v="9"/>
    <s v="RT ¢ 1 515 000_Seguro de Riesgos del Trabajo que debe cubrir la Institución a los funcionarios por todo el año. La póliza de Riesgos del Trabajo se estima en base al 0,69% del total remuneraciones formulada para el año 2025."/>
    <n v="1515000"/>
  </r>
  <r>
    <n v="1"/>
    <x v="6"/>
    <x v="0"/>
    <x v="34"/>
    <x v="34"/>
    <s v="Compra de timbres fiscales"/>
    <n v="30000"/>
  </r>
  <r>
    <n v="1"/>
    <x v="6"/>
    <x v="3"/>
    <x v="35"/>
    <x v="35"/>
    <s v="CUOTA DE ORGANISMOS INTERNACIONALES, TRANSFERIR AL  MINISTERIO DE HACIENDA PARA EL ESTUDIO ECONOMICO según oficio DGI-GIE-0002-2024"/>
    <n v="60000000"/>
  </r>
  <r>
    <n v="1"/>
    <x v="7"/>
    <x v="2"/>
    <x v="13"/>
    <x v="13"/>
    <s v=" Salario base del personal por cargos fijos para cumplir con las actividades permanentes del Instituto, según las Directrices técnicas y metodológicas para la formulación del Presupuesto 2025."/>
    <n v="62699000"/>
  </r>
  <r>
    <n v="1"/>
    <x v="7"/>
    <x v="2"/>
    <x v="27"/>
    <x v="27"/>
    <s v="Cancelación de tiempo extraordinario para las personas funcionarias, que laboran fuera de horario, para el cumplimiento de actividades que requieren su atención urgente."/>
    <n v="195000"/>
  </r>
  <r>
    <n v="1"/>
    <x v="7"/>
    <x v="2"/>
    <x v="14"/>
    <x v="14"/>
    <s v="Reconocimiento adicional al salario base que se paga cada vez que el funcionario cumple años de laborar en la institución pública, de acuerdo con la categoría de salarios en que esté ubicado su puesto."/>
    <n v="19160000"/>
  </r>
  <r>
    <n v="1"/>
    <x v="7"/>
    <x v="2"/>
    <x v="15"/>
    <x v="15"/>
    <s v="Compensación económica al servidor al que por legislación vigente se le ha impuesto la restricción al ejercicio de la profesión que ostenta en su cargo."/>
    <n v="21832000"/>
  </r>
  <r>
    <n v="1"/>
    <x v="7"/>
    <x v="2"/>
    <x v="16"/>
    <x v="16"/>
    <s v="Pago de salario adicional para los funcionarios, en cumplimiento de lo establecido en la ley de aguinaldos para Instituciones Autónomas."/>
    <n v="9839000"/>
  </r>
  <r>
    <n v="1"/>
    <x v="7"/>
    <x v="2"/>
    <x v="17"/>
    <x v="17"/>
    <s v="Pago de salario escolar para los funcionarios, en cumplimiento a lo establecido en la ley de salario escolar."/>
    <n v="9352000"/>
  </r>
  <r>
    <n v="1"/>
    <x v="7"/>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5101000"/>
  </r>
  <r>
    <n v="1"/>
    <x v="7"/>
    <x v="2"/>
    <x v="19"/>
    <x v="19"/>
    <s v="Cuota patronal a la Caja Costarricense de Seguro Social por concepto de salud."/>
    <n v="10946000"/>
  </r>
  <r>
    <n v="1"/>
    <x v="7"/>
    <x v="2"/>
    <x v="20"/>
    <x v="20"/>
    <s v="Aporte patronal que se debe cancelar al I.M.A.S, según la Ley N°4760, artículo 3°."/>
    <n v="592000"/>
  </r>
  <r>
    <n v="1"/>
    <x v="7"/>
    <x v="2"/>
    <x v="21"/>
    <x v="21"/>
    <s v="Aporte patronal que se debe cancelar al I.N.A., según la Ley N°6868, artículo 15."/>
    <n v="1775000"/>
  </r>
  <r>
    <n v="1"/>
    <x v="7"/>
    <x v="2"/>
    <x v="22"/>
    <x v="22"/>
    <s v="Aporte patronal al Fondo de Desarrollo Social y Asignaciones Familiares, según la  Ley N°5662, artículo 15."/>
    <n v="5917000"/>
  </r>
  <r>
    <n v="1"/>
    <x v="7"/>
    <x v="2"/>
    <x v="23"/>
    <x v="23"/>
    <s v="Aporte patronal que se debe cancelar al Banco Popular, según la Ley N°4351, artículo 5°."/>
    <n v="592000"/>
  </r>
  <r>
    <n v="1"/>
    <x v="7"/>
    <x v="2"/>
    <x v="24"/>
    <x v="24"/>
    <s v="Contribución Patronal al Seguro de Pensiones  de la Caja Costarricense de Seguro Social, según lo establecido en la Ley de Protección al Trabajador Ley N°7983."/>
    <n v="6414000"/>
  </r>
  <r>
    <n v="1"/>
    <x v="7"/>
    <x v="2"/>
    <x v="25"/>
    <x v="25"/>
    <s v="Aporte patronal al Régimen Obligatorio de Pensiones Complementarias, según lo establecido en la Ley de Protección al Trabajador Ley N°7983."/>
    <n v="3550000"/>
  </r>
  <r>
    <n v="1"/>
    <x v="7"/>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775000"/>
  </r>
  <r>
    <n v="1"/>
    <x v="7"/>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2440000"/>
  </r>
  <r>
    <n v="1"/>
    <x v="7"/>
    <x v="0"/>
    <x v="1"/>
    <x v="1"/>
    <s v="Servicio de suministro de agua potable, según consumo. Esta estimación se realiza con base en el promedio real de enero a junio y un promedio proyectado al segundo semestre 2024."/>
    <n v="106000"/>
  </r>
  <r>
    <n v="1"/>
    <x v="7"/>
    <x v="0"/>
    <x v="2"/>
    <x v="2"/>
    <s v="Servicio de energía eléctrica, según consumo. Esta estimación se realiza con base en el promedio real de enero a junio y un promedio proyectado al segundo semestre 2024."/>
    <n v="330000"/>
  </r>
  <r>
    <n v="1"/>
    <x v="7"/>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172000"/>
  </r>
  <r>
    <n v="1"/>
    <x v="7"/>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Seguridad: ¢ 440 000 / Limpieza ¢ 366 000"/>
    <n v="806000"/>
  </r>
  <r>
    <n v="1"/>
    <x v="7"/>
    <x v="0"/>
    <x v="9"/>
    <x v="9"/>
    <s v="RT ¢ 1 102 000_Seguro de Riesgos del Trabajo que debe cubrir la Institución a los funcionarios por todo el año. La póliza de Riesgos del Trabajo se estima en base al 0,69% del total remuneraciones formulada para el año 2025."/>
    <n v="1102000"/>
  </r>
  <r>
    <n v="1"/>
    <x v="8"/>
    <x v="2"/>
    <x v="13"/>
    <x v="13"/>
    <s v="Salario base del personal por cargos fijos para cumplir con las actividades permanentes del Instituto, según las Directrices técnicas y metodológicas para la formulación del Presupuesto 2025. "/>
    <n v="120652000"/>
  </r>
  <r>
    <n v="1"/>
    <x v="8"/>
    <x v="2"/>
    <x v="36"/>
    <x v="36"/>
    <s v="Se incorpora este monto para cubrir suplencias o recargos del persona del INEC."/>
    <n v="5000000"/>
  </r>
  <r>
    <n v="1"/>
    <x v="8"/>
    <x v="2"/>
    <x v="27"/>
    <x v="27"/>
    <s v="Cancelación de tiempo extraordinario para las personas funcionarias, que laboran fuera de horario, para el cumplimiento de actividades que requieren su atención urgente."/>
    <n v="157000"/>
  </r>
  <r>
    <n v="1"/>
    <x v="8"/>
    <x v="2"/>
    <x v="14"/>
    <x v="14"/>
    <s v="Reconocimiento adicional al salario base que se paga cada vez que el funcionario cumple años de laborar en la institución pública, de acuerdo con la categoría de salarios en que esté ubicado su puesto."/>
    <n v="35001000"/>
  </r>
  <r>
    <n v="1"/>
    <x v="8"/>
    <x v="2"/>
    <x v="15"/>
    <x v="15"/>
    <s v="Compensación económica al servidor al que por legislación vigente se le ha impuesto la restricción al ejercicio de la profesión que ostenta en su cargo."/>
    <n v="28738000"/>
  </r>
  <r>
    <n v="1"/>
    <x v="8"/>
    <x v="2"/>
    <x v="16"/>
    <x v="16"/>
    <s v="Pago de salario adicional para los funcionarios, en cumplimiento de lo establecido en la ley de aguinaldos para Instituciones Autónomas."/>
    <n v="17313000"/>
  </r>
  <r>
    <n v="1"/>
    <x v="8"/>
    <x v="2"/>
    <x v="17"/>
    <x v="17"/>
    <s v="Pago de salario escolar para los funcionarios, en cumplimiento a lo establecido en la ley de salario escolar."/>
    <n v="16329000"/>
  </r>
  <r>
    <n v="1"/>
    <x v="8"/>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7228000"/>
  </r>
  <r>
    <n v="1"/>
    <x v="8"/>
    <x v="2"/>
    <x v="19"/>
    <x v="19"/>
    <s v="Cuota patronal a la Caja Costarricense de Seguro Social por concepto de salud."/>
    <n v="19250000"/>
  </r>
  <r>
    <n v="1"/>
    <x v="8"/>
    <x v="2"/>
    <x v="20"/>
    <x v="20"/>
    <s v="Aporte patronal que se debe cancelar al I.M.A.S, según la Ley N°4760, artículo 3°."/>
    <n v="1041000"/>
  </r>
  <r>
    <n v="1"/>
    <x v="8"/>
    <x v="2"/>
    <x v="21"/>
    <x v="21"/>
    <s v="Aporte patronal que se debe cancelar al I.N.A., según la Ley N°6868, artículo 15."/>
    <n v="3122000"/>
  </r>
  <r>
    <n v="1"/>
    <x v="8"/>
    <x v="2"/>
    <x v="22"/>
    <x v="22"/>
    <s v="Aporte patronal al Fondo de Desarrollo Social y Asignaciones Familiares, según la  Ley N°5662, artículo 15."/>
    <n v="10405000"/>
  </r>
  <r>
    <n v="1"/>
    <x v="8"/>
    <x v="2"/>
    <x v="23"/>
    <x v="23"/>
    <s v="Aporte patronal que se debe cancelar al Banco Popular, según la Ley N°4351, artículo 5°."/>
    <n v="1041000"/>
  </r>
  <r>
    <n v="1"/>
    <x v="8"/>
    <x v="2"/>
    <x v="24"/>
    <x v="24"/>
    <s v="Contribución Patronal al Seguro de Pensiones  de la Caja Costarricense de Seguro Social, según lo establecido en la Ley de Protección al Trabajador Ley N°7983."/>
    <n v="11279000"/>
  </r>
  <r>
    <n v="1"/>
    <x v="8"/>
    <x v="2"/>
    <x v="25"/>
    <x v="25"/>
    <s v="Aporte patronal al Régimen Obligatorio de Pensiones Complementarias, según lo establecido en la Ley de Protección al Trabajador Ley N°7983."/>
    <n v="6243000"/>
  </r>
  <r>
    <n v="1"/>
    <x v="8"/>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3122000"/>
  </r>
  <r>
    <n v="1"/>
    <x v="8"/>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10516000"/>
  </r>
  <r>
    <n v="1"/>
    <x v="8"/>
    <x v="0"/>
    <x v="1"/>
    <x v="1"/>
    <s v="Servicio de suministro de agua potable, según consumo. Esta estimación se realiza con base en el promedio real de enero a junio y un promedio proyectado al segundo semestre 2024."/>
    <n v="454000"/>
  </r>
  <r>
    <n v="1"/>
    <x v="8"/>
    <x v="0"/>
    <x v="2"/>
    <x v="2"/>
    <s v="Servicio de energía eléctrica, según consumo. Esta estimación se realiza con base en el promedio real de enero a junio y un promedio proyectado al segundo semestre 2024."/>
    <n v="1422000"/>
  </r>
  <r>
    <n v="1"/>
    <x v="8"/>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738000"/>
  </r>
  <r>
    <n v="1"/>
    <x v="8"/>
    <x v="0"/>
    <x v="5"/>
    <x v="5"/>
    <s v="Servicio de vigilancia, monitoreo y respuesta armada las 24 horas, se estima de acuerdo a la base real del primer semestre y a la proyección del segundo semestre del 2024._x000d__x000a__x000d__x000a_Distribuidos de la siguiente Forma:_x000d__x000a_Seguridad: ¢ 1 900 000 / Limpieza ¢ 1 578 000"/>
    <n v="3478000"/>
  </r>
  <r>
    <n v="1"/>
    <x v="3"/>
    <x v="0"/>
    <x v="6"/>
    <x v="6"/>
    <s v="(Nuevo Ingreso) Consultoría de productividad. "/>
    <n v="20000000"/>
  </r>
  <r>
    <n v="1"/>
    <x v="3"/>
    <x v="0"/>
    <x v="6"/>
    <x v="6"/>
    <s v="(Nuevo Ingreso) La segunda contratación de servicios de consultoría en gestión de proyectos por un monto de ¢ 15,500,000.00. Para ambas consultorías se presenta el oficio de visto bueno del Despacho Gerencial así como la oferta económica de las empresas que cotizaron. + ¢ 15,5 millones agregados."/>
    <n v="31000000"/>
  </r>
  <r>
    <n v="1"/>
    <x v="8"/>
    <x v="0"/>
    <x v="6"/>
    <x v="6"/>
    <s v="(2) Compra de pruebas por competencias (Benziger, SOSIA, CPS, MATRICES, 16PF),  para el proceso de reclutamiento y selección de personal (31 500 000,00)."/>
    <n v="31500000"/>
  </r>
  <r>
    <n v="1"/>
    <x v="8"/>
    <x v="0"/>
    <x v="9"/>
    <x v="9"/>
    <s v="Seguros viajero para la  atención a los  funcionarios que representan a la Institución en el exterior. ¢1 500 000"/>
    <n v="1500000"/>
  </r>
  <r>
    <n v="1"/>
    <x v="8"/>
    <x v="0"/>
    <x v="10"/>
    <x v="10"/>
    <s v="Para pago de actividades de capacitación según  Plan de Capacitación aprobado por Gerencia"/>
    <n v="80000000"/>
  </r>
  <r>
    <n v="1"/>
    <x v="8"/>
    <x v="0"/>
    <x v="10"/>
    <x v="10"/>
    <s v="Capacitación COACH"/>
    <n v="20000000"/>
  </r>
  <r>
    <n v="1"/>
    <x v="8"/>
    <x v="0"/>
    <x v="37"/>
    <x v="37"/>
    <s v="Para efectuar celebraciones institucionales."/>
    <n v="1000000"/>
  </r>
  <r>
    <n v="1"/>
    <x v="8"/>
    <x v="0"/>
    <x v="38"/>
    <x v="38"/>
    <s v="Mantenimiento de reloj marcador institucional"/>
    <n v="100000"/>
  </r>
  <r>
    <n v="1"/>
    <x v="8"/>
    <x v="1"/>
    <x v="39"/>
    <x v="39"/>
    <s v="Compra de Lanyard para gafetes, para el persronal de INEC"/>
    <n v="459900"/>
  </r>
  <r>
    <n v="1"/>
    <x v="8"/>
    <x v="1"/>
    <x v="40"/>
    <x v="40"/>
    <s v="Para reconocimiento de personal pensionado, y reconocimiento por años de labor, Para la compra de tarjetas PVC para carnet de los funcionarios del INEC"/>
    <n v="1055100"/>
  </r>
  <r>
    <n v="1"/>
    <x v="8"/>
    <x v="1"/>
    <x v="12"/>
    <x v="12"/>
    <s v="Disco duro respaldo de la información de recursos humanos"/>
    <n v="95000"/>
  </r>
  <r>
    <n v="1"/>
    <x v="8"/>
    <x v="3"/>
    <x v="41"/>
    <x v="41"/>
    <s v="Para pago de pasantes o practicantes para la Unidad de Recursos Humanos. + ¢ 3 000 000 agregados."/>
    <n v="7000000"/>
  </r>
  <r>
    <n v="1"/>
    <x v="8"/>
    <x v="3"/>
    <x v="42"/>
    <x v="42"/>
    <s v="Para el pago de prestaciones legales, personal que se pensiona en el año 2025 + ¢ 20 000 000 AGREGADOS"/>
    <n v="70000000"/>
  </r>
  <r>
    <n v="1"/>
    <x v="9"/>
    <x v="2"/>
    <x v="13"/>
    <x v="13"/>
    <s v="Salario base del personal por cargos fijos para cumplir con las actividades permanentes del Instituto, según las Directrices técnicas y metodológicas para la formulación del Presupuesto 2025. "/>
    <n v="28343000"/>
  </r>
  <r>
    <n v="1"/>
    <x v="9"/>
    <x v="2"/>
    <x v="14"/>
    <x v="14"/>
    <s v="Reconocimiento adicional al salario base que se paga cada vez que el funcionario cumple años de laborar en la institución pública, de acuerdo con la categoría de salarios en que esté ubicado su puesto."/>
    <n v="1650000"/>
  </r>
  <r>
    <n v="1"/>
    <x v="9"/>
    <x v="2"/>
    <x v="16"/>
    <x v="16"/>
    <s v="Pago de salario adicional para los funcionarios, en cumplimiento de lo establecido en la ley de aguinaldos para Instituciones Autónomas."/>
    <n v="2708000"/>
  </r>
  <r>
    <n v="1"/>
    <x v="9"/>
    <x v="2"/>
    <x v="17"/>
    <x v="17"/>
    <s v="Pago de salario escolar para los funcionarios, en cumplimiento a lo establecido en la ley de salario escolar."/>
    <n v="2549000"/>
  </r>
  <r>
    <n v="1"/>
    <x v="9"/>
    <x v="2"/>
    <x v="19"/>
    <x v="19"/>
    <s v="Cuota patronal a la Caja Costarricense de Seguro Social por concepto de salud."/>
    <n v="3010000"/>
  </r>
  <r>
    <n v="1"/>
    <x v="9"/>
    <x v="2"/>
    <x v="20"/>
    <x v="20"/>
    <s v="Aporte patronal que se debe cancelar al I.M.A.S, según la Ley N°4760, artículo 3°."/>
    <n v="163000"/>
  </r>
  <r>
    <n v="1"/>
    <x v="9"/>
    <x v="2"/>
    <x v="21"/>
    <x v="21"/>
    <s v="Aporte patronal que se debe cancelar al I.N.A., según la Ley N°6868, artículo 15."/>
    <n v="488000"/>
  </r>
  <r>
    <n v="1"/>
    <x v="9"/>
    <x v="2"/>
    <x v="22"/>
    <x v="22"/>
    <s v="Aporte patronal al Fondo de Desarrollo Social y Asignaciones Familiares, según la  Ley N°5662, artículo 15."/>
    <n v="1627000"/>
  </r>
  <r>
    <n v="1"/>
    <x v="9"/>
    <x v="2"/>
    <x v="23"/>
    <x v="23"/>
    <s v="Aporte patronal que se debe cancelar al Banco Popular, según la Ley N°4351, artículo 5°."/>
    <n v="163000"/>
  </r>
  <r>
    <n v="1"/>
    <x v="9"/>
    <x v="2"/>
    <x v="24"/>
    <x v="24"/>
    <s v="Contribución Patronal al Seguro de Pensiones  de la Caja Costarricense de Seguro Social, según lo establecido en la Ley de Protección al Trabajador Ley N°7983."/>
    <n v="1764000"/>
  </r>
  <r>
    <n v="1"/>
    <x v="9"/>
    <x v="2"/>
    <x v="25"/>
    <x v="25"/>
    <s v="Aporte patronal al Régimen Obligatorio de Pensiones Complementarias, según lo establecido en la Ley de Protección al Trabajador Ley N°7983."/>
    <n v="976000"/>
  </r>
  <r>
    <n v="1"/>
    <x v="9"/>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488000"/>
  </r>
  <r>
    <n v="1"/>
    <x v="9"/>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5736000"/>
  </r>
  <r>
    <n v="1"/>
    <x v="9"/>
    <x v="0"/>
    <x v="1"/>
    <x v="1"/>
    <s v="Servicio de suministro de agua potable, según consumo. Esta estimación se realiza con base en el promedio real de enero a junio y un promedio proyectado al segundo semestre 2024."/>
    <n v="248000"/>
  </r>
  <r>
    <n v="1"/>
    <x v="9"/>
    <x v="0"/>
    <x v="2"/>
    <x v="2"/>
    <s v="Servicio de energía eléctrica, según consumo. Esta estimación se realiza con base en el promedio real de enero a junio y un promedio proyectado al segundo semestre 2024."/>
    <n v="776000"/>
  </r>
  <r>
    <n v="1"/>
    <x v="9"/>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402000"/>
  </r>
  <r>
    <n v="1"/>
    <x v="9"/>
    <x v="0"/>
    <x v="43"/>
    <x v="43"/>
    <s v=" 1.000.000 colones para la renovación de 20 Certificados de Firma Digital y compra de los Certificados de Firma Digital para el personal del INEC."/>
    <n v="1000000"/>
  </r>
  <r>
    <n v="1"/>
    <x v="9"/>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Seguridad: ¢ 490 000 / Limpieza ¢ 408 000"/>
    <n v="1898000"/>
  </r>
  <r>
    <n v="1"/>
    <x v="9"/>
    <x v="0"/>
    <x v="5"/>
    <x v="5"/>
    <s v="400.000 colones para el servicio de bodegaje de documentos con una empresa externa."/>
    <n v="400000"/>
  </r>
  <r>
    <n v="1"/>
    <x v="8"/>
    <x v="0"/>
    <x v="9"/>
    <x v="9"/>
    <s v="RT ¢ 1 937 000_Seguro de Riesgos del Trabajo que debe cubrir la Institución a los funcionarios por todo el año. La póliza de Riesgos del Trabajo se estima en base al 0,69% del total remuneraciones formulada para el año 2025."/>
    <n v="1937000"/>
  </r>
  <r>
    <n v="1"/>
    <x v="9"/>
    <x v="0"/>
    <x v="9"/>
    <x v="9"/>
    <s v="RT ¢ 303 000_Seguro de Riesgos del Trabajo que debe cubrir la Institución a los funcionarios por todo el año. La póliza de Riesgos del Trabajo se estima en base al 0,69% del total remuneraciones formulada para el año 2025."/>
    <n v="303000"/>
  </r>
  <r>
    <n v="1"/>
    <x v="9"/>
    <x v="0"/>
    <x v="38"/>
    <x v="38"/>
    <s v="Reparación y mantenimiento preventivo de la estantería móvil del Depósito de Archivo Central y del Archivo de Getión de Recursos Humanos. "/>
    <n v="1000000"/>
  </r>
  <r>
    <n v="1"/>
    <x v="9"/>
    <x v="1"/>
    <x v="44"/>
    <x v="44"/>
    <s v="El uso de guantes, en especial los de plástico, ayudan a proteger a los funcionarios del Proceso Gestión de Archivo cuando los materiales tienen un exceso de polvo o la posible presencia de microorganismos. "/>
    <n v="7800"/>
  </r>
  <r>
    <n v="1"/>
    <x v="9"/>
    <x v="1"/>
    <x v="45"/>
    <x v="45"/>
    <s v="La necesidad de adquirir cajas de archivo para la preservación adecuada de documentos es constante por tratarse de un suministro de uso cotidiano, pues para la correcta disposición de los documentos de archivo se debe contar con este medio de almacenamiento. "/>
    <n v="62000"/>
  </r>
  <r>
    <n v="1"/>
    <x v="9"/>
    <x v="1"/>
    <x v="39"/>
    <x v="39"/>
    <s v="Se requiere de las jackets pues el deposito de archivo esta fuera del edificio en el parqueo y cuando llueve es dificil salir al baño o comedor dentro del edificio. "/>
    <n v="51000"/>
  </r>
  <r>
    <n v="1"/>
    <x v="10"/>
    <x v="2"/>
    <x v="13"/>
    <x v="13"/>
    <s v="Salario base del personal por cargos fijos para cumplir con las actividades permanentes del Instituto, según las Directrices técnicas y metodológicas para la formulación del Presupuesto 2025. "/>
    <n v="11154000"/>
  </r>
  <r>
    <n v="1"/>
    <x v="10"/>
    <x v="2"/>
    <x v="14"/>
    <x v="14"/>
    <s v="Reconocimiento adicional al salario base que se paga cada vez que el funcionario cumple años de laborar en la institución pública, de acuerdo con la categoría de salarios en que esté ubicado su puesto."/>
    <n v="4131000"/>
  </r>
  <r>
    <n v="1"/>
    <x v="10"/>
    <x v="2"/>
    <x v="15"/>
    <x v="15"/>
    <s v="Compensación económica al servidor al que por legislación vigente se le ha impuesto la restricción al ejercicio de la profesión que ostenta en su cargo."/>
    <n v="6135000"/>
  </r>
  <r>
    <n v="1"/>
    <x v="10"/>
    <x v="2"/>
    <x v="16"/>
    <x v="16"/>
    <s v="Pago de salario adicional para los funcionarios, en cumplimiento de lo establecido en la ley de aguinaldos para Instituciones Autónomas."/>
    <n v="2651000"/>
  </r>
  <r>
    <n v="1"/>
    <x v="10"/>
    <x v="2"/>
    <x v="17"/>
    <x v="17"/>
    <s v="Pago de salario escolar para los funcionarios, en cumplimiento a lo establecido en la ley de salario escolar."/>
    <n v="2447000"/>
  </r>
  <r>
    <n v="1"/>
    <x v="10"/>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7952000"/>
  </r>
  <r>
    <n v="1"/>
    <x v="10"/>
    <x v="2"/>
    <x v="19"/>
    <x v="19"/>
    <s v="Cuota patronal a la Caja Costarricense de Seguro Social por concepto de salud."/>
    <n v="2943000"/>
  </r>
  <r>
    <n v="1"/>
    <x v="10"/>
    <x v="2"/>
    <x v="20"/>
    <x v="20"/>
    <s v="Aporte patronal que se debe cancelar al I.M.A.S, según la Ley N°4760, artículo 3°."/>
    <n v="159000"/>
  </r>
  <r>
    <n v="1"/>
    <x v="10"/>
    <x v="2"/>
    <x v="21"/>
    <x v="21"/>
    <s v="Aporte patronal que se debe cancelar al I.N.A., según la Ley N°6868, artículo 15."/>
    <n v="477000"/>
  </r>
  <r>
    <n v="1"/>
    <x v="10"/>
    <x v="2"/>
    <x v="22"/>
    <x v="22"/>
    <s v="Aporte patronal al Fondo de Desarrollo Social y Asignaciones Familiares, según la  Ley N°5662, artículo 15."/>
    <n v="1591000"/>
  </r>
  <r>
    <n v="1"/>
    <x v="10"/>
    <x v="2"/>
    <x v="23"/>
    <x v="23"/>
    <s v="Aporte patronal que se debe cancelar al Banco Popular, según la Ley N°4351, artículo 5°."/>
    <n v="159000"/>
  </r>
  <r>
    <n v="1"/>
    <x v="10"/>
    <x v="2"/>
    <x v="24"/>
    <x v="24"/>
    <s v="Contribución Patronal al Seguro de Pensiones  de la Caja Costarricense de Seguro Social, según lo establecido en la Ley de Protección al Trabajador Ley N°7983."/>
    <n v="1725000"/>
  </r>
  <r>
    <n v="1"/>
    <x v="10"/>
    <x v="2"/>
    <x v="25"/>
    <x v="25"/>
    <s v="Aporte patronal al Régimen Obligatorio de Pensiones Complementarias, según lo establecido en la Ley de Protección al Trabajador Ley N°7983."/>
    <n v="954000"/>
  </r>
  <r>
    <n v="1"/>
    <x v="10"/>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477000"/>
  </r>
  <r>
    <n v="1"/>
    <x v="10"/>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2712000"/>
  </r>
  <r>
    <n v="1"/>
    <x v="10"/>
    <x v="0"/>
    <x v="1"/>
    <x v="1"/>
    <s v="Servicio de suministro de agua potable, según consumo. Esta estimación se realiza con base en el promedio real de enero a junio y un promedio proyectado al segundo semestre 2024."/>
    <n v="118000"/>
  </r>
  <r>
    <n v="1"/>
    <x v="10"/>
    <x v="0"/>
    <x v="2"/>
    <x v="2"/>
    <s v="Servicio de energía eléctrica, según consumo. Esta estimación se realiza con base en el promedio real de enero a junio y un promedio proyectado al segundo semestre 2024."/>
    <n v="366000"/>
  </r>
  <r>
    <n v="1"/>
    <x v="10"/>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190000"/>
  </r>
  <r>
    <n v="1"/>
    <x v="10"/>
    <x v="0"/>
    <x v="46"/>
    <x v="46"/>
    <s v="Pago de desecho de material infectocontagioso"/>
    <n v="481380"/>
  </r>
  <r>
    <n v="1"/>
    <x v="10"/>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Seguridad: ¢ 490 000 / Limpieza ¢ 408 000"/>
    <n v="898000"/>
  </r>
  <r>
    <n v="1"/>
    <x v="10"/>
    <x v="0"/>
    <x v="32"/>
    <x v="32"/>
    <s v="(d)Viaticos para la plaza de salud ocupacional"/>
    <n v="1500000"/>
  </r>
  <r>
    <n v="1"/>
    <x v="10"/>
    <x v="0"/>
    <x v="9"/>
    <x v="9"/>
    <s v="RT ¢ 296 000_Seguro de Riesgos del Trabajo que debe cubrir la Institución a los funcionarios por todo el año. La póliza de Riesgos del Trabajo se estima en base al 0,69% del total remuneraciones formulada para el año 2025."/>
    <n v="296000"/>
  </r>
  <r>
    <n v="1"/>
    <x v="10"/>
    <x v="1"/>
    <x v="47"/>
    <x v="47"/>
    <m/>
    <n v="249850"/>
  </r>
  <r>
    <n v="1"/>
    <x v="10"/>
    <x v="1"/>
    <x v="12"/>
    <x v="12"/>
    <m/>
    <n v="32000"/>
  </r>
  <r>
    <n v="1"/>
    <x v="10"/>
    <x v="1"/>
    <x v="44"/>
    <x v="44"/>
    <m/>
    <n v="869500"/>
  </r>
  <r>
    <n v="1"/>
    <x v="11"/>
    <x v="2"/>
    <x v="13"/>
    <x v="13"/>
    <s v="Salario base del personal por cargos fijos para cumplir con las actividades permanentes del Instituto, según las Directrices técnicas y metodológicas para la formulación del Presupuesto 2025. "/>
    <n v="303738000"/>
  </r>
  <r>
    <n v="1"/>
    <x v="11"/>
    <x v="2"/>
    <x v="27"/>
    <x v="27"/>
    <s v="Cancelación de tiempo extraordinario para las personas funcionarias, que laboran fuera de horario, para el cumplimiento de actividades que requieren su atención urgente."/>
    <n v="1602000"/>
  </r>
  <r>
    <n v="1"/>
    <x v="11"/>
    <x v="2"/>
    <x v="14"/>
    <x v="14"/>
    <s v="Reconocimiento adicional al salario base que se paga cada vez que el funcionario cumple años de laborar en la institución pública, de acuerdo con la categoría de salarios en que esté ubicado su puesto."/>
    <n v="50490000"/>
  </r>
  <r>
    <n v="1"/>
    <x v="11"/>
    <x v="2"/>
    <x v="15"/>
    <x v="15"/>
    <s v="Compensación económica al servidor al que por legislación vigente se le ha impuesto la restricción al ejercicio de la profesión que ostenta en su cargo."/>
    <n v="70758000"/>
  </r>
  <r>
    <n v="1"/>
    <x v="11"/>
    <x v="2"/>
    <x v="16"/>
    <x v="16"/>
    <s v="Pago de salario adicional para los funcionarios, en cumplimiento de lo establecido en la ley de aguinaldos para Instituciones Autónomas."/>
    <n v="39686000"/>
  </r>
  <r>
    <n v="1"/>
    <x v="11"/>
    <x v="2"/>
    <x v="17"/>
    <x v="17"/>
    <s v="Pago de salario escolar para los funcionarios, en cumplimiento a lo establecido en la ley de salario escolar."/>
    <n v="37284000"/>
  </r>
  <r>
    <n v="1"/>
    <x v="11"/>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3024000"/>
  </r>
  <r>
    <n v="1"/>
    <x v="11"/>
    <x v="2"/>
    <x v="19"/>
    <x v="19"/>
    <s v="Cuota patronal a la Caja Costarricense de Seguro Social por concepto de salud."/>
    <n v="44113000"/>
  </r>
  <r>
    <n v="1"/>
    <x v="11"/>
    <x v="2"/>
    <x v="20"/>
    <x v="20"/>
    <s v="Aporte patronal que se debe cancelar al I.M.A.S, según la Ley N°4760, artículo 3°."/>
    <n v="2384000"/>
  </r>
  <r>
    <n v="1"/>
    <x v="11"/>
    <x v="2"/>
    <x v="21"/>
    <x v="21"/>
    <s v="Aporte patronal que se debe cancelar al I.N.A., según la Ley N°6868, artículo 15."/>
    <n v="7153000"/>
  </r>
  <r>
    <n v="1"/>
    <x v="11"/>
    <x v="2"/>
    <x v="22"/>
    <x v="22"/>
    <s v="Aporte patronal al Fondo de Desarrollo Social y Asignaciones Familiares, según la  Ley N°5662, artículo 15."/>
    <n v="23845000"/>
  </r>
  <r>
    <n v="1"/>
    <x v="11"/>
    <x v="2"/>
    <x v="23"/>
    <x v="23"/>
    <s v="Aporte patronal que se debe cancelar al Banco Popular, según la Ley N°4351, artículo 5°."/>
    <n v="2384000"/>
  </r>
  <r>
    <n v="1"/>
    <x v="11"/>
    <x v="2"/>
    <x v="24"/>
    <x v="24"/>
    <s v="Contribución Patronal al Seguro de Pensiones  de la Caja Costarricense de Seguro Social, según lo establecido en la Ley de Protección al Trabajador Ley N°7983."/>
    <n v="25848000"/>
  </r>
  <r>
    <n v="1"/>
    <x v="11"/>
    <x v="2"/>
    <x v="25"/>
    <x v="25"/>
    <s v="Aporte patronal al Régimen Obligatorio de Pensiones Complementarias, según lo establecido en la Ley de Protección al Trabajador Ley N°7983."/>
    <n v="14307000"/>
  </r>
  <r>
    <n v="1"/>
    <x v="11"/>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7153000"/>
  </r>
  <r>
    <n v="1"/>
    <x v="11"/>
    <x v="0"/>
    <x v="0"/>
    <x v="0"/>
    <s v="Considera recursos para el pago de alquiler de edificio Ana Lorena según el espacio asignado. La estomación se realiza con base al contrato existente y metodológicas para la formulación del Presupuesto 2025 emitidas por el Ministerio de Hacienda"/>
    <n v="18028000"/>
  </r>
  <r>
    <n v="1"/>
    <x v="11"/>
    <x v="0"/>
    <x v="48"/>
    <x v="48"/>
    <s v="(Respaldos Secundarios) La cantidad de 30 millones debido a la gran cantidad de información que gestiona el INEC donde se recopila información de diferente índole, entre las que destacan económica, social y comercial de la población costarricense a través de las diferentes encuestas y de las cuales se realizan estudios estadísticos que proporcionan insumos sumamente valiososo para la toma de decisiones referentes al estado costarricenses estableciendo responsabilidades y obligaciones al INEC _x000a__x000a_¢10.8 millones para la implementación de la infraestructura de servidores del INEC en la nube para el SIEH, el desarrollo del SIEH requiere definir una infraestructura que pueda crecer y no tener una dependencia tecnológica que pueda afectar su funcionamiento, disponibilidad y portabilidad en el tiempo. _x000a__x000a_¢12,7 SIMEL (Sistema de Indicadores de mercado Laboral) busca poner a disposición de personas y entidades usuarias información oportuna en el mercado laboral costarricense"/>
    <n v="53555000"/>
  </r>
  <r>
    <n v="1"/>
    <x v="11"/>
    <x v="0"/>
    <x v="1"/>
    <x v="1"/>
    <s v="Servicio de suministros de agua potable, según consumo. Esta estimación se realiza con base en el promedio real de enero a junio y un promedio proyectado al segundo semestre 2024"/>
    <n v="778000"/>
  </r>
  <r>
    <n v="1"/>
    <x v="11"/>
    <x v="0"/>
    <x v="2"/>
    <x v="2"/>
    <s v="Servicio de energía eléctrica, según consumo. Esta etimación se realiza con bae en el promedio real de enero a junio y un primedio proyectado al segundo semestre 2024."/>
    <n v="2436000"/>
  </r>
  <r>
    <n v="1"/>
    <x v="11"/>
    <x v="0"/>
    <x v="3"/>
    <x v="3"/>
    <s v="Comprende el pago de servicio de telefonía, fax, redes de información y otros a ivel nacional e internacional según consumo estimado espacio asignadi. Esta estimación se realiza con base en el promedio real de enero a junio y un promedio proyecta al segundo semestre 2024."/>
    <n v="1266000"/>
  </r>
  <r>
    <n v="1"/>
    <x v="11"/>
    <x v="0"/>
    <x v="3"/>
    <x v="3"/>
    <s v="(Internet) Se requiere continuar con el servicio de internet para que los diferentes colaboradores del INEC puedan accesar a internet para que realicen su trabajo desde el Ana Lorena. Este servicio es imprescindible para que el personal del INEC pueda trabajar sin problemas.La velocidad del internet es de 500MB."/>
    <n v="25200000"/>
  </r>
  <r>
    <n v="1"/>
    <x v="9"/>
    <x v="0"/>
    <x v="43"/>
    <x v="43"/>
    <s v="7.000.000 colones para el escaneo de documentos e indexado de documentos en la herramienta ePower. "/>
    <n v="7000000"/>
  </r>
  <r>
    <n v="1"/>
    <x v="11"/>
    <x v="0"/>
    <x v="43"/>
    <x v="43"/>
    <s v="Se requiere continuar con los servicios contratados por el ICE en el datacenter, los cuales incluyen: servidor linux, servidor Windows, Seguridad, servidor para moodle"/>
    <n v="70180908"/>
  </r>
  <r>
    <n v="1"/>
    <x v="11"/>
    <x v="0"/>
    <x v="49"/>
    <x v="49"/>
    <s v="Dado que las personas usuarias han señalado en diferentes consultas, que el INEC produce información valiosa, pero se presentan dificultades para su accesibilidad en el sitio web y que por lo tanto sería muy útil que se les facilite una herramienta de consulta sobre los recursos de información ágil, automatizada con la que sepan que pueden encontrar y donde asi como tener a mano datos puntuales o de uso frecuente en forma rapida."/>
    <n v="7000000"/>
  </r>
  <r>
    <n v="1"/>
    <x v="11"/>
    <x v="0"/>
    <x v="5"/>
    <x v="5"/>
    <s v="Servicio de vigilancia, monitoreo y respuesta armada las 24 horas, se estima de acuerdo a la base real del primer semestre y a la proyección del segundo semestre del 2024. Servicio de limpieza de oficinas y áreas comunes de acuerdoa a la base real del primer semestre y a la proyección del segundio semestre del 2024 Distribuidos de la sigueinte forma Seguridad ¢3 256 000 / Limpieza ¢2 706 000."/>
    <n v="5962000"/>
  </r>
  <r>
    <n v="1"/>
    <x v="8"/>
    <x v="0"/>
    <x v="6"/>
    <x v="6"/>
    <s v="(3) Pago de actuario por calculo de vacaciones y demás (3 500 00,00)."/>
    <n v="3500000"/>
  </r>
  <r>
    <n v="1"/>
    <x v="8"/>
    <x v="0"/>
    <x v="6"/>
    <x v="6"/>
    <s v="(Nuevo Ingreso) Estudio de clima organizacional para el año 2025, para todo el INEC (25 000 000,00) + ¢ 15 MILLONES AGREGADOS"/>
    <n v="40000000"/>
  </r>
  <r>
    <n v="1"/>
    <x v="11"/>
    <x v="0"/>
    <x v="6"/>
    <x v="6"/>
    <s v="(6) Asesoría en el desarrollo e implementación del Marco de Gobierno y Gestión de Tecnologías de Información 2023-2026 ¢40 000 000.00"/>
    <n v="40000000"/>
  </r>
  <r>
    <n v="1"/>
    <x v="11"/>
    <x v="0"/>
    <x v="9"/>
    <x v="9"/>
    <s v="RT ¢ 4 441 000_Seguro de Riesgos del Trabajo que debe cubrir la Institución a los funcionarios por todo el año. La póliza de Riesgos del Trabajo se estima en base al 0,69% del total remuneraciones formulada para el año 2025."/>
    <n v="4441000"/>
  </r>
  <r>
    <n v="1"/>
    <x v="11"/>
    <x v="0"/>
    <x v="33"/>
    <x v="33"/>
    <s v="El sitio web, sus subsitios y aplicativo móvil fueron desarrollados bajo altos estándares tecnológicos que dieron pie a una avanzada plataforma integrada de contenido, el cual cuenta con su respectivo Backend (administrador de contenido) que a su vez alimenta al Fronted (sitio web publicados a los usuarios)"/>
    <n v="35000000"/>
  </r>
  <r>
    <n v="1"/>
    <x v="11"/>
    <x v="4"/>
    <x v="50"/>
    <x v="50"/>
    <m/>
    <n v="5643999.6600000001"/>
  </r>
  <r>
    <n v="1"/>
    <x v="11"/>
    <x v="4"/>
    <x v="51"/>
    <x v="51"/>
    <m/>
    <n v="90361718.75"/>
  </r>
  <r>
    <n v="1"/>
    <x v="11"/>
    <x v="4"/>
    <x v="52"/>
    <x v="52"/>
    <s v="(Uso Restringido) Monto agregado para otras necesidades"/>
    <n v="100000000"/>
  </r>
  <r>
    <n v="1"/>
    <x v="11"/>
    <x v="4"/>
    <x v="52"/>
    <x v="52"/>
    <m/>
    <n v="397144880.05000001"/>
  </r>
  <r>
    <n v="1"/>
    <x v="12"/>
    <x v="0"/>
    <x v="53"/>
    <x v="53"/>
    <s v="Publicaciones en la GACETA: ¢ 500 000 CAAF"/>
    <n v="500000"/>
  </r>
  <r>
    <n v="1"/>
    <x v="12"/>
    <x v="0"/>
    <x v="54"/>
    <x v="54"/>
    <s v="uso de SICOP (sistema de compras públicas con RACSA)"/>
    <n v="22000000"/>
  </r>
  <r>
    <n v="1"/>
    <x v="12"/>
    <x v="1"/>
    <x v="55"/>
    <x v="55"/>
    <m/>
    <n v="5238100"/>
  </r>
  <r>
    <n v="1"/>
    <x v="12"/>
    <x v="1"/>
    <x v="12"/>
    <x v="12"/>
    <m/>
    <n v="552100"/>
  </r>
  <r>
    <n v="1"/>
    <x v="12"/>
    <x v="1"/>
    <x v="56"/>
    <x v="56"/>
    <m/>
    <n v="2137268"/>
  </r>
  <r>
    <n v="1"/>
    <x v="12"/>
    <x v="1"/>
    <x v="45"/>
    <x v="45"/>
    <m/>
    <n v="1692310"/>
  </r>
  <r>
    <n v="1"/>
    <x v="12"/>
    <x v="5"/>
    <x v="57"/>
    <x v="57"/>
    <s v="Reserva 53bis"/>
    <n v="2196631825.3100014"/>
  </r>
  <r>
    <n v="1"/>
    <x v="13"/>
    <x v="2"/>
    <x v="13"/>
    <x v="13"/>
    <s v="Salario base del personal por cargos fijos para cumplir con las actividades permanentes del Instituto, según las Directrices técnicas y metodológicas para la formulación del Presupuesto 2024,se aplica el ajuste por costo de vida del 2020, deberán incluir en el ejercicio presupuestario del 2024 los recursos presupuestarios necesarios para realizar el pago retroactivo del aumento salarial, para hacer efectivo dicho pago a partir del 2024, según lo indicado en los  Decretos y Directrices Presidenciales emitidas para este fin. "/>
    <n v="77202000"/>
  </r>
  <r>
    <n v="1"/>
    <x v="13"/>
    <x v="2"/>
    <x v="14"/>
    <x v="14"/>
    <s v="Reconocimiento adicional al salario base que se paga cada vez que el funcionario cumple años de laborar en la institución pública, de acuerdo con la categoría de salarios en que esté ubicado su puesto."/>
    <n v="11064000"/>
  </r>
  <r>
    <n v="1"/>
    <x v="13"/>
    <x v="2"/>
    <x v="15"/>
    <x v="15"/>
    <s v="Compensación económica al servidor al que por legislación vigente se le ha impuesto la restricción al ejercicio de la profesión que ostenta en su cargo."/>
    <n v="7049000"/>
  </r>
  <r>
    <n v="1"/>
    <x v="13"/>
    <x v="2"/>
    <x v="16"/>
    <x v="16"/>
    <s v="Pago de salario adicional para los funcionarios, en cumplimiento de lo establecido en la ley de aguinaldos para Instituciones Autónomas."/>
    <n v="8772000"/>
  </r>
  <r>
    <n v="1"/>
    <x v="13"/>
    <x v="2"/>
    <x v="17"/>
    <x v="17"/>
    <s v="Pago de salario escolar para los funcionarios, en cumplimiento a lo establecido en la ley de salario escolar."/>
    <n v="8285000"/>
  </r>
  <r>
    <n v="1"/>
    <x v="13"/>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855000"/>
  </r>
  <r>
    <n v="1"/>
    <x v="13"/>
    <x v="2"/>
    <x v="19"/>
    <x v="19"/>
    <s v="Cuota patronal a la Caja Costarricense de Seguro Social por concepto de salud."/>
    <n v="9755000"/>
  </r>
  <r>
    <n v="1"/>
    <x v="13"/>
    <x v="2"/>
    <x v="20"/>
    <x v="20"/>
    <s v="Aporte patronal que se debe cancelar al I.M.A.S, según la Ley N°4760, artículo 3°."/>
    <n v="527000"/>
  </r>
  <r>
    <n v="1"/>
    <x v="13"/>
    <x v="2"/>
    <x v="21"/>
    <x v="21"/>
    <s v="Aporte patronal que se debe cancelar al I.N.A., según la Ley N°6868, artículo 15."/>
    <n v="1582000"/>
  </r>
  <r>
    <n v="1"/>
    <x v="13"/>
    <x v="2"/>
    <x v="22"/>
    <x v="22"/>
    <s v="Aporte patronal al Fondo de Desarrollo Social y Asignaciones Familiares, según la  Ley N°5662, artículo 15."/>
    <n v="5273000"/>
  </r>
  <r>
    <n v="1"/>
    <x v="13"/>
    <x v="2"/>
    <x v="23"/>
    <x v="23"/>
    <s v="Aporte patronal que se debe cancelar al Banco Popular, según la Ley N°4351, artículo 5°."/>
    <n v="527000"/>
  </r>
  <r>
    <n v="1"/>
    <x v="13"/>
    <x v="2"/>
    <x v="24"/>
    <x v="24"/>
    <s v="Contribución Patronal al Seguro de Pensiones  de la Caja Costarricense de Seguro Social, según lo establecido en la Ley de Protección al Trabajador Ley N°7983."/>
    <n v="5716000"/>
  </r>
  <r>
    <n v="1"/>
    <x v="13"/>
    <x v="2"/>
    <x v="25"/>
    <x v="25"/>
    <s v="Aporte patronal al Régimen Obligatorio de Pensiones Complementarias, según lo establecido en la Ley de Protección al Trabajador Ley N°7983."/>
    <n v="3164000"/>
  </r>
  <r>
    <n v="1"/>
    <x v="13"/>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582000"/>
  </r>
  <r>
    <n v="1"/>
    <x v="13"/>
    <x v="0"/>
    <x v="0"/>
    <x v="0"/>
    <s v="(Uso no restringido) Agregado para otras necesidades"/>
    <n v="17000000"/>
  </r>
  <r>
    <n v="1"/>
    <x v="13"/>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6808000"/>
  </r>
  <r>
    <n v="1"/>
    <x v="13"/>
    <x v="0"/>
    <x v="58"/>
    <x v="58"/>
    <s v="Monto Agregado"/>
    <n v="50000000"/>
  </r>
  <r>
    <n v="1"/>
    <x v="13"/>
    <x v="0"/>
    <x v="1"/>
    <x v="1"/>
    <s v="Servicio de suministro de agua potable, según consumo. Esta estimación se realiza con base en el promedio real de enero a junio y un promedio proyectado al segundo semestre 2024."/>
    <n v="294000"/>
  </r>
  <r>
    <n v="1"/>
    <x v="13"/>
    <x v="0"/>
    <x v="2"/>
    <x v="2"/>
    <s v="Servicio de energía eléctrica, según consumo. Esta estimación se realiza con base en el promedio real de enero a junio y un promedio proyectado al segundo semestre 2024."/>
    <n v="920000"/>
  </r>
  <r>
    <n v="1"/>
    <x v="13"/>
    <x v="0"/>
    <x v="59"/>
    <x v="59"/>
    <s v="Se formula prespuesto, debido  a que se mantiene un contrato con Correos de C.R por un monto de  ¢15.000.000,00 por 4 años. "/>
    <n v="3500000"/>
  </r>
  <r>
    <n v="1"/>
    <x v="13"/>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478000"/>
  </r>
  <r>
    <n v="1"/>
    <x v="13"/>
    <x v="0"/>
    <x v="46"/>
    <x v="46"/>
    <s v="Se formula presupuesto para la reparación de linea blanca , que por el uso habitual de los electrodomésticos que se deterioran _x000a_"/>
    <n v="300000"/>
  </r>
  <r>
    <n v="1"/>
    <x v="13"/>
    <x v="0"/>
    <x v="60"/>
    <x v="60"/>
    <s v="Se consideran recursos para el pago del servicio de grúas y servicios de chapulines de la flota institucional"/>
    <n v="250000"/>
  </r>
  <r>
    <n v="1"/>
    <x v="13"/>
    <x v="0"/>
    <x v="5"/>
    <x v="5"/>
    <s v="Se formula presupuesto para:_x000a_1-Corresponde al contrato del servicio de mantenimiento de los rótulos  según demanda, ¢ 1 200 000, "/>
    <n v="1200000"/>
  </r>
  <r>
    <n v="1"/>
    <x v="13"/>
    <x v="0"/>
    <x v="5"/>
    <x v="5"/>
    <s v="Mantenimiento de caja fuerte del proceso de tesorería. "/>
    <n v="200000"/>
  </r>
  <r>
    <n v="1"/>
    <x v="13"/>
    <x v="0"/>
    <x v="5"/>
    <x v="5"/>
    <s v="2-Corresponde al contrato según demanda del servicio de Handyman para ambos edificios para un total anual: ¢4 000 000"/>
    <n v="4000000"/>
  </r>
  <r>
    <n v="1"/>
    <x v="13"/>
    <x v="0"/>
    <x v="5"/>
    <x v="5"/>
    <s v="3-Corresponde al contrato,según demanda  servicios de fumigación, (4 Veces al año)_x000a_Total anual ¢ 390 000"/>
    <n v="390000"/>
  </r>
  <r>
    <n v="1"/>
    <x v="13"/>
    <x v="0"/>
    <x v="5"/>
    <x v="5"/>
    <s v="4-Corresponde al contrato,según demanda  servicios de recarga de extintores: _x000a_Total anual ¢ 400 000"/>
    <n v="400000"/>
  </r>
  <r>
    <n v="1"/>
    <x v="13"/>
    <x v="0"/>
    <x v="5"/>
    <x v="5"/>
    <s v="5-Corresponde al contrato, de Mantenimiento Zonas verdes:_x000a_Total anual ¢ 1 080 000,00 "/>
    <n v="1080000"/>
  </r>
  <r>
    <n v="1"/>
    <x v="13"/>
    <x v="0"/>
    <x v="5"/>
    <x v="5"/>
    <s v="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1 230 000 / Limpieza ¢ 1 022 000"/>
    <n v="2252000"/>
  </r>
  <r>
    <n v="1"/>
    <x v="13"/>
    <x v="0"/>
    <x v="5"/>
    <x v="5"/>
    <s v="8-Se consideran ¢3.100.000 para el pago del servicio de monitoreo de los vehículos institucionales "/>
    <n v="3100000"/>
  </r>
  <r>
    <n v="1"/>
    <x v="13"/>
    <x v="0"/>
    <x v="5"/>
    <x v="5"/>
    <s v="9- ¢400.000 para lavado de vehículos "/>
    <n v="400000"/>
  </r>
  <r>
    <n v="1"/>
    <x v="13"/>
    <x v="0"/>
    <x v="5"/>
    <x v="5"/>
    <s v="10-¢250.000 para recarga de extintores de vehículos"/>
    <n v="250000"/>
  </r>
  <r>
    <n v="1"/>
    <x v="11"/>
    <x v="0"/>
    <x v="6"/>
    <x v="6"/>
    <s v="(7) Asesoria para la implementación de una nueva tecnología para el Desarrollo de software de TI 2023-2025 ¢30 000 000.00"/>
    <n v="30000000"/>
  </r>
  <r>
    <n v="1"/>
    <x v="11"/>
    <x v="0"/>
    <x v="6"/>
    <x v="6"/>
    <s v="(8) Plan de mejoras a la ciberseguridad basada en el Diagnóstico del estado actual de la ciberseguridad del INEC y una hoja de ruta para cerrar las brechas de ciberseguridad identificadas ¢50 000 000.00 "/>
    <n v="50000000"/>
  </r>
  <r>
    <n v="1"/>
    <x v="13"/>
    <x v="0"/>
    <x v="6"/>
    <x v="6"/>
    <s v="(9) Inspección Técnica"/>
    <n v="500000"/>
  </r>
  <r>
    <n v="1"/>
    <x v="13"/>
    <x v="0"/>
    <x v="31"/>
    <x v="31"/>
    <s v="Se require para el uso de los dispositivos quick pass por concepto de peaje, por un monto de 750 000."/>
    <n v="750000"/>
  </r>
  <r>
    <n v="1"/>
    <x v="13"/>
    <x v="0"/>
    <x v="32"/>
    <x v="32"/>
    <s v="(nuevo) Se  requiere para las visitas de campo que son requeridas por los operativos de trabajo de campo, para custodias de vehículos o cambios de lugares donde se custodia el vehículo y requiere la re inspección"/>
    <n v="3000000"/>
  </r>
  <r>
    <n v="1"/>
    <x v="11"/>
    <x v="0"/>
    <x v="9"/>
    <x v="9"/>
    <s v="Póliza Equipo Electrónico ¢ 1 250 000"/>
    <n v="1250000"/>
  </r>
  <r>
    <n v="1"/>
    <x v="13"/>
    <x v="0"/>
    <x v="9"/>
    <x v="9"/>
    <s v="Pago de seguro obligatorio de automoviles institucional ¢ 2 690 476.19"/>
    <n v="2690476.19"/>
  </r>
  <r>
    <n v="1"/>
    <x v="13"/>
    <x v="0"/>
    <x v="61"/>
    <x v="61"/>
    <s v="Se requiere para el mantenimiento y reparación de vehículos institucionales"/>
    <n v="5000000"/>
  </r>
  <r>
    <n v="1"/>
    <x v="13"/>
    <x v="0"/>
    <x v="62"/>
    <x v="62"/>
    <s v="Se formula presupuesto que Corresponde al contrato de mantenimiento  preventivo y correctivo de  cámaras de seguridad."/>
    <n v="1900000"/>
  </r>
  <r>
    <n v="1"/>
    <x v="13"/>
    <x v="0"/>
    <x v="38"/>
    <x v="38"/>
    <s v="Se formula presupuesto que Corresponde  al contrato de mantenimiento ,reparación preventivo y correctivo habitual de  aires acondicionados ¢ 3000000"/>
    <n v="3000000"/>
  </r>
  <r>
    <n v="1"/>
    <x v="13"/>
    <x v="0"/>
    <x v="63"/>
    <x v="63"/>
    <s v="Se formula presupuesto para la reparación de linea blanca , que por el uso habitual de los electrodomésticos que se deterioran "/>
    <n v="300000"/>
  </r>
  <r>
    <n v="1"/>
    <x v="13"/>
    <x v="0"/>
    <x v="34"/>
    <x v="34"/>
    <s v="Para el pago de derechos de circulación de la flotilla del INEC se estima en 1 800 000 y por concepto de infracciones de tránsito un monto de 160 000 mil"/>
    <n v="1960000"/>
  </r>
  <r>
    <n v="1"/>
    <x v="13"/>
    <x v="0"/>
    <x v="64"/>
    <x v="64"/>
    <s v="Para el pago de deducibles por la reparación de vehículos institucionales por medio del INS"/>
    <n v="3600000"/>
  </r>
  <r>
    <n v="1"/>
    <x v="13"/>
    <x v="0"/>
    <x v="65"/>
    <x v="65"/>
    <s v="Pago administrativo de los dispositivos quick pass por concepto de peaje"/>
    <n v="200000"/>
  </r>
  <r>
    <n v="1"/>
    <x v="13"/>
    <x v="1"/>
    <x v="66"/>
    <x v="66"/>
    <s v="1- Se formula presupuesto para la compra de combustible para la planta eléctrica del Edificio Ana Lorena  _x000a_2- Monto correspondiente a la compra de combustible requerido para llevar a cabo el operativo de campo y procesos adscritos a las encuestas + ¢ 50 000 000 AGREGADOS"/>
    <n v="53005686"/>
  </r>
  <r>
    <n v="1"/>
    <x v="13"/>
    <x v="1"/>
    <x v="47"/>
    <x v="47"/>
    <m/>
    <n v="301290"/>
  </r>
  <r>
    <n v="1"/>
    <x v="13"/>
    <x v="1"/>
    <x v="67"/>
    <x v="67"/>
    <s v="Se formula presupuesto para la sustitución del sistema biométrico para el comedor externo que constantemente se desconfigura "/>
    <n v="571000"/>
  </r>
  <r>
    <n v="1"/>
    <x v="13"/>
    <x v="1"/>
    <x v="12"/>
    <x v="12"/>
    <s v="Se formula presupuesto para el mantenimiento de diversos activos:_x000a_Repuesto para aires acondicionados :¢ 700 000, Monto anual _x000a_Repuesto para cámaras de seguridad: ¢ 500 000, Según contrato vigente _x000a_Repuesto para rótulos luminosos : ¢ 750 000,00_x000a_Para la compra de llantas 801 475 para diferentes vehículos del INEC, 188 400 la compra de baterías y 1  000 000 para otros respuestos y accesorios para vehículos."/>
    <n v="3982955"/>
  </r>
  <r>
    <n v="1"/>
    <x v="13"/>
    <x v="1"/>
    <x v="56"/>
    <x v="56"/>
    <s v="Se formula presupuesto para la compra de diversas baterias para los control remoto de los aires acondicionados, pesa para los residuos , aerosoles para el baño "/>
    <n v="21600"/>
  </r>
  <r>
    <n v="1"/>
    <x v="13"/>
    <x v="1"/>
    <x v="45"/>
    <x v="45"/>
    <s v="Se formula presupuesto para la compra de insumos de aseo e higiene"/>
    <n v="2048138"/>
  </r>
  <r>
    <n v="1"/>
    <x v="13"/>
    <x v="1"/>
    <x v="39"/>
    <x v="39"/>
    <s v="Se formula presupuesto para la compra de diversos suministros , entre ellos:_x000a_Contrato según demanda del servicio de confeccion de uniformes_x000a_Contrato según demanda del servicio de confección de banderas _x000a_Se requiere para la compra de 15 mangas para los choferes del Proceso y personal técnico y uniforme de personal técnico por un monto de 26 880_x000a_Se requiere de  300 000 para la adquisición de uniforme de personal tecnico del proceso_x000a_Se requiere para la compra de lonas los vehículos institucionales y proteger los equipos y equipaje que trasladan 2 500 000"/>
    <n v="3593728"/>
  </r>
  <r>
    <n v="1"/>
    <x v="13"/>
    <x v="1"/>
    <x v="68"/>
    <x v="68"/>
    <s v="Se formula presupuesto para la compra de insumos de aseo e higiene _x000a_Se requiere para la limpieza y mantenimiento de los vehículos (40g galones de abrillantador/150 ceras/75 Shampoo/400 paños de microfibra"/>
    <n v="3579856"/>
  </r>
  <r>
    <n v="1"/>
    <x v="13"/>
    <x v="1"/>
    <x v="69"/>
    <x v="69"/>
    <s v="Se requiere para suministar al personal tecnico de equipo de seguridad (1 par de guantes/1 par de zapatos)"/>
    <n v="82000"/>
  </r>
  <r>
    <n v="1"/>
    <x v="13"/>
    <x v="1"/>
    <x v="40"/>
    <x v="40"/>
    <s v="Se formula presupuesto para la compra de cajas para resguardo de material"/>
    <n v="35600"/>
  </r>
  <r>
    <n v="2"/>
    <x v="14"/>
    <x v="2"/>
    <x v="13"/>
    <x v="13"/>
    <s v="Salario base del personal por cargos fijos para cumplir con las actividades permanentes del Instituto, según las Directrices técnicas y metodológicas para la formulación del Presupuesto 2025. "/>
    <n v="237020000"/>
  </r>
  <r>
    <n v="2"/>
    <x v="14"/>
    <x v="2"/>
    <x v="27"/>
    <x v="27"/>
    <s v="Cancelación de tiempo extraordinario para las personas funcionarias, que laboran fuera de horario, para el cumplimiento de actividades que requieren su atención urgente."/>
    <n v="718000"/>
  </r>
  <r>
    <n v="2"/>
    <x v="14"/>
    <x v="2"/>
    <x v="14"/>
    <x v="14"/>
    <s v="Reconocimiento adicional al salario base que se paga cada vez que el funcionario cumple años de laborar en la institución pública, de acuerdo con la categoría de salarios en que esté ubicado su puesto."/>
    <n v="36608000"/>
  </r>
  <r>
    <n v="2"/>
    <x v="14"/>
    <x v="2"/>
    <x v="15"/>
    <x v="15"/>
    <s v="Compensación económica al servidor al que por legislación vigente se le ha impuesto la restricción al ejercicio de la profesión que ostenta en su cargo."/>
    <n v="52035000"/>
  </r>
  <r>
    <n v="2"/>
    <x v="14"/>
    <x v="2"/>
    <x v="16"/>
    <x v="16"/>
    <s v="Pago de salario adicional para los funcionarios, en cumplimiento de lo establecido en la ley de aguinaldos para Instituciones Autónomas."/>
    <n v="30697000"/>
  </r>
  <r>
    <n v="2"/>
    <x v="14"/>
    <x v="2"/>
    <x v="17"/>
    <x v="17"/>
    <s v="Pago de salario escolar para los funcionarios, en cumplimiento a lo establecido en la ley de salario escolar."/>
    <n v="29034000"/>
  </r>
  <r>
    <n v="2"/>
    <x v="14"/>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3656000"/>
  </r>
  <r>
    <n v="2"/>
    <x v="14"/>
    <x v="2"/>
    <x v="19"/>
    <x v="19"/>
    <s v="Cuota patronal a la Caja Costarricense de Seguro Social por concepto de salud."/>
    <n v="34139000"/>
  </r>
  <r>
    <n v="2"/>
    <x v="14"/>
    <x v="2"/>
    <x v="20"/>
    <x v="20"/>
    <s v="Aporte patronal que se debe cancelar al I.M.A.S, según la Ley N°4760, artículo 3°."/>
    <n v="1845000"/>
  </r>
  <r>
    <n v="2"/>
    <x v="14"/>
    <x v="2"/>
    <x v="21"/>
    <x v="21"/>
    <s v="Aporte patronal que se debe cancelar al I.N.A., según la Ley N°6868, artículo 15."/>
    <n v="5536000"/>
  </r>
  <r>
    <n v="2"/>
    <x v="14"/>
    <x v="2"/>
    <x v="22"/>
    <x v="22"/>
    <s v="Aporte patronal al Fondo de Desarrollo Social y Asignaciones Familiares, según la  Ley N°5662, artículo 15."/>
    <n v="18454000"/>
  </r>
  <r>
    <n v="2"/>
    <x v="14"/>
    <x v="2"/>
    <x v="23"/>
    <x v="23"/>
    <s v="Aporte patronal que se debe cancelar al Banco Popular, según la Ley N°4351, artículo 5°."/>
    <n v="1845000"/>
  </r>
  <r>
    <n v="2"/>
    <x v="14"/>
    <x v="2"/>
    <x v="24"/>
    <x v="24"/>
    <s v="Contribución Patronal al Seguro de Pensiones  de la Caja Costarricense de Seguro Social, según lo establecido en la Ley de Protección al Trabajador Ley N°7983."/>
    <n v="20004000"/>
  </r>
  <r>
    <n v="2"/>
    <x v="14"/>
    <x v="2"/>
    <x v="25"/>
    <x v="25"/>
    <s v="Aporte patronal al Régimen Obligatorio de Pensiones Complementarias, según lo establecido en la Ley de Protección al Trabajador Ley N°7983."/>
    <n v="11072000"/>
  </r>
  <r>
    <n v="2"/>
    <x v="14"/>
    <x v="2"/>
    <x v="26"/>
    <x v="26"/>
    <s v="Aporte patronal para el financiamiento del Fondo de Capitalización Laboral, según la Ley de Protección al Trabajador, Ley N°7983, artículo 3°. reformada mediante el artículo 1 de la Ley para resguardar el derecho de los trabajadores a retirar los recursos."/>
    <n v="5536000"/>
  </r>
  <r>
    <n v="2"/>
    <x v="14"/>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7654000"/>
  </r>
  <r>
    <n v="2"/>
    <x v="14"/>
    <x v="0"/>
    <x v="1"/>
    <x v="1"/>
    <s v="Servicio de suministro de agua potable, según consumo. Esta estimación se realiza con base en el promedio real de enero a junio y un promedio proyectado al segundo semestre 2024."/>
    <n v="330000"/>
  </r>
  <r>
    <n v="2"/>
    <x v="14"/>
    <x v="0"/>
    <x v="2"/>
    <x v="2"/>
    <s v="Servicio de energía eléctrica, según consumo. Esta estimación se realiza con base en el promedio real de enero a junio y un promedio proyectado al segundo semestre 2024."/>
    <n v="1034000"/>
  </r>
  <r>
    <n v="2"/>
    <x v="14"/>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538000"/>
  </r>
  <r>
    <n v="2"/>
    <x v="14"/>
    <x v="0"/>
    <x v="5"/>
    <x v="5"/>
    <s v="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_x000a_Distribuidos de la siguiente Forma:_x000a_Seguridad: ¢ 1 382 000 / Limpieza ¢ 1 150 000"/>
    <n v="2532000"/>
  </r>
  <r>
    <n v="1"/>
    <x v="13"/>
    <x v="0"/>
    <x v="6"/>
    <x v="6"/>
    <s v="(11) Rotulación Vehicular"/>
    <n v="550000"/>
  </r>
  <r>
    <n v="1"/>
    <x v="13"/>
    <x v="0"/>
    <x v="6"/>
    <x v="6"/>
    <s v="(10) Rotulación interna INEC"/>
    <n v="700000"/>
  </r>
  <r>
    <n v="2"/>
    <x v="14"/>
    <x v="0"/>
    <x v="6"/>
    <x v="6"/>
    <s v="Continuidad procedimiento 2024LD-000028-0014400001 denominado &quot;Diseño de un plan de capacitación sobre normativa estadística, el diseño instruccional de dos cursos de capacitación para el Sistema de Estadística&quot; (10 MILLl)"/>
    <n v="10000000"/>
  </r>
  <r>
    <n v="2"/>
    <x v="14"/>
    <x v="0"/>
    <x v="7"/>
    <x v="7"/>
    <s v="Pasantía a Colombia o Chile, para una persona del Área con el propósito de conocer respecto a las experiencia sen normativa estadística, para el fortalecimiento del SEN."/>
    <n v="500000"/>
  </r>
  <r>
    <n v="2"/>
    <x v="14"/>
    <x v="0"/>
    <x v="8"/>
    <x v="8"/>
    <s v="Pasantía a Colombia o Chile, para una persona del Área con el propósito de conocer respecto a las experiencia sen normativa estadística, para el fortalecimiento del SEN."/>
    <n v="500000"/>
  </r>
  <r>
    <n v="1"/>
    <x v="13"/>
    <x v="0"/>
    <x v="9"/>
    <x v="9"/>
    <s v="RT ¢ 982 000_Seguro de Riesgos del Trabajo que debe cubrir la Institución a los funcionarios por todo el año. La póliza de Riesgos del Trabajo se estima en base al 0,69% del total remuneraciones formulada para el año 2025."/>
    <n v="982000"/>
  </r>
  <r>
    <n v="1"/>
    <x v="13"/>
    <x v="0"/>
    <x v="9"/>
    <x v="9"/>
    <s v="Póliza de responsabilidad civil ¢ 400 000"/>
    <n v="400000"/>
  </r>
  <r>
    <n v="2"/>
    <x v="14"/>
    <x v="0"/>
    <x v="9"/>
    <x v="9"/>
    <s v="RT ¢ 3 438 000_Seguro de Riesgos del Trabajo que debe cubrir la Institución a los funcionarios por todo el año. La póliza de Riesgos del Trabajo se estima en base al 0,69% del total remuneraciones formulada para el año 2025."/>
    <n v="3438000"/>
  </r>
  <r>
    <n v="2"/>
    <x v="14"/>
    <x v="0"/>
    <x v="10"/>
    <x v="10"/>
    <s v="Actividades de capacitación con integrantes del SEN y personas encargadas de las OE´s,  en continuidad con las acciones llevadas a cabo como parte de la implementación de la ENDE 2023-2032 y el PEN 2023-2027."/>
    <n v="600000"/>
  </r>
  <r>
    <n v="3"/>
    <x v="15"/>
    <x v="2"/>
    <x v="13"/>
    <x v="13"/>
    <s v="Salario base del personal por cargos fijos para cumplir con las actividades permanentes del Instituto, según las Directrices técnicas y metodológicas para la formulación del Presupuesto 2025."/>
    <n v="101331000"/>
  </r>
  <r>
    <n v="3"/>
    <x v="15"/>
    <x v="2"/>
    <x v="27"/>
    <x v="27"/>
    <s v="Cancelación de tiempo extraordinario del personal que labora para el programa y proyectos que deba realizara trabajos extraordinarios fuera del tiempo laboral"/>
    <n v="152000"/>
  </r>
  <r>
    <n v="3"/>
    <x v="15"/>
    <x v="2"/>
    <x v="14"/>
    <x v="14"/>
    <s v="Reconocimiento adicional al salario base que se paga cada vez que el funcionario cumple años de laborar en la institución pública, de acuerdo con la categoría de salarios en que esté ubicado su puesto."/>
    <n v="2095000"/>
  </r>
  <r>
    <n v="3"/>
    <x v="15"/>
    <x v="2"/>
    <x v="16"/>
    <x v="16"/>
    <s v="Pago de salario adicional para los funcionarios, en cumplimiento de lo establecido en la ley de aguinaldos para Instituciones Autónomas."/>
    <n v="9351000"/>
  </r>
  <r>
    <n v="3"/>
    <x v="15"/>
    <x v="2"/>
    <x v="17"/>
    <x v="17"/>
    <s v="Pago de salario escolar para los funcionarios, en cumplimiento a lo establecido en la ley de salario escolar."/>
    <n v="8739000"/>
  </r>
  <r>
    <n v="3"/>
    <x v="15"/>
    <x v="2"/>
    <x v="19"/>
    <x v="19"/>
    <s v="Cuota patronal a la Caja Costarricense de Seguro Social por concepto de salud."/>
    <n v="10389000"/>
  </r>
  <r>
    <n v="3"/>
    <x v="15"/>
    <x v="2"/>
    <x v="20"/>
    <x v="20"/>
    <s v="Aporte patronal que se debe cancelar al I.M.A.S, según la Ley N°4760, artículo 3°."/>
    <n v="562000"/>
  </r>
  <r>
    <n v="3"/>
    <x v="15"/>
    <x v="2"/>
    <x v="21"/>
    <x v="21"/>
    <s v="Aporte patronal que se debe cancelar al I.N.A., según la Ley N°6868, artículo 15."/>
    <n v="1685000"/>
  </r>
  <r>
    <n v="3"/>
    <x v="15"/>
    <x v="2"/>
    <x v="22"/>
    <x v="22"/>
    <s v="Aporte patronal al Fondo de Desarrollo Social y Asignaciones Familiares, según la  Ley N°5662, artículo 15."/>
    <n v="5616000"/>
  </r>
  <r>
    <n v="3"/>
    <x v="15"/>
    <x v="2"/>
    <x v="23"/>
    <x v="23"/>
    <s v="Aporte patronal que se debe cancelar al Banco Popular, según la Ley N°4351, artículo 5°."/>
    <n v="562000"/>
  </r>
  <r>
    <n v="3"/>
    <x v="15"/>
    <x v="2"/>
    <x v="24"/>
    <x v="24"/>
    <s v="Contribución Patronal al Seguro de Pensiones  de la Caja Costarricense de Seguro Social, según lo establecido en la Ley de Protección al Trabajador Ley N°7983."/>
    <n v="6088000"/>
  </r>
  <r>
    <n v="3"/>
    <x v="15"/>
    <x v="2"/>
    <x v="25"/>
    <x v="25"/>
    <s v="Aporte patronal al Régimen Obligatorio de Pensiones Complementarias, según lo establecido en la Ley de Protección al Trabajador Ley N°7983."/>
    <n v="3369000"/>
  </r>
  <r>
    <n v="3"/>
    <x v="15"/>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685000"/>
  </r>
  <r>
    <n v="3"/>
    <x v="15"/>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Distribución Presupuesto:_x000d__x000a_SP301 Área de Censos y Encuestas ¢12 878 000_x000d__x000a_SP303 Unidad de Estadísticas Demográficas ¢11 188 000_x000d__x000a_SP304 Encuesta Continua de Empleo (ECE) ¢8 114 000_x000d__x000a_SP305 Encuesta Nacional de Micro Empresas de los Hogares (ENAMEH) ¢3 714 000_x000d__x000a_SP307 Unidad de Diseño, análisis y operaciones ¢ 746 000_x000d__x000a_SP308 Unidad de Cartografía ¢10 644 000_x000d__x000a_SP309 Muestreo ¢9 790 000_x000d__x000a_SP321 Sistema Integrado de Encuestas a Hogares (SIEH) (CF) ¢7 398 000_x000d__x000a_SP343 Encuestas Especiales (CF) ¢1 806 000"/>
    <n v="66278000"/>
  </r>
  <r>
    <n v="3"/>
    <x v="15"/>
    <x v="0"/>
    <x v="58"/>
    <x v="58"/>
    <s v="Se contempla el alquiler de vehículos requeridos para el operativo de campo de la encuestas del área según la estimación realizada por el Proceso de Transportes, de acuerdo a la revisión de necesidades y planificación de vehiculos intitucionales. _x000a_ENAHO ¢45 000 000  ENAMEH: ¢ 15 000 000"/>
    <n v="60000000"/>
  </r>
  <r>
    <n v="3"/>
    <x v="15"/>
    <x v="0"/>
    <x v="1"/>
    <x v="1"/>
    <s v="Servicio de suministro de agua potable, según consumo. Esta estimación se realiza con base en el promedio real de enero a junio y un promedio proyectado al segundo semestre 2024._x000d__x000a_Distribución Presupuesto:_x000d__x000a_SP301 Área de Censos y Encuestas ¢556 000_x000d__x000a_SP303 Unidad de Estadísticas Demográficas ¢482 000_x000d__x000a_SP304 Encuesta Continua de Empleo (ECE) ¢350 000_x000d__x000a_SP305 Encuesta Nacional de Micro Empresas de los Hogares (ENAMEH) ¢160 000_x000d__x000a_SP307 Unidad de Diseño, análisis y operaciones ¢ 32 000_x000d__x000a_SP308 Unidad de Cartografía ¢460 000_x000d__x000a_SP309 Muestreo ¢422 000_x000d__x000a_SP321 Sistema Integrado de Encuestas a Hogares (SIEH) (CF) ¢320 000_x000d__x000a_SP343 Encuestas Especiales (CF) ¢78 000"/>
    <n v="2860000"/>
  </r>
  <r>
    <n v="3"/>
    <x v="15"/>
    <x v="0"/>
    <x v="2"/>
    <x v="2"/>
    <s v="Servicio de energía eléctrica, según consumo. Esta estimación se realiza con base en el promedio real de enero a junio y un promedio proyectado al segundo semestre 2024._x000d__x000a_Distribución Presupuesto:_x000d__x000a_SP301 Área de Censos y Encuestas ¢1 740 000_x000d__x000a_SP303 Unidad de Estadísticas Demográficas ¢1 512 000_x000d__x000a_SP304 Encuesta Continua de Empleo (ECE) ¢1 096 000_x000d__x000a_SP305 Encuesta Nacional de Micro Empresas de los Hogares (ENAMEH) ¢502 000_x000d__x000a_SP307 Unidad de Diseño, análisis y operaciones ¢ 100 000_x000d__x000a_SP308 Unidad de Cartografía ¢1 438 000_x000d__x000a_SP309 Muestreo ¢1 324 000_x000d__x000a_SP321 Sistema Integrado de Encuestas a Hogares (SIEH) (CF) ¢1 000 000_x000d__x000a_SP343 Encuestas Especiales (CF) ¢244 000"/>
    <n v="8956000"/>
  </r>
  <r>
    <n v="3"/>
    <x v="15"/>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a_Distribución Presupuesto:_x000a_SP301 Área de Censos y Encuestas ¢904 000_x000a_SP303 Unidad de Estadísticas Demográficas ¢786 000_x000a_SP304 Encuesta Continua de Empleo (ECE) ¢570 000_x000a_SP305 Encuesta Nacional de Micro Empresas de los Hogares (ENAMEH) ¢260 000_x000a_SP307 Unidad de Diseño, análisis y operaciones ¢ 52 000_x000a_SP308 Unidad de Cartografía ¢746 000_x000a_SP309 Muestreo ¢ 686 000_x000a_SP321 Sistema Integrado de Encuestas a Hogares (SIEH) (CF) ¢520 000_x000a_SP343 Encuestas Especiales (CF) ¢126 000"/>
    <n v="4650000"/>
  </r>
  <r>
    <n v="3"/>
    <x v="15"/>
    <x v="0"/>
    <x v="5"/>
    <x v="5"/>
    <s v="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_x000a_"/>
    <n v="21925000"/>
  </r>
  <r>
    <n v="2"/>
    <x v="14"/>
    <x v="0"/>
    <x v="6"/>
    <x v="6"/>
    <s v="Consultoría para el desarrollo de un nuevo curso sobre una determinada normativa del SEN. (30 MILL)."/>
    <n v="30000000"/>
  </r>
  <r>
    <n v="2"/>
    <x v="14"/>
    <x v="0"/>
    <x v="6"/>
    <x v="6"/>
    <s v="(3) Continuidad contrato #0432024010900002-00 por &quot;Servicios de revisión filológica de documentos (estructura, redacción y contenido), por demanda con cuantía estimada&quot; (800.000)."/>
    <n v="800000"/>
  </r>
  <r>
    <n v="2"/>
    <x v="14"/>
    <x v="0"/>
    <x v="6"/>
    <x v="6"/>
    <s v="(4) Continuidad contrato #0432022010900015-00 por &quot;Servicio de Traducción por demanda con cuantía estimada&quot; (10 MILL)."/>
    <n v="10000000"/>
  </r>
  <r>
    <n v="3"/>
    <x v="15"/>
    <x v="0"/>
    <x v="6"/>
    <x v="6"/>
    <s v="(5) Los recursos son necesarios para continuar con la contratación del diseño, conformación, desarrollo e implementación de un Geoportal Estadístico para el INEC, asi como el diseño, desarrollo e implementación de los módulos del Sistema Administrador de Encuestas._x000a__x000a_¢ 35 millones para 50% del producto E desarrollo de los módulos SAE_x000a_¢ 35 Mlls Pagos de los módulos F-G-H-I del SAE_x000a_¢ 15 mlls Mejoras de la contratación "/>
    <n v="85000000"/>
  </r>
  <r>
    <n v="3"/>
    <x v="15"/>
    <x v="0"/>
    <x v="9"/>
    <x v="9"/>
    <s v="RT ¢1 046 000 Seguro de Riesgos del Trabajo que debe cubrir la Institución a los funcionarios por todo el año. La póliza de Riesgos del Trabajo se estima en base al 0,69% del total remuneraciones formulada para el año 2025."/>
    <n v="1046000"/>
  </r>
  <r>
    <n v="3"/>
    <x v="15"/>
    <x v="0"/>
    <x v="61"/>
    <x v="61"/>
    <s v="Se requiere 25 000 000, 00 para el mantenimiento y reparación"/>
    <n v="25000000"/>
  </r>
  <r>
    <n v="3"/>
    <x v="15"/>
    <x v="1"/>
    <x v="66"/>
    <x v="66"/>
    <s v="Monto correspondiente a la compra de combustible requerido para llevar a cabo el operativo de campo de los proyectos del área._x000d__x000a_ENAHO (¢16 250 000), ENAMEH (¢7 000 000), ECE (¢25 000 000), CARTOGRAFÍA (¢2 200 000). "/>
    <n v="50449750"/>
  </r>
  <r>
    <n v="3"/>
    <x v="15"/>
    <x v="1"/>
    <x v="47"/>
    <x v="47"/>
    <s v="Productos farmacéuticos requeridos para la adecuada desinfección, prevención y cumplimiento de protocolos sanitarios durante la ejecución de los operativos de campo. Se incluye alcohol en gel, bloqueadores y repelentes."/>
    <n v="1509300"/>
  </r>
  <r>
    <n v="3"/>
    <x v="15"/>
    <x v="1"/>
    <x v="67"/>
    <x v="67"/>
    <s v="Se contempla la compra de materiales como cargadores de tablet, cargadores y baterias de computadoras portátiles necesarios para los equipos utilizados durante la recolección de la información en campo y/o del personal de oficina. "/>
    <n v="1000000"/>
  </r>
  <r>
    <n v="3"/>
    <x v="15"/>
    <x v="1"/>
    <x v="12"/>
    <x v="12"/>
    <s v="Se contempla la compra de inversores para cargar los dispositivos móviles en los vehiculos durante el operativo de campo de las encuestas, asi como repuestos y accesorios para los vehículos intitucionales."/>
    <n v="4403100"/>
  </r>
  <r>
    <n v="3"/>
    <x v="15"/>
    <x v="1"/>
    <x v="39"/>
    <x v="39"/>
    <s v="Textiles requeridos para ser utilizados durante la ejecución de los operativos de campo de las operaciones estadisticas, con el fin de resguardar al personal ante las inclemencias climaticas, asi como para que este identificado a la hora de visitar las viviendas y pueda generar mayor credibilidad y acceder mas fácilmente a la información."/>
    <n v="8642710"/>
  </r>
  <r>
    <n v="3"/>
    <x v="15"/>
    <x v="1"/>
    <x v="68"/>
    <x v="68"/>
    <s v="Materiales requeridos para el empaque de materiales y herramientes a utilizar durante las giras del personal de trabajo de campo."/>
    <n v="53200"/>
  </r>
  <r>
    <n v="3"/>
    <x v="15"/>
    <x v="1"/>
    <x v="40"/>
    <x v="40"/>
    <s v="Se contempla la compra de cajas plásticas necesarias para el traslado de materiales de los grupos de campo de las encuestas, esto con el fin de ir reponiendo las que se dañan por el uso constante en campo."/>
    <n v="258100"/>
  </r>
  <r>
    <n v="3"/>
    <x v="16"/>
    <x v="2"/>
    <x v="13"/>
    <x v="13"/>
    <s v="Salario base del personal por cargos fijos para cumplir con las actividades permanentes del Instituto, según las Directrices técnicas y metodológicas para la formulación del Presupuesto 2025."/>
    <n v="25883816"/>
  </r>
  <r>
    <n v="3"/>
    <x v="16"/>
    <x v="2"/>
    <x v="13"/>
    <x v="13"/>
    <s v="Salario base del personal por cargos fijos para cumplir con las actividades permanentes del Instituto, según las Directrices técnicas y metodológicas para la formulación del Presupuesto 2025."/>
    <n v="6994184"/>
  </r>
  <r>
    <n v="3"/>
    <x v="16"/>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187582000"/>
  </r>
  <r>
    <n v="3"/>
    <x v="16"/>
    <x v="2"/>
    <x v="27"/>
    <x v="27"/>
    <s v="Cancelación de tiempo extraordinario del personal que labora para el programa y proyectos que deba realizara trabajos extraordinarios fuera del tiempo laboral"/>
    <n v="60177000"/>
  </r>
  <r>
    <n v="3"/>
    <x v="16"/>
    <x v="2"/>
    <x v="14"/>
    <x v="14"/>
    <s v="Reconocimiento adicional al salario base que se paga cada vez que el funcionario cumple años de laborar en la institución pública, de acuerdo con la categoría de salarios en que esté ubicado su puesto."/>
    <n v="8239000"/>
  </r>
  <r>
    <n v="3"/>
    <x v="16"/>
    <x v="2"/>
    <x v="15"/>
    <x v="15"/>
    <s v="Compensación económica al servidor al que por legislación vigente se le ha impuesto la restricción al ejercicio de la profesión que ostenta en su cargo."/>
    <n v="13513000"/>
  </r>
  <r>
    <n v="3"/>
    <x v="16"/>
    <x v="2"/>
    <x v="16"/>
    <x v="16"/>
    <s v="Pago de salario adicional para los funcionarios, en cumplimiento de lo establecido en la ley de aguinaldos para Instituciones Autónomas."/>
    <n v="27665000"/>
  </r>
  <r>
    <n v="3"/>
    <x v="16"/>
    <x v="2"/>
    <x v="17"/>
    <x v="17"/>
    <s v="Pago de salario escolar para los funcionarios, en cumplimiento a lo establecido en la ley de salario escolar."/>
    <n v="25973000"/>
  </r>
  <r>
    <n v="3"/>
    <x v="16"/>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4069000"/>
  </r>
  <r>
    <n v="3"/>
    <x v="16"/>
    <x v="2"/>
    <x v="19"/>
    <x v="19"/>
    <s v="Cuota patronal a la Caja Costarricense de Seguro Social por concepto de salud."/>
    <n v="30750000"/>
  </r>
  <r>
    <n v="3"/>
    <x v="16"/>
    <x v="2"/>
    <x v="20"/>
    <x v="20"/>
    <s v="Aporte patronal que se debe cancelar al I.M.A.S, según la Ley N°4760, artículo 3°."/>
    <n v="1662000"/>
  </r>
  <r>
    <n v="3"/>
    <x v="16"/>
    <x v="2"/>
    <x v="21"/>
    <x v="21"/>
    <s v="Aporte patronal que se debe cancelar al I.N.A., según la Ley N°6868, artículo 15."/>
    <n v="4986000"/>
  </r>
  <r>
    <n v="3"/>
    <x v="16"/>
    <x v="2"/>
    <x v="22"/>
    <x v="22"/>
    <s v="Aporte patronal al Fondo de Desarrollo Social y Asignaciones Familiares, según la  Ley N°5662, artículo 15."/>
    <n v="16622000"/>
  </r>
  <r>
    <n v="3"/>
    <x v="16"/>
    <x v="2"/>
    <x v="23"/>
    <x v="23"/>
    <s v="Aporte patronal que se debe cancelar al Banco Popular, según la Ley N°4351, artículo 5°."/>
    <n v="1662000"/>
  </r>
  <r>
    <n v="3"/>
    <x v="16"/>
    <x v="2"/>
    <x v="24"/>
    <x v="24"/>
    <s v="Contribución Patronal al Seguro de Pensiones  de la Caja Costarricense de Seguro Social, según lo establecido en la Ley de Protección al Trabajador Ley N°7983."/>
    <n v="18018000"/>
  </r>
  <r>
    <n v="3"/>
    <x v="16"/>
    <x v="2"/>
    <x v="25"/>
    <x v="25"/>
    <s v="Aporte patronal al Régimen Obligatorio de Pensiones Complementarias, según lo establecido en la Ley de Protección al Trabajador Ley N°7983."/>
    <n v="9973000"/>
  </r>
  <r>
    <n v="3"/>
    <x v="16"/>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4986000"/>
  </r>
  <r>
    <n v="3"/>
    <x v="16"/>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8364000"/>
  </r>
  <r>
    <n v="3"/>
    <x v="16"/>
    <x v="0"/>
    <x v="1"/>
    <x v="1"/>
    <s v="Servicio de suministro de agua potable, según consumo. Esta estimación se realiza con base en el promedio real de enero a junio y un promedio proyectado al segundo semestre 2024."/>
    <n v="360000"/>
  </r>
  <r>
    <n v="3"/>
    <x v="16"/>
    <x v="0"/>
    <x v="2"/>
    <x v="2"/>
    <s v="Servicio de energía eléctrica, según consumo. Esta estimación se realiza con base en el promedio real de enero a junio y un promedio proyectado al segundo semestre 2024."/>
    <n v="1130000"/>
  </r>
  <r>
    <n v="3"/>
    <x v="16"/>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586 000)"/>
    <n v="586000"/>
  </r>
  <r>
    <n v="3"/>
    <x v="16"/>
    <x v="0"/>
    <x v="3"/>
    <x v="3"/>
    <s v="(Tarjetas) Se contempla la compra de tarjetas telefónicas y planes de datos requeridos durante el operativo de campo, las mismas se utilizan para el rescate de entrevistas pendientes y los planes para la transferencia de los datos e información.  (¢2 900 000)_x000a__x000a_"/>
    <n v="2900000"/>
  </r>
  <r>
    <n v="3"/>
    <x v="16"/>
    <x v="0"/>
    <x v="4"/>
    <x v="4"/>
    <s v="Corresponde al servicio de fotocopiado e impresión litografica de manuales, hojas de control, cuestionarios, entre otros documentos requeridos para la realización del operativo de campo y capacitaciones del personal."/>
    <n v="3000000"/>
  </r>
  <r>
    <n v="3"/>
    <x v="16"/>
    <x v="0"/>
    <x v="5"/>
    <x v="5"/>
    <s v="Se incluyen recursos para el lavado de chalecos requeridos para el operativo de campo (¢200 000) y lavado de ropa del personal que debe permanecer de gira en campo por mas de 7 día consecutivos (¢1 500 000)"/>
    <n v="1700000"/>
  </r>
  <r>
    <n v="3"/>
    <x v="16"/>
    <x v="0"/>
    <x v="5"/>
    <x v="5"/>
    <s v="Servicio de vigilancia, monitoreo y respuesta armada las 24 horas, se estima de acuerdo a la base real del primer semestre y a la proyección del segundo semestre del 2024._x000a_Servicio de limpieza de oficinas y áreas comunes de acuerdo a la base real del primer semestre y a la proyección del segundo semestre del 2024.Seguridad: ¢ 1 510 000 / Limpieza ¢ 1 256 000"/>
    <n v="2766000"/>
  </r>
  <r>
    <n v="1"/>
    <x v="13"/>
    <x v="0"/>
    <x v="31"/>
    <x v="31"/>
    <s v="(nuevo) Asimismo se contempla 50 000 para pagos de transporte público en caso que el Proceso de transportes no cuente con los recursos necesarios para atender las solicitudes de transportes."/>
    <n v="50000"/>
  </r>
  <r>
    <n v="3"/>
    <x v="16"/>
    <x v="0"/>
    <x v="31"/>
    <x v="31"/>
    <s v="(d) Pago estimado por traslados en autobús, taxi, ferry, lancha y peajes requeridos durante el operativo de campo de la encuesta. Además se incluye el traslado de personal cuando se realicen capacitaciones en lugares fuera de la institución."/>
    <n v="1000000"/>
  </r>
  <r>
    <n v="3"/>
    <x v="16"/>
    <x v="0"/>
    <x v="32"/>
    <x v="32"/>
    <s v="(a) Viáticos parciales o totales (según corresponda) requeridos durante el operativo de campo de la encuesta.  Incluye también el pago de los viáticos requeridos para la selección de personal en zona y/o la supervisión general del proyecto. En total se estiman viáticos para 33 grupos de trabajo durante cinco semanas. + ¢ 16 559 000 agregados"/>
    <n v="127558816"/>
  </r>
  <r>
    <n v="3"/>
    <x v="16"/>
    <x v="0"/>
    <x v="7"/>
    <x v="7"/>
    <s v="Se estima el costo del transporte requerido para llevar a cabo una pasantia en Chile durante 5 días para 1 persona, con el objetivo de conocer sobre la medición de pobreza e IPM, lo cual permitirá que se lleve a cabo tareas de investigación e implementación de metodologías (Rediseño de la Enameh, construcción de la metodología de la pobreza en la Encuesta Continua de Hogares, revisión y actulización de la línea de pobreza, adaptación de la metodogía del IPM en la Encuesta Continua de Hogares)."/>
    <n v="450000"/>
  </r>
  <r>
    <n v="3"/>
    <x v="16"/>
    <x v="0"/>
    <x v="8"/>
    <x v="8"/>
    <s v="Se estiman viáticos de alimentación para llevar a cabo una pasantia en Chile durante 5 días para 1 persona, con el objetivo de conocer sobre la medición de pobreza e IPM, lo cual permitirá que se lleve a cabo tareas de investigación e implementación de metodologías (Rediseño de la Enameh, construcción de la metodología de la pobreza en la Encuesta Continua de Hogares, revisión y actulización de la línea de pobreza, adaptación de la metodogía del IPM en la Encuesta Continua de Hogares)."/>
    <n v="800000"/>
  </r>
  <r>
    <n v="3"/>
    <x v="15"/>
    <x v="0"/>
    <x v="9"/>
    <x v="9"/>
    <s v="Póliza de Equipo Electrónico ¢ 1 875 000"/>
    <n v="1875000"/>
  </r>
  <r>
    <n v="3"/>
    <x v="15"/>
    <x v="0"/>
    <x v="9"/>
    <x v="9"/>
    <s v="Pago de seguro obligatorio de automoviles institucional requeridos para los vehículos utilizados en los operativos de campo de las encuestas. ¢14 350 000_x000a__x000a_SP 304 un monto de 13 452 380.95_x000a_SP 308 un monto de 896 825.40"/>
    <n v="14350000"/>
  </r>
  <r>
    <n v="3"/>
    <x v="16"/>
    <x v="0"/>
    <x v="9"/>
    <x v="9"/>
    <s v="RT ¢3 096 000 Seguro de Riesgos del Trabajo que debe cubrir la Institución a los funcionarios por todo el año. La póliza de Riesgos del Trabajo se estima en base al 0,69% del total remuneraciones formulada para el año 2025."/>
    <n v="3096000"/>
  </r>
  <r>
    <n v="3"/>
    <x v="16"/>
    <x v="0"/>
    <x v="10"/>
    <x v="10"/>
    <s v="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160 personas."/>
    <n v="8500000"/>
  </r>
  <r>
    <n v="3"/>
    <x v="16"/>
    <x v="3"/>
    <x v="42"/>
    <x v="42"/>
    <s v="Se contempla el pago de vacaciones del personal contrado para el operativo de campo, el cual es contratado unicamente por un periodo corto, por lo que debe ser liquidado una vez que finalice su contrato."/>
    <n v="2500000"/>
  </r>
  <r>
    <n v="3"/>
    <x v="17"/>
    <x v="2"/>
    <x v="13"/>
    <x v="13"/>
    <s v="Salario base del personal por cargos fijos para cumplir con las actividades permanentes del Instituto, según las Directrices técnicas y metodológicas para la formulación del Presupuesto 2025."/>
    <n v="86353000"/>
  </r>
  <r>
    <n v="3"/>
    <x v="17"/>
    <x v="2"/>
    <x v="27"/>
    <x v="27"/>
    <s v="Cancelación de tiempo extraordinario del personal que labora para el programa y proyectos que deba realizara trabajos extraordinarios fuera del tiempo laboral"/>
    <n v="3219000"/>
  </r>
  <r>
    <n v="3"/>
    <x v="17"/>
    <x v="2"/>
    <x v="14"/>
    <x v="14"/>
    <s v="Reconocimiento adicional al salario base que se paga cada vez que el funcionario cumple años de laborar en la institución pública, de acuerdo con la categoría de salarios en que esté ubicado su puesto."/>
    <n v="21337000"/>
  </r>
  <r>
    <n v="3"/>
    <x v="17"/>
    <x v="2"/>
    <x v="15"/>
    <x v="15"/>
    <s v="Compensación económica al servidor al que por legislación vigente se le ha impuesto la restricción al ejercicio de la profesión que ostenta en su cargo."/>
    <n v="13192000"/>
  </r>
  <r>
    <n v="3"/>
    <x v="17"/>
    <x v="2"/>
    <x v="16"/>
    <x v="16"/>
    <s v="Pago de salario adicional para los funcionarios, en cumplimiento de lo establecido en la ley de aguinaldos para Instituciones Autónomas."/>
    <n v="11769000"/>
  </r>
  <r>
    <n v="3"/>
    <x v="17"/>
    <x v="2"/>
    <x v="17"/>
    <x v="17"/>
    <s v="Pago de salario escolar para los funcionarios, en cumplimiento a lo establecido en la ley de salario escolar."/>
    <n v="11165000"/>
  </r>
  <r>
    <n v="3"/>
    <x v="17"/>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6264000"/>
  </r>
  <r>
    <n v="3"/>
    <x v="17"/>
    <x v="2"/>
    <x v="19"/>
    <x v="19"/>
    <s v="Cuota patronal a la Caja Costarricense de Seguro Social por concepto de salud."/>
    <n v="13091000"/>
  </r>
  <r>
    <n v="3"/>
    <x v="17"/>
    <x v="2"/>
    <x v="20"/>
    <x v="20"/>
    <s v="Aporte patronal que se debe cancelar al I.M.A.S, según la Ley N°4760, artículo 3°."/>
    <n v="708000"/>
  </r>
  <r>
    <n v="3"/>
    <x v="17"/>
    <x v="2"/>
    <x v="21"/>
    <x v="21"/>
    <s v="Aporte patronal que se debe cancelar al I.N.A., según la Ley N°6868, artículo 15."/>
    <n v="2123000"/>
  </r>
  <r>
    <n v="3"/>
    <x v="17"/>
    <x v="2"/>
    <x v="22"/>
    <x v="22"/>
    <s v="Aporte patronal al Fondo de Desarrollo Social y Asignaciones Familiares, según la  Ley N°5662, artículo 15."/>
    <n v="7076000"/>
  </r>
  <r>
    <n v="3"/>
    <x v="17"/>
    <x v="2"/>
    <x v="23"/>
    <x v="23"/>
    <s v="Aporte patronal que se debe cancelar al Banco Popular, según la Ley N°4351, artículo 5°."/>
    <n v="708000"/>
  </r>
  <r>
    <n v="3"/>
    <x v="17"/>
    <x v="2"/>
    <x v="24"/>
    <x v="24"/>
    <s v="Contribución Patronal al Seguro de Pensiones  de la Caja Costarricense de Seguro Social, según lo establecido en la Ley de Protección al Trabajador Ley N°7983."/>
    <n v="7671000"/>
  </r>
  <r>
    <n v="3"/>
    <x v="17"/>
    <x v="2"/>
    <x v="25"/>
    <x v="25"/>
    <s v="Aporte patronal al Régimen Obligatorio de Pensiones Complementarias, según lo establecido en la Ley de Protección al Trabajador Ley N°7983."/>
    <n v="4246000"/>
  </r>
  <r>
    <n v="3"/>
    <x v="17"/>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2123000"/>
  </r>
  <r>
    <n v="3"/>
    <x v="17"/>
    <x v="0"/>
    <x v="3"/>
    <x v="3"/>
    <s v="(TSE) Se estima el servicio de enlace de datos empresarial RACSA entre el INEC y TSE INTERINSTITUCIONAL, el cual es requerido para la validación de los datos de las diversas encuestas de la institución. Contar con este acceso directo a la Plataforma de Servicios Institucionales, permite una reducción en el tiempo de producción, dado que se descargará automáticamente la información de ciertas variables al digital el número de cédula, además incidirá en un mejoramiento en la calidad. El costo de este servicio es de $238.68 mensuales."/>
    <n v="1580000"/>
  </r>
  <r>
    <n v="3"/>
    <x v="17"/>
    <x v="0"/>
    <x v="32"/>
    <x v="32"/>
    <s v="(a) Se incorporan recursos económicos para realizar la devolución de resultados de la prueba piloto sobre inclusión de las variables con EER en las estadísticas vitales, al personal del Hospital Tony Facio en Limón. Los viáticos serían para 4 personas en Limón."/>
    <n v="250000"/>
  </r>
  <r>
    <n v="3"/>
    <x v="17"/>
    <x v="0"/>
    <x v="7"/>
    <x v="7"/>
    <s v="Se estima el costo del transporte requerido para llevar a cabo una pasantia en Colombia durante 5 días para 1 persona, con el objetivo de dar seguimiento del proyecto y la validación de los cálculos y supuestos establecidos en la medición y cálculo de la población residente, particularmente la medición de la población extranjera en condición regular."/>
    <n v="350000"/>
  </r>
  <r>
    <n v="3"/>
    <x v="17"/>
    <x v="0"/>
    <x v="8"/>
    <x v="8"/>
    <s v="Se estiman viáticos de alimentación para llevar a cabo una pasantia en Colombia durante 5 días para 1 persona, con el objetivo de dar seguimiento del proyecto y la validación de los cálculos y supuestos establecidos en la medición y cálculo de la población residente, particularmente la medición de la población extranjera en condición regular."/>
    <n v="450000"/>
  </r>
  <r>
    <n v="3"/>
    <x v="17"/>
    <x v="0"/>
    <x v="9"/>
    <x v="9"/>
    <s v="RT ¢1 318 000 Seguro de Riesgos del Trabajo que debe cubrir la Institución a los funcionarios por todo el año. La póliza de Riesgos del Trabajo se estima en base al 0,69% del total remuneraciones formulada para el año 2025."/>
    <n v="1318000"/>
  </r>
  <r>
    <n v="3"/>
    <x v="17"/>
    <x v="0"/>
    <x v="10"/>
    <x v="10"/>
    <s v="Se contempla el alquiler de una sala con refrigerio para 50 personas con el fin de realizar una presentación de las estimaciones y proyecciones de población para áreas menores 2022, dado que para 2025 se va a contar con la actualización de las estimaciones y proyecciones de población, se considera importante hacer una actividad de divulgación con la metodología utilizada y los productos y aplicatvos que se ponen al servicio del público. "/>
    <n v="1000000"/>
  </r>
  <r>
    <n v="3"/>
    <x v="18"/>
    <x v="2"/>
    <x v="13"/>
    <x v="13"/>
    <s v="Salario base del personal por cargos fijos para cumplir con las actividades permanentes del Instituto, según las Directrices técnicas y metodológicas para la formulación del Presupuesto 2025."/>
    <n v="308930000"/>
  </r>
  <r>
    <n v="3"/>
    <x v="18"/>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10115000"/>
  </r>
  <r>
    <n v="3"/>
    <x v="18"/>
    <x v="2"/>
    <x v="27"/>
    <x v="27"/>
    <s v="Cancelación de tiempo extraordinario del personal que labora para el programa y proyectos que deba realizara trabajos extraordinarios fuera del tiempo laboral"/>
    <n v="11161000"/>
  </r>
  <r>
    <n v="3"/>
    <x v="18"/>
    <x v="2"/>
    <x v="14"/>
    <x v="14"/>
    <s v="Reconocimiento adicional al salario base que se paga cada vez que el funcionario cumple años de laborar en la institución pública, de acuerdo con la categoría de salarios en que esté ubicado su puesto."/>
    <n v="40123000"/>
  </r>
  <r>
    <n v="3"/>
    <x v="18"/>
    <x v="2"/>
    <x v="15"/>
    <x v="15"/>
    <s v="Compensación económica al servidor al que por legislación vigente se le ha impuesto la restricción al ejercicio de la profesión que ostenta en su cargo."/>
    <n v="10809000"/>
  </r>
  <r>
    <n v="3"/>
    <x v="18"/>
    <x v="2"/>
    <x v="16"/>
    <x v="16"/>
    <s v="Pago de salario adicional para los funcionarios, en cumplimiento de lo establecido en la ley de aguinaldos para Instituciones Autónomas."/>
    <n v="34519000"/>
  </r>
  <r>
    <n v="3"/>
    <x v="18"/>
    <x v="2"/>
    <x v="17"/>
    <x v="17"/>
    <s v="Pago de salario escolar para los funcionarios, en cumplimiento a lo establecido en la ley de salario escolar."/>
    <n v="33679000"/>
  </r>
  <r>
    <n v="3"/>
    <x v="18"/>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241000"/>
  </r>
  <r>
    <n v="3"/>
    <x v="18"/>
    <x v="2"/>
    <x v="19"/>
    <x v="19"/>
    <s v="Cuota patronal a la Caja Costarricense de Seguro Social por concepto de salud."/>
    <n v="38485000"/>
  </r>
  <r>
    <n v="3"/>
    <x v="18"/>
    <x v="2"/>
    <x v="20"/>
    <x v="20"/>
    <s v="Aporte patronal que se debe cancelar al I.M.A.S, según la Ley N°4760, artículo 3°."/>
    <n v="2080000"/>
  </r>
  <r>
    <n v="3"/>
    <x v="18"/>
    <x v="2"/>
    <x v="21"/>
    <x v="21"/>
    <s v="Aporte patronal que se debe cancelar al I.N.A., según la Ley N°6868, artículo 15."/>
    <n v="6241000"/>
  </r>
  <r>
    <n v="3"/>
    <x v="18"/>
    <x v="2"/>
    <x v="22"/>
    <x v="22"/>
    <s v="Aporte patronal al Fondo de Desarrollo Social y Asignaciones Familiares, según la  Ley N°5662, artículo 15."/>
    <n v="20803000"/>
  </r>
  <r>
    <n v="3"/>
    <x v="18"/>
    <x v="2"/>
    <x v="23"/>
    <x v="23"/>
    <s v="Aporte patronal que se debe cancelar al Banco Popular, según la Ley N°4351, artículo 5°."/>
    <n v="2080000"/>
  </r>
  <r>
    <n v="3"/>
    <x v="18"/>
    <x v="2"/>
    <x v="24"/>
    <x v="24"/>
    <s v="Contribución Patronal al Seguro de Pensiones  de la Caja Costarricense de Seguro Social, según lo establecido en la Ley de Protección al Trabajador Ley N°7983."/>
    <n v="22550000"/>
  </r>
  <r>
    <n v="3"/>
    <x v="18"/>
    <x v="2"/>
    <x v="25"/>
    <x v="25"/>
    <s v="Aporte patronal al Régimen Obligatorio de Pensiones Complementarias, según lo establecido en la Ley de Protección al Trabajador Ley N°7983."/>
    <n v="12482000"/>
  </r>
  <r>
    <n v="3"/>
    <x v="18"/>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6241000"/>
  </r>
  <r>
    <n v="3"/>
    <x v="18"/>
    <x v="0"/>
    <x v="3"/>
    <x v="3"/>
    <s v="(Tarjeta) Se contempla la compra de tarjetas telefónicas y planes de datos requeridos durante el operativo de campo, las mismas se utilizan para el rescate de entrevistas pendientes y los planes para la transferencia de los datos e información."/>
    <n v="8200000"/>
  </r>
  <r>
    <n v="3"/>
    <x v="18"/>
    <x v="0"/>
    <x v="4"/>
    <x v="4"/>
    <s v="Corresponde al servicio de fotocopiado e impresión litografica de manuales, hojas de control, cuestionarios, entre otros documentos requeridos para la realización del operativo de campo y capacitaciones del personal."/>
    <n v="500000"/>
  </r>
  <r>
    <n v="3"/>
    <x v="18"/>
    <x v="0"/>
    <x v="31"/>
    <x v="31"/>
    <s v="(a)Pago estimado por traslados en autobús, taxi, ferry, lancha y peajes requeridos durante el operativo de campo de la encuesta. Además se incluye el traslado de personal cuando se realicen capacitaciones en lugares fuera de la institución."/>
    <n v="1500000"/>
  </r>
  <r>
    <n v="3"/>
    <x v="18"/>
    <x v="0"/>
    <x v="32"/>
    <x v="32"/>
    <s v="Viáticos parciales o totales (según corresponda) requeridos durante el operativo de campo de la encuesta.  Incluye también el pago de los viáticos requeridos para la selección de personal en zona y/o la supervisión general del proyecto. En total se estiman viáticos para 10 grupos de trabajo durante los doce meses del año."/>
    <n v="96000000"/>
  </r>
  <r>
    <n v="3"/>
    <x v="18"/>
    <x v="0"/>
    <x v="9"/>
    <x v="9"/>
    <s v="RT ¢3 874 000 Seguro de Riesgos del Trabajo que debe cubrir la Institución a los funcionarios por todo el año. La póliza de Riesgos del Trabajo se estima en base al 0,69% del total remuneraciones formulada para el año 2025."/>
    <n v="3874000"/>
  </r>
  <r>
    <n v="3"/>
    <x v="18"/>
    <x v="0"/>
    <x v="10"/>
    <x v="10"/>
    <s v="Gastos correspondientes a las actividades de capacitación del personal nuevo de trabajo de campo, dado que es indispensable capacitarlos en conceptos técnicos, los cuales son fundamentales para sus labores en campo. Asimismo, tambié se incluye capacitación para el personal de campo existente, con el fin de reatroalimentarlos en nuevos conceptos y técnicas de entrevista que les permita desarrollar su trabajo de la mejor manera."/>
    <n v="5500000"/>
  </r>
  <r>
    <n v="3"/>
    <x v="18"/>
    <x v="3"/>
    <x v="42"/>
    <x v="42"/>
    <s v="Montos previstos en caso de renuncia o despido de funcionarios contratados por el proyecto."/>
    <n v="1500000"/>
  </r>
  <r>
    <n v="3"/>
    <x v="19"/>
    <x v="2"/>
    <x v="13"/>
    <x v="13"/>
    <s v="Salario base del personal por cargos fijos para cumplir con las actividades permanentes del Instituto, según las Directrices técnicas y metodológicas para la formulación del Presupuesto 2025."/>
    <n v="24780000"/>
  </r>
  <r>
    <n v="3"/>
    <x v="19"/>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57426000"/>
  </r>
  <r>
    <n v="3"/>
    <x v="19"/>
    <x v="2"/>
    <x v="27"/>
    <x v="27"/>
    <s v="Cancelación de tiempo extraordinario del personal que labora para el programa y proyectos que deba realizara trabajos extraordinarios fuera del tiempo laboral"/>
    <n v="17000000"/>
  </r>
  <r>
    <n v="3"/>
    <x v="19"/>
    <x v="2"/>
    <x v="14"/>
    <x v="14"/>
    <s v="Reconocimiento adicional al salario base que se paga cada vez que el funcionario cumple años de laborar en la institución pública, de acuerdo con la categoría de salarios en que esté ubicado su puesto."/>
    <n v="3369000"/>
  </r>
  <r>
    <n v="3"/>
    <x v="19"/>
    <x v="2"/>
    <x v="15"/>
    <x v="15"/>
    <s v="Compensación económica al servidor al que por legislación vigente se le ha impuesto la restricción al ejercicio de la profesión que ostenta en su cargo."/>
    <n v="2943000"/>
  </r>
  <r>
    <n v="3"/>
    <x v="19"/>
    <x v="2"/>
    <x v="16"/>
    <x v="16"/>
    <s v="Pago de salario adicional para los funcionarios, en cumplimiento de lo establecido en la ley de aguinaldos para Instituciones Autónomas."/>
    <n v="9550000"/>
  </r>
  <r>
    <n v="3"/>
    <x v="19"/>
    <x v="2"/>
    <x v="17"/>
    <x v="17"/>
    <s v="Pago de salario escolar para los funcionarios, en cumplimiento a lo establecido en la ley de salario escolar."/>
    <n v="9085000"/>
  </r>
  <r>
    <n v="3"/>
    <x v="19"/>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73000"/>
  </r>
  <r>
    <n v="3"/>
    <x v="19"/>
    <x v="2"/>
    <x v="19"/>
    <x v="19"/>
    <s v="Cuota patronal a la Caja Costarricense de Seguro Social por concepto de salud."/>
    <n v="10626000"/>
  </r>
  <r>
    <n v="3"/>
    <x v="19"/>
    <x v="2"/>
    <x v="20"/>
    <x v="20"/>
    <s v="Aporte patronal que se debe cancelar al I.M.A.S, según la Ley N°4760, artículo 3°."/>
    <n v="574000"/>
  </r>
  <r>
    <n v="3"/>
    <x v="19"/>
    <x v="2"/>
    <x v="21"/>
    <x v="21"/>
    <s v="Aporte patronal que se debe cancelar al I.N.A., según la Ley N°6868, artículo 15."/>
    <n v="1723000"/>
  </r>
  <r>
    <n v="3"/>
    <x v="19"/>
    <x v="2"/>
    <x v="22"/>
    <x v="22"/>
    <s v="Aporte patronal al Fondo de Desarrollo Social y Asignaciones Familiares, según la  Ley N°5662, artículo 15."/>
    <n v="5744000"/>
  </r>
  <r>
    <n v="3"/>
    <x v="19"/>
    <x v="2"/>
    <x v="23"/>
    <x v="23"/>
    <s v="Aporte patronal que se debe cancelar al Banco Popular, según la Ley N°4351, artículo 5°."/>
    <n v="574000"/>
  </r>
  <r>
    <n v="3"/>
    <x v="19"/>
    <x v="2"/>
    <x v="24"/>
    <x v="24"/>
    <s v="Contribución Patronal al Seguro de Pensiones  de la Caja Costarricense de Seguro Social, según lo establecido en la Ley de Protección al Trabajador Ley N°7983."/>
    <n v="6226000"/>
  </r>
  <r>
    <n v="3"/>
    <x v="19"/>
    <x v="2"/>
    <x v="25"/>
    <x v="25"/>
    <s v="Aporte patronal al Régimen Obligatorio de Pensiones Complementarias, según lo establecido en la Ley de Protección al Trabajador Ley N°7983."/>
    <n v="3447000"/>
  </r>
  <r>
    <n v="3"/>
    <x v="19"/>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723000"/>
  </r>
  <r>
    <n v="3"/>
    <x v="19"/>
    <x v="0"/>
    <x v="3"/>
    <x v="3"/>
    <s v="(Tarjeta) Se contempla la compra de tarjetas telefónicas y planes de datos requeridos durante el operativo de campo, las mismas se utilizan para el rescate de entrevistas pendientes y los planes para la transferencia de los datos e información."/>
    <n v="1100000"/>
  </r>
  <r>
    <n v="3"/>
    <x v="19"/>
    <x v="0"/>
    <x v="4"/>
    <x v="4"/>
    <s v="Corresponde al servicio de fotocopiado e impresión litografica de manuales, hojas de control, cuestionarios, entre otros documentos requeridos para la realización del operativo de campo y capacitaciones del personal."/>
    <n v="1500000"/>
  </r>
  <r>
    <n v="3"/>
    <x v="19"/>
    <x v="0"/>
    <x v="5"/>
    <x v="5"/>
    <s v="Se incluyen recursos para el lavado de chalecos requeridos para el operativo de campo (¢200 000) y lavado de ropa del personal que debe permanecer de gira en campo por mas de 7 día consecutivos (¢700 000) "/>
    <n v="900000"/>
  </r>
  <r>
    <n v="3"/>
    <x v="19"/>
    <x v="0"/>
    <x v="31"/>
    <x v="31"/>
    <s v="(d)Pago estimado por traslados en autobús, taxi, ferry, lancha y peajes requeridos durante el operativo de campo de la encuesta. Además se incluye el traslado de personal cuando se realicen capacitaciones en lugares fuera de la institución."/>
    <n v="500000"/>
  </r>
  <r>
    <n v="3"/>
    <x v="19"/>
    <x v="0"/>
    <x v="32"/>
    <x v="32"/>
    <s v="(a) Viáticos parciales o totales (según corresponda) requeridos durante el operativo de campo de la encuesta.  Incluye también el pago de los viáticos requeridos para la selección de personal en zona y/o la supervisión general del proyecto. En total se estiman viáticos para 20 grupos de trabajo durante cinco semanas."/>
    <n v="50000000"/>
  </r>
  <r>
    <n v="3"/>
    <x v="19"/>
    <x v="0"/>
    <x v="9"/>
    <x v="9"/>
    <s v="RT ¢1 070 000 Seguro de Riesgos del Trabajo que debe cubrir la Institución a los funcionarios por todo el año. La póliza de Riesgos del Trabajo se estima en base al 0,69% del total remuneraciones formulada para el año 2025."/>
    <n v="1070000"/>
  </r>
  <r>
    <n v="3"/>
    <x v="19"/>
    <x v="0"/>
    <x v="10"/>
    <x v="10"/>
    <s v="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65 personas."/>
    <n v="4500000"/>
  </r>
  <r>
    <n v="3"/>
    <x v="19"/>
    <x v="3"/>
    <x v="42"/>
    <x v="42"/>
    <s v="Se contempla el pago de vacaciones del personal contrado para el operativo de campo, el cual es contratado unicamente por un periodo corto, por lo que debe ser liquidado una vez que finalice su contrato."/>
    <n v="1200000"/>
  </r>
  <r>
    <n v="3"/>
    <x v="20"/>
    <x v="2"/>
    <x v="13"/>
    <x v="13"/>
    <s v="Salario base del personal por cargos fijos para cumplir con las actividades permanentes del Instituto, según las Directrices técnicas y metodológicas para la formulación del Presupuesto 2025."/>
    <n v="50833000"/>
  </r>
  <r>
    <n v="3"/>
    <x v="20"/>
    <x v="2"/>
    <x v="27"/>
    <x v="27"/>
    <s v="Cancelación de tiempo extraordinario del personal que labora para el programa y proyectos que deba realizara trabajos extraordinarios fuera del tiempo laboral"/>
    <n v="167000"/>
  </r>
  <r>
    <n v="3"/>
    <x v="20"/>
    <x v="2"/>
    <x v="14"/>
    <x v="14"/>
    <s v="Reconocimiento adicional al salario base que se paga cada vez que el funcionario cumple años de laborar en la institución pública, de acuerdo con la categoría de salarios en que esté ubicado su puesto."/>
    <n v="14109000"/>
  </r>
  <r>
    <n v="3"/>
    <x v="20"/>
    <x v="2"/>
    <x v="15"/>
    <x v="15"/>
    <s v="Compensación económica al servidor al que por legislación vigente se le ha impuesto la restricción al ejercicio de la profesión que ostenta en su cargo."/>
    <n v="11270000"/>
  </r>
  <r>
    <n v="3"/>
    <x v="20"/>
    <x v="2"/>
    <x v="16"/>
    <x v="16"/>
    <s v="Pago de salario adicional para los funcionarios, en cumplimiento de lo establecido en la ley de aguinaldos para Instituciones Autónomas."/>
    <n v="7085000"/>
  </r>
  <r>
    <n v="3"/>
    <x v="20"/>
    <x v="2"/>
    <x v="17"/>
    <x v="17"/>
    <s v="Pago de salario escolar para los funcionarios, en cumplimiento a lo establecido en la ley de salario escolar."/>
    <n v="7183000"/>
  </r>
  <r>
    <n v="3"/>
    <x v="20"/>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100000"/>
  </r>
  <r>
    <n v="3"/>
    <x v="20"/>
    <x v="2"/>
    <x v="19"/>
    <x v="19"/>
    <s v="Cuota patronal a la Caja Costarricense de Seguro Social por concepto de salud."/>
    <n v="7924000"/>
  </r>
  <r>
    <n v="3"/>
    <x v="20"/>
    <x v="2"/>
    <x v="20"/>
    <x v="20"/>
    <s v="Aporte patronal que se debe cancelar al I.M.A.S, según la Ley N°4760, artículo 3°."/>
    <n v="428000"/>
  </r>
  <r>
    <n v="3"/>
    <x v="20"/>
    <x v="2"/>
    <x v="21"/>
    <x v="21"/>
    <s v="Aporte patronal que se debe cancelar al I.N.A., según la Ley N°6868, artículo 15."/>
    <n v="1285000"/>
  </r>
  <r>
    <n v="3"/>
    <x v="20"/>
    <x v="2"/>
    <x v="22"/>
    <x v="22"/>
    <s v="Aporte patronal al Fondo de Desarrollo Social y Asignaciones Familiares, según la  Ley N°5662, artículo 15."/>
    <n v="4283000"/>
  </r>
  <r>
    <n v="3"/>
    <x v="20"/>
    <x v="2"/>
    <x v="23"/>
    <x v="23"/>
    <s v="Aporte patronal que se debe cancelar al Banco Popular, según la Ley N°4351, artículo 5°."/>
    <n v="428000"/>
  </r>
  <r>
    <n v="3"/>
    <x v="20"/>
    <x v="2"/>
    <x v="24"/>
    <x v="24"/>
    <s v="Contribución Patronal al Seguro de Pensiones  de la Caja Costarricense de Seguro Social, según lo establecido en la Ley de Protección al Trabajador Ley N°7983."/>
    <n v="4643000"/>
  </r>
  <r>
    <n v="3"/>
    <x v="20"/>
    <x v="2"/>
    <x v="25"/>
    <x v="25"/>
    <s v="Aporte patronal al Régimen Obligatorio de Pensiones Complementarias, según lo establecido en la Ley de Protección al Trabajador Ley N°7983."/>
    <n v="2570000"/>
  </r>
  <r>
    <n v="3"/>
    <x v="20"/>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285000"/>
  </r>
  <r>
    <n v="3"/>
    <x v="20"/>
    <x v="0"/>
    <x v="9"/>
    <x v="9"/>
    <s v="RT ¢ 798 000 Seguro de Riesgos del Trabajo que debe cubrir la Institución a los funcionarios por todo el año. La póliza de Riesgos del Trabajo se estima en base al 0,69% del total remuneraciones formulada para el año 2025."/>
    <n v="798000"/>
  </r>
  <r>
    <n v="3"/>
    <x v="21"/>
    <x v="2"/>
    <x v="13"/>
    <x v="13"/>
    <s v="Salario base del personal por cargos fijos para cumplir con las actividades permanentes del Instituto, según las Directrices técnicas y metodológicas para la formulación del Presupuesto 2025."/>
    <n v="166134000"/>
  </r>
  <r>
    <n v="3"/>
    <x v="21"/>
    <x v="2"/>
    <x v="27"/>
    <x v="27"/>
    <s v="Cancelación de tiempo extraordinario del personal que labora para el programa y proyectos que deba realizara trabajos extraordinarios fuera del tiempo laboral"/>
    <n v="93000"/>
  </r>
  <r>
    <n v="3"/>
    <x v="21"/>
    <x v="2"/>
    <x v="14"/>
    <x v="14"/>
    <s v="Reconocimiento adicional al salario base que se paga cada vez que el funcionario cumple años de laborar en la institución pública, de acuerdo con la categoría de salarios en que esté ubicado su puesto."/>
    <n v="54000000"/>
  </r>
  <r>
    <n v="3"/>
    <x v="21"/>
    <x v="2"/>
    <x v="15"/>
    <x v="15"/>
    <s v="Compensación económica al servidor al que por legislación vigente se le ha impuesto la restricción al ejercicio de la profesión que ostenta en su cargo."/>
    <n v="27113000"/>
  </r>
  <r>
    <n v="3"/>
    <x v="21"/>
    <x v="2"/>
    <x v="16"/>
    <x v="16"/>
    <s v="Pago de salario adicional para los funcionarios, en cumplimiento de lo establecido en la ley de aguinaldos para Instituciones Autónomas."/>
    <n v="22867000"/>
  </r>
  <r>
    <n v="3"/>
    <x v="21"/>
    <x v="2"/>
    <x v="17"/>
    <x v="17"/>
    <s v="Pago de salario escolar para los funcionarios, en cumplimiento a lo establecido en la ley de salario escolar."/>
    <n v="21630000"/>
  </r>
  <r>
    <n v="3"/>
    <x v="21"/>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5960000"/>
  </r>
  <r>
    <n v="3"/>
    <x v="21"/>
    <x v="2"/>
    <x v="19"/>
    <x v="19"/>
    <s v="Cuota patronal a la Caja Costarricense de Seguro Social por concepto de salud."/>
    <n v="25431000"/>
  </r>
  <r>
    <n v="3"/>
    <x v="21"/>
    <x v="2"/>
    <x v="20"/>
    <x v="20"/>
    <s v="Aporte patronal que se debe cancelar al I.M.A.S, según la Ley N°4760, artículo 3°."/>
    <n v="1375000"/>
  </r>
  <r>
    <n v="3"/>
    <x v="21"/>
    <x v="2"/>
    <x v="21"/>
    <x v="21"/>
    <s v="Aporte patronal que se debe cancelar al I.N.A., según la Ley N°6868, artículo 15."/>
    <n v="4124000"/>
  </r>
  <r>
    <n v="3"/>
    <x v="21"/>
    <x v="2"/>
    <x v="22"/>
    <x v="22"/>
    <s v="Aporte patronal al Fondo de Desarrollo Social y Asignaciones Familiares, según la  Ley N°5662, artículo 15."/>
    <n v="13747000"/>
  </r>
  <r>
    <n v="3"/>
    <x v="21"/>
    <x v="2"/>
    <x v="23"/>
    <x v="23"/>
    <s v="Aporte patronal que se debe cancelar al Banco Popular, según la Ley N°4351, artículo 5°."/>
    <n v="1375000"/>
  </r>
  <r>
    <n v="3"/>
    <x v="21"/>
    <x v="2"/>
    <x v="24"/>
    <x v="24"/>
    <s v="Contribución Patronal al Seguro de Pensiones  de la Caja Costarricense de Seguro Social, según lo establecido en la Ley de Protección al Trabajador Ley N°7983."/>
    <n v="14901000"/>
  </r>
  <r>
    <n v="3"/>
    <x v="21"/>
    <x v="2"/>
    <x v="25"/>
    <x v="25"/>
    <s v="Aporte patronal al Régimen Obligatorio de Pensiones Complementarias, según lo establecido en la Ley de Protección al Trabajador Ley N°7983."/>
    <n v="8248000"/>
  </r>
  <r>
    <n v="3"/>
    <x v="21"/>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4124000"/>
  </r>
  <r>
    <n v="3"/>
    <x v="21"/>
    <x v="0"/>
    <x v="6"/>
    <x v="6"/>
    <s v="(1) Monto requerido para el pago del Servicio de Acceso en Línea a Imágenes de Satélite de Alta Resolución MAXAR DigitalGlobe SecureWatchStandard para Costa Rica,  el cual necesario para mantener actualizado geoespacialmente el Marco Geoestadístico Nacional, mediante la detección de cambios en los elementos geográficos requeridos, con la escala y temporalidad establecida por la metodología de la Unidad de Cartografía del INEC. "/>
    <n v="16000000"/>
  </r>
  <r>
    <n v="3"/>
    <x v="21"/>
    <x v="0"/>
    <x v="9"/>
    <x v="9"/>
    <s v="RT ¢ 2 561 000 Seguro de Riesgos del Trabajo que debe cubrir la Institución a los funcionarios por todo el año. La póliza de Riesgos del Trabajo se estima en base al 0,69% del total remuneraciones formulada para el año 2025."/>
    <n v="2561000"/>
  </r>
  <r>
    <n v="3"/>
    <x v="21"/>
    <x v="0"/>
    <x v="33"/>
    <x v="33"/>
    <s v="Recursos necesarios para el mantenimiento del plotter asignado a la Unidad de Cartografía, el cual es importante para atender cualquier eventualidad donde se necesiten mapas impresos, por ejemplo en área peligrosas donde se corra un riesgo llevando dispositivos móviles. "/>
    <n v="1000000"/>
  </r>
  <r>
    <n v="3"/>
    <x v="22"/>
    <x v="2"/>
    <x v="13"/>
    <x v="13"/>
    <s v="Salario base del personal por cargos fijos para cumplir con las actividades permanentes del Instituto, según las Directrices técnicas y metodológicas para la formulación del Presupuesto 2025."/>
    <n v="98126000"/>
  </r>
  <r>
    <n v="3"/>
    <x v="22"/>
    <x v="2"/>
    <x v="27"/>
    <x v="27"/>
    <s v="Cancelación de tiempo extraordinario del personal que labora para el programa y proyectos que deba realizara trabajos extraordinarios fuera del tiempo laboral"/>
    <n v="727000"/>
  </r>
  <r>
    <n v="3"/>
    <x v="22"/>
    <x v="2"/>
    <x v="14"/>
    <x v="14"/>
    <s v="Reconocimiento adicional al salario base que se paga cada vez que el funcionario cumple años de laborar en la institución pública, de acuerdo con la categoría de salarios en que esté ubicado su puesto."/>
    <n v="7921000"/>
  </r>
  <r>
    <n v="3"/>
    <x v="22"/>
    <x v="2"/>
    <x v="15"/>
    <x v="15"/>
    <s v="Compensación económica al servidor al que por legislación vigente se le ha impuesto la restricción al ejercicio de la profesión que ostenta en su cargo."/>
    <n v="6347000"/>
  </r>
  <r>
    <n v="3"/>
    <x v="22"/>
    <x v="2"/>
    <x v="16"/>
    <x v="16"/>
    <s v="Pago de salario adicional para los funcionarios, en cumplimiento de lo establecido en la ley de aguinaldos para Instituciones Autónomas."/>
    <n v="10530000"/>
  </r>
  <r>
    <n v="3"/>
    <x v="22"/>
    <x v="2"/>
    <x v="17"/>
    <x v="17"/>
    <s v="Pago de salario escolar para los funcionarios, en cumplimiento a lo establecido en la ley de salario escolar."/>
    <n v="9782000"/>
  </r>
  <r>
    <n v="3"/>
    <x v="22"/>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3523000"/>
  </r>
  <r>
    <n v="3"/>
    <x v="22"/>
    <x v="2"/>
    <x v="19"/>
    <x v="19"/>
    <s v="Cuota patronal a la Caja Costarricense de Seguro Social por concepto de salud."/>
    <n v="11694000"/>
  </r>
  <r>
    <n v="3"/>
    <x v="22"/>
    <x v="2"/>
    <x v="20"/>
    <x v="20"/>
    <s v="Aporte patronal que se debe cancelar al I.M.A.S, según la Ley N°4760, artículo 3°."/>
    <n v="632000"/>
  </r>
  <r>
    <n v="3"/>
    <x v="22"/>
    <x v="2"/>
    <x v="21"/>
    <x v="21"/>
    <s v="Aporte patronal que se debe cancelar al I.N.A., según la Ley N°6868, artículo 15."/>
    <n v="1896000"/>
  </r>
  <r>
    <n v="3"/>
    <x v="22"/>
    <x v="2"/>
    <x v="22"/>
    <x v="22"/>
    <s v="Aporte patronal al Fondo de Desarrollo Social y Asignaciones Familiares, según la  Ley N°5662, artículo 15."/>
    <n v="6321000"/>
  </r>
  <r>
    <n v="3"/>
    <x v="22"/>
    <x v="2"/>
    <x v="23"/>
    <x v="23"/>
    <s v="Aporte patronal que se debe cancelar al Banco Popular, según la Ley N°4351, artículo 5°."/>
    <n v="632000"/>
  </r>
  <r>
    <n v="3"/>
    <x v="22"/>
    <x v="2"/>
    <x v="24"/>
    <x v="24"/>
    <s v="Contribución Patronal al Seguro de Pensiones  de la Caja Costarricense de Seguro Social, según lo establecido en la Ley de Protección al Trabajador Ley N°7983."/>
    <n v="6852000"/>
  </r>
  <r>
    <n v="3"/>
    <x v="22"/>
    <x v="2"/>
    <x v="25"/>
    <x v="25"/>
    <s v="Aporte patronal al Régimen Obligatorio de Pensiones Complementarias, según lo establecido en la Ley de Protección al Trabajador Ley N°7983."/>
    <n v="3793000"/>
  </r>
  <r>
    <n v="3"/>
    <x v="22"/>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896000"/>
  </r>
  <r>
    <n v="3"/>
    <x v="22"/>
    <x v="0"/>
    <x v="9"/>
    <x v="9"/>
    <s v="RT ¢ 1 177 000 Seguro de Riesgos del Trabajo que debe cubrir la Institución a los funcionarios por todo el año. La póliza de Riesgos del Trabajo se estima en base al 0,69% del total remuneraciones formulada para el año 2025."/>
    <n v="1177000"/>
  </r>
  <r>
    <n v="3"/>
    <x v="23"/>
    <x v="2"/>
    <x v="13"/>
    <x v="13"/>
    <s v="Salario base del personal por cargos fijos para cumplir con las actividades permanentes del Instituto, según las Directrices técnicas y metodológicas para la formulación del Presupuesto 2025. "/>
    <n v="49650000"/>
  </r>
  <r>
    <n v="3"/>
    <x v="23"/>
    <x v="2"/>
    <x v="27"/>
    <x v="27"/>
    <s v="Cancelación de tiempo extraordinario del personal que labora para el programa y proyectos que deba realizara trabajos extraordinarios fuera del tiempo laboral_x000d__x000a_"/>
    <n v="224000"/>
  </r>
  <r>
    <n v="3"/>
    <x v="23"/>
    <x v="2"/>
    <x v="14"/>
    <x v="14"/>
    <s v="Reconocimiento adicional al salario base que se paga cada vez que el funcionario cumple años de laborar en la institución pública, de acuerdo con la categoría de salarios en que esté ubicado su puesto._x000d__x000a_"/>
    <n v="10236000"/>
  </r>
  <r>
    <n v="3"/>
    <x v="23"/>
    <x v="2"/>
    <x v="15"/>
    <x v="15"/>
    <s v="Compensación económica al servidor al que por legislación vigente se le ha impuesto la restricción al ejercicio de la profesión que ostenta en su cargo._x000a__x000d__x000a_"/>
    <n v="7085000"/>
  </r>
  <r>
    <n v="3"/>
    <x v="23"/>
    <x v="2"/>
    <x v="16"/>
    <x v="16"/>
    <s v="Pago de salario adicional para los funcionarios, en cumplimiento de lo establecido en la ley de aguinaldos para Instituciones Autónomas._x000a__x000d__x000a_"/>
    <n v="6183000"/>
  </r>
  <r>
    <n v="3"/>
    <x v="23"/>
    <x v="2"/>
    <x v="17"/>
    <x v="17"/>
    <s v="Pago de salario escolar para los funcionarios, en cumplimiento a lo establecido en la ley de salario escolar._x000a__x000d__x000a_"/>
    <n v="5872000"/>
  </r>
  <r>
    <n v="3"/>
    <x v="23"/>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a_"/>
    <n v="1296000"/>
  </r>
  <r>
    <n v="3"/>
    <x v="23"/>
    <x v="2"/>
    <x v="19"/>
    <x v="19"/>
    <s v="Cuota patronal a la Caja Costarricense de Seguro Social por concepto de salud._x000d__x000a_"/>
    <n v="6879000"/>
  </r>
  <r>
    <n v="3"/>
    <x v="23"/>
    <x v="2"/>
    <x v="20"/>
    <x v="20"/>
    <s v="Aporte patronal que se debe cancelar al I.M.A.S, según la Ley N°4760, artículo 3°._x000a__x000d__x000a_"/>
    <n v="372000"/>
  </r>
  <r>
    <n v="3"/>
    <x v="23"/>
    <x v="2"/>
    <x v="21"/>
    <x v="21"/>
    <s v="Aporte patronal que se debe cancelar al I.N.A., según la Ley N°6868, artículo 15._x000a__x000d__x000a_"/>
    <n v="1115000"/>
  </r>
  <r>
    <n v="3"/>
    <x v="23"/>
    <x v="2"/>
    <x v="22"/>
    <x v="22"/>
    <s v="Aporte patronal al Fondo de Desarrollo Social y Asignaciones Familiares, según la  Ley N°5662, artículo 15._x000a__x000d__x000a_"/>
    <n v="3718000"/>
  </r>
  <r>
    <n v="3"/>
    <x v="23"/>
    <x v="2"/>
    <x v="23"/>
    <x v="23"/>
    <s v="Aporte patronal que se debe cancelar al Banco Popular, según la Ley N°4351, artículo 5°._x000a__x000d__x000a_"/>
    <n v="372000"/>
  </r>
  <r>
    <n v="3"/>
    <x v="23"/>
    <x v="2"/>
    <x v="24"/>
    <x v="24"/>
    <s v="Aporte patronal al Régimen Obligatorio de Pensiones Complementarias, según lo establecido en la Ley de Protección al Trabajador Ley N°7983._x000a__x000d__x000a_"/>
    <n v="4030000"/>
  </r>
  <r>
    <n v="3"/>
    <x v="23"/>
    <x v="2"/>
    <x v="25"/>
    <x v="25"/>
    <s v="Aporte patronal al Régimen Obligatorio de Pensiones Complementarias, según lo establecido en la Ley de Protección al Trabajador Ley N°7983._x000a__x000d__x000a_"/>
    <n v="2231000"/>
  </r>
  <r>
    <n v="3"/>
    <x v="23"/>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1115000"/>
  </r>
  <r>
    <n v="3"/>
    <x v="23"/>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a__x000a_Asignados según el siguiente detalle:_x000a__x000a__x000d__x000a_SP313 Área de Estadísticas Continuas_x000a_ ¢ 8 560 000_x000a_S_x000d__x000a_P314 Unidad de indice de Precios_x000a_ ¢14 268 000_x000a__x000d__x000a_SP315 Encuesta Nacional Agrop (ENA)_x000a_ ¢ 5 816 000_x000d__x000a__x000a_SP317 Directorio de Emp y Establec(DEE)_x000a_ ¢2 904 000_x000a__x000d__x000a_SP318 Unidad de Estadísticas Económicas _x000a_¢1 130 000_x000a__x000d__x000a_SP323 ENFIHO-ENIGH (CF)_x000a_ ¢8 784 000_x000a_S_x000d__x000a_P344 ENADEL Servicio (CF)_x000a_ ¢252 000_x000a__x000d__x000a_"/>
    <n v="41714000"/>
  </r>
  <r>
    <n v="3"/>
    <x v="23"/>
    <x v="0"/>
    <x v="1"/>
    <x v="1"/>
    <s v="Servicio de suministro de agua potable, según consumo. Esta estimación se realiza con base en el promedio real de enero a junio y un promedio proyectado al segundo semestre 2024._x000d__x000a__x000d__x000a_Asignados según el siguiente detalle:_x000d__x000a__x000d__x000a_SP313 Área de Estadísticas Continuas_x000d__x000a_¢370 000_x000d__x000a_SP314 Unidad de indice de Precios_x000d__x000a_¢616 000_x000d__x000a_SP315 Encuesta Nacional Agrop (ENA)_x000d__x000a_¢250 000_x000d__x000a_SP317 Directorio de Emp y Establec(DEE)_x000d__x000a_¢126 000_x000d__x000a_SP318 Unidad de Estadísticas Económicas_x000d__x000a_¢418 000_x000d__x000a_SP323 ENFIHO-ENIGH (CF)_x000d__x000a_¢380 000_x000d__x000a_SP344 ENADEL Servicio (CF)_x000d__x000a_¢10 000_x000d__x000a_"/>
    <n v="1800000"/>
  </r>
  <r>
    <n v="3"/>
    <x v="23"/>
    <x v="0"/>
    <x v="2"/>
    <x v="2"/>
    <s v="Servicio de energía eléctrica, según consumo. Esta estimación se realiza con base en el promedio real de enero a junio y un promedio proyectado al segundo semestre 2024._x000d__x000a__x000d__x000a_Asignados según el siguiente detalle:_x000d__x000a__x000d__x000a_SP313 Área de Estadísticas Continuas_x000d__x000a_¢1 156 000_x000d__x000a_SP314 Unidad de indice de Precios_x000d__x000a_¢1 928 000_x000d__x000a_SP315 Encuesta Nacional Agrop (ENA)_x000d__x000a_¢786 000_x000d__x000a_SP317 Directorio de Emp y Establec(DEE)_x000d__x000a_¢392 000_x000d__x000a_SP318 Unidad de Estadísticas Económicas_x000d__x000a_¢152 000_x000d__x000a_SP323 ENFIHO-ENIGH (CF)_x000d__x000a_¢1 188 000_x000d__x000a_SP344 ENADEL Servicio (CF)_x000d__x000a_¢34 000_x000d__x000a_"/>
    <n v="5636000"/>
  </r>
  <r>
    <n v="3"/>
    <x v="23"/>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a__x000a_Asignados según el siguiente detalle:_x000a__x000a_SP313 Área de Estadísticas Continuas_x000a_¢ 600 000_x000a_SP314 Unidad de indice de Precios_x000a_¢1 002 000_x000a_SP315 Encuesta Nacional Agrop (ENA)_x000a_¢408 000_x000a_SP317 Directorio de Emp y Establec(DEE)_x000a_¢204 000_x000a_SP318 Unidad de Estadísticas Económicas_x000a_¢80 000_x000a_SP323 ENFIHO-ENIGH (CF)_x000a_¢616 000_x000a_SP344 ENADEL Servicio (CF)_x000a_¢18 000_x000a_"/>
    <n v="2928000"/>
  </r>
  <r>
    <n v="3"/>
    <x v="23"/>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Asignados según el siguiente detalle:_x000d__x000a__x000d__x000a_SP313 Área de Estadísticas Continuas_x000d__x000a_Seguridad ¢1 546 000  / Limpieza ¢1 286 000_x000d__x000a__x000d__x000a_SP314 Unidad de indice de Precios_x000d__x000a_Seguridad ¢2 600 000   / Limpieza ¢2 142 000_x000d__x000a__x000d__x000a_SP315 Encuesta Nacional Agrop (ENA)_x000d__x000a_Seguridad ¢1 050 000   / Limpieza ¢874 000_x000d__x000a__x000d__x000a_SP317 Directorio de Emp y Establec(DEE)_x000d__x000a_Seguridad ¢525 000 / Limpieza ¢436 000_x000d__x000a__x000d__x000a_SP318 Unidad de Estadísticas Económicas_x000d__x000a_Seguridad ¢204 000      / Limpieza ¢170 000_x000d__x000a__x000d__x000a_SP323 ENFIHO-ENIGH (CF)_x000d__x000a_Seguridad ¢1 587 000 / Limpieza ¢1 318 000_x000d__x000a__x000d__x000a_SP344 ENADEL Servicio (CF)_x000d__x000a_Seguridad ¢46 000  / Limpieza ¢38 000"/>
    <n v="13822000"/>
  </r>
  <r>
    <n v="3"/>
    <x v="23"/>
    <x v="0"/>
    <x v="9"/>
    <x v="9"/>
    <s v="RT ¢ 693 000 Seguro de Riesgos del Trabajo que debe cubrir la Institución a los funcionarios por todo el año. La póliza de Riesgos del Trabajo se estima en base al 0,69% del total remuneraciones formulada para el año 2025._x000d__x000a__x000d__x000a_Póliza de Equipo Electrónico ¢ 1 875 000"/>
    <n v="2568000"/>
  </r>
  <r>
    <n v="3"/>
    <x v="23"/>
    <x v="0"/>
    <x v="9"/>
    <x v="9"/>
    <s v="Pago de seguro obligatorio de automoviles institucional, de la ENA un monto de 18 834 000_x000d__x000a_Pago de seguro obligatorio de automoviles institucional, del IPC un monto de 4 484 000_x000d__x000a_"/>
    <n v="23318000"/>
  </r>
  <r>
    <n v="3"/>
    <x v="15"/>
    <x v="0"/>
    <x v="61"/>
    <x v="61"/>
    <s v="1 800 000 para lavado de vehículos institucionales en zona de la ECE"/>
    <n v="1800000"/>
  </r>
  <r>
    <n v="3"/>
    <x v="15"/>
    <x v="0"/>
    <x v="61"/>
    <x v="61"/>
    <s v="Se requiere 1 666 667 para el mantenimiento y reparación de vehículos institucionales de Cartografía (SP 308)_x000a_"/>
    <n v="1700000"/>
  </r>
  <r>
    <n v="3"/>
    <x v="23"/>
    <x v="0"/>
    <x v="61"/>
    <x v="61"/>
    <s v="Se requiere 31 667 000 para el mantenimiento y reparación y 3 700 000 para lavado de vehículos institucionales en zona para la ENA_x000a_Se requiere de 5 000 000 para el mantenimiento y reparación de vehículos institucionales del IPC_x000a__x000d__x000a_"/>
    <n v="40367000"/>
  </r>
  <r>
    <n v="3"/>
    <x v="23"/>
    <x v="1"/>
    <x v="66"/>
    <x v="66"/>
    <s v="Monto correspondiente a la compra de combustible requerido para llevar a cabo el operativo de campo y procesos adscritos a la encuesta_x000d__x000a_"/>
    <n v="31500138"/>
  </r>
  <r>
    <n v="3"/>
    <x v="23"/>
    <x v="1"/>
    <x v="47"/>
    <x v="47"/>
    <s v="Contempla cualquier tipo de sustancia o producto natural, sintético o semisintético y toda mezcla de esas sustancias o productos que se utilicen en personas, para el diagnóstico, prevención, curación y modificación de cualquier función fisiológica.  _x000d__x000a_Incluye los preparados farmacéuticos para uso médico, preparados genéricos y de marcas registradas como ampollas, cápsulas, tabletas, grageas, jarabes, ungüentos, preparados para la higiene bucal y dental, así como productos botánicos pulverizados, molidos o preparados de otra forma, entre otros._x000d__x000a_Para el personal de recolección de datos que desarrolla sus funciones en campo, visitando las unidades de estudio asignadas al Área de Estadísticas Continuas; ENA, IPC, ENADEL."/>
    <n v="2261490"/>
  </r>
  <r>
    <n v="3"/>
    <x v="23"/>
    <x v="1"/>
    <x v="67"/>
    <x v="67"/>
    <s v="Adquisición de materiales y productos que se requieren en la construcción, mantenimiento y reparación de los sistemas eléctricos, telefónicos y de cómputo.  Como ejemplo se citan los siguientes: todo tipo de cable, bombillos, tubos, conectadores, uniones, cajas octogonales, toma corrientes, cajas telefónicas, memoria RAM, tarjetas para cómputo, abanicos internos de computadoras, entre otros._x000d__x000a_Para el personal de recolección de datos que desarrolla sus funciones en campo, visitando las unidades de estudio asignadas al Área de Estadísticas Continuas; ENA, IPC, ENADEL."/>
    <n v="759320"/>
  </r>
  <r>
    <n v="3"/>
    <x v="23"/>
    <x v="1"/>
    <x v="12"/>
    <x v="12"/>
    <s v="ENA: Para la compra de bateria  376 800,  para llantas 4 125 766.40  para diferentes vehículos del INEC _x000a_ENIGH: Para la compra de llantas 2 042 836.60  para diferentes vehículos del INEC _x000a_IPC: Para la compra de bateria 62 800,  para llantas 561 045.80  para diferentes vehículos del INEC _x000a_ENADEL: Para la compra de llantas 280 522.90 para diferentes vehículos del INEC&quot;_x000d__x000a_"/>
    <n v="5126420"/>
  </r>
  <r>
    <n v="3"/>
    <x v="23"/>
    <x v="1"/>
    <x v="39"/>
    <x v="39"/>
    <s v="Contempla las compras de todo tipo de hilados, tejidos de fibras artificiales y naturales y prendas de vestir, incluye tanto la adquisición de los bienes terminados como los materiales para elaborarlos. Se cita como ejemplo: paraguas, uniformes, ropa de cama, cortinas, persianas, alfombras, colchones, cordeles, redes, calzado de vestir, bolsos y otros artículos similares. _x000d__x000a_Para el personal de recolección de datos que desarrolla sus funciones en campo, visitando las unidades de estudio asignadas al Área de Estadísticas Continuas; ENA, IPC, ENADEL."/>
    <n v="3291170"/>
  </r>
  <r>
    <n v="3"/>
    <x v="24"/>
    <x v="2"/>
    <x v="13"/>
    <x v="13"/>
    <s v="Salario base del personal por cargos fijos para cumplir con las actividades permanentes del Instituto, según las Directrices técnicas y metodológicas para la formulación del Presupuesto 2025. "/>
    <n v="229200000"/>
  </r>
  <r>
    <n v="3"/>
    <x v="24"/>
    <x v="2"/>
    <x v="27"/>
    <x v="27"/>
    <s v="Cancelación de tiempo extraordinario del personal que labora en diseño y  análisis de productos para la divulgación, por cualquier eventualidad que se presente y se deba pagar tiempo fuera del horario habitual para  que no se materialice el riesgo de no cumplimiento de las metas._x000a_Tiempo extraordinario para personal de recolección de información, por atrasos en desplazamientos, recolección de precios en ferias del agricultor los fines de semana y cualquier otra eventualidad.  "/>
    <n v="2666000"/>
  </r>
  <r>
    <n v="3"/>
    <x v="24"/>
    <x v="2"/>
    <x v="14"/>
    <x v="14"/>
    <s v="Reconocimiento adicional al salario base que se paga cada vez que el funcionario cumple años de laborar en la institución pública, de acuerdo con la categoría de salarios en que esté ubicado su puesto._x000a_"/>
    <n v="29655000"/>
  </r>
  <r>
    <n v="3"/>
    <x v="24"/>
    <x v="2"/>
    <x v="15"/>
    <x v="15"/>
    <s v="Compensación económica al servidor al que por legislación vigente se le ha impuesto la restricción al ejercicio de la profesión que ostenta en su cargo._x000a_"/>
    <n v="18898000"/>
  </r>
  <r>
    <n v="3"/>
    <x v="24"/>
    <x v="2"/>
    <x v="16"/>
    <x v="16"/>
    <s v="Pago de salario adicional para los funcionarios, en cumplimiento de lo establecido en la ley de aguinaldos para Instituciones Autónomas._x000a_"/>
    <n v="25661000"/>
  </r>
  <r>
    <n v="3"/>
    <x v="24"/>
    <x v="2"/>
    <x v="17"/>
    <x v="17"/>
    <s v="Pago de salario escolar para los funcionarios, en cumplimiento a lo establecido en la ley de salario escolar._x000a_"/>
    <n v="24622000"/>
  </r>
  <r>
    <n v="3"/>
    <x v="24"/>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a_"/>
    <n v="3832000"/>
  </r>
  <r>
    <n v="3"/>
    <x v="24"/>
    <x v="2"/>
    <x v="19"/>
    <x v="19"/>
    <s v="Cuota patronal a la Caja Costarricense de Seguro Social por concepto de salud._x000a_"/>
    <n v="28571000"/>
  </r>
  <r>
    <n v="3"/>
    <x v="24"/>
    <x v="2"/>
    <x v="20"/>
    <x v="20"/>
    <s v="Aporte patronal que se debe cancelar al I.M.A.S, según la Ley N°4760, artículo 3°._x000d__x000a_"/>
    <n v="1544000"/>
  </r>
  <r>
    <n v="3"/>
    <x v="24"/>
    <x v="2"/>
    <x v="21"/>
    <x v="21"/>
    <s v="Aporte patronal que se debe cancelar al I.N.A., según la Ley N°6868, artículo 15."/>
    <n v="4633000"/>
  </r>
  <r>
    <n v="3"/>
    <x v="24"/>
    <x v="2"/>
    <x v="22"/>
    <x v="22"/>
    <s v="Aporte patronal al Fondo de Desarrollo Social y Asignaciones Familiares, según la  Ley N°5662, artículo 15."/>
    <n v="15444000"/>
  </r>
  <r>
    <n v="3"/>
    <x v="24"/>
    <x v="2"/>
    <x v="23"/>
    <x v="23"/>
    <s v="Aporte patronal que se debe cancelar al Banco Popular, según la Ley N°4351, artículo 5°."/>
    <n v="1544000"/>
  </r>
  <r>
    <n v="3"/>
    <x v="24"/>
    <x v="2"/>
    <x v="24"/>
    <x v="24"/>
    <s v="Aporte patronal al Régimen Obligatorio de Pensiones Complementarias, según lo establecido en la Ley de Protección al Trabajador Ley N°7983."/>
    <n v="16741000"/>
  </r>
  <r>
    <n v="3"/>
    <x v="24"/>
    <x v="2"/>
    <x v="25"/>
    <x v="25"/>
    <s v="Aporte patronal al Régimen Obligatorio de Pensiones Complementarias, según lo establecido en la Ley de Protección al Trabajador Ley N°7983."/>
    <n v="9266000"/>
  </r>
  <r>
    <n v="3"/>
    <x v="24"/>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4633000"/>
  </r>
  <r>
    <n v="3"/>
    <x v="24"/>
    <x v="0"/>
    <x v="3"/>
    <x v="3"/>
    <s v="(Planes) Planes postpago para 10 entrevistadores, 1 encargado de campo y 3 supervisores. Los planes son ultra K2 y ultra K4. Con el fin de suplir al personal de medios de comunicación para realizar el operativo telefónico de recolección de datos estadísticos, de igual manera para la comunicación con oficina centrales, supervisor-entrevistador y viceversa."/>
    <n v="5035000"/>
  </r>
  <r>
    <n v="3"/>
    <x v="24"/>
    <x v="0"/>
    <x v="31"/>
    <x v="31"/>
    <s v="(d)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
    <n v="745000"/>
  </r>
  <r>
    <n v="3"/>
    <x v="24"/>
    <x v="0"/>
    <x v="32"/>
    <x v="32"/>
    <s v="(d) 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0 entrevistadores, 3 choferes, 3 supervisores y 1 encargado de campo._x000a_"/>
    <n v="14000000"/>
  </r>
  <r>
    <n v="3"/>
    <x v="24"/>
    <x v="0"/>
    <x v="7"/>
    <x v="7"/>
    <s v="Para la compra de un boleto a Francia para que una persona asista a la reunión bienal sobre Paridades de poder adquisitivo (PPA) organizada por la OCDE y Eurostat, en la que se revisan los datos de las encuestas anteriores y se dan las directrices para las próximas encuestas. "/>
    <n v="1200000"/>
  </r>
  <r>
    <n v="3"/>
    <x v="24"/>
    <x v="0"/>
    <x v="8"/>
    <x v="8"/>
    <s v="Se consideran recursos para  para que una persona asista a la reunión bienal sobre Paridades de poder adquisitivo (PPA) organizada por la OCDE y Eurostat, en la que se revisan los datos de las encuestas anteriores y se dan las directrices para las próximas encuestas. _x000d__x000a_"/>
    <n v="1400000"/>
  </r>
  <r>
    <n v="3"/>
    <x v="24"/>
    <x v="0"/>
    <x v="9"/>
    <x v="9"/>
    <s v="RT ¢ 2 754 000 Seguro de Riesgos del Trabajo que debe cubrir la Institución a los funcionarios por todo el año. La póliza de Riesgos del Trabajo se estima en base al 0,69% del total remuneraciones formulada para el año 2025."/>
    <n v="2754000"/>
  </r>
  <r>
    <n v="3"/>
    <x v="24"/>
    <x v="0"/>
    <x v="10"/>
    <x v="10"/>
    <s v="Para capacitacion anual de Índices de Precios para la  participan de todos los funcionarios de la Unidad, se realiza en julio._x000a_"/>
    <n v="825000"/>
  </r>
  <r>
    <n v="3"/>
    <x v="24"/>
    <x v="0"/>
    <x v="61"/>
    <x v="61"/>
    <s v="Se requiere para el  lavado de vehículos institucionales  utilizados en la recolección de información de los índices._x000d__x000a_"/>
    <n v="3000000"/>
  </r>
  <r>
    <n v="3"/>
    <x v="24"/>
    <x v="3"/>
    <x v="42"/>
    <x v="42"/>
    <s v="Montos previstos en caso de renuncia o despido de funcionarios contratados por el proyecto._x000d__x000a_"/>
    <n v="1400000"/>
  </r>
  <r>
    <n v="3"/>
    <x v="25"/>
    <x v="2"/>
    <x v="13"/>
    <x v="13"/>
    <s v="Salario base del personal por cargos fijos para cumplir con las actividades permanentes del Instituto, según las Directrices técnicas y metodológicas para la formulación del Presupuesto 2025. "/>
    <n v="227065000"/>
  </r>
  <r>
    <n v="3"/>
    <x v="25"/>
    <x v="2"/>
    <x v="70"/>
    <x v="70"/>
    <s v="Salario base del personal por servicios especiales  para cumplir con las actividades de  Proyectos Especiales, según las Directrices técnicas y metodológicas para la formulación del Presupuesto 2025, Decretos y directriz Presidencial emitidas para este fin.  _x000d__x000a_"/>
    <n v="12554000"/>
  </r>
  <r>
    <n v="3"/>
    <x v="25"/>
    <x v="2"/>
    <x v="27"/>
    <x v="27"/>
    <s v="Cancelación de tiempo extraordinario del personal que labora en la encuesta, recolectando la información en las fincas seleccionadas en la muestra, para 19 entrevistadores, 5 supervisores, encargado de recolección y 3 choferes (primer trimestre). Este tiempo se tiene previsto por  cualquier eventualidad por atrasos en desplazamientos, citas que solicitan los informantes fuera del horario laboral, y cubrir incapacidades o renuncias de personal entrevistador que deben suplirse con personal de otras zonas._x000d__x000a_"/>
    <n v="5183000"/>
  </r>
  <r>
    <n v="3"/>
    <x v="25"/>
    <x v="2"/>
    <x v="14"/>
    <x v="14"/>
    <s v="Reconocimiento adicional al salario base que se paga cada vez que el funcionario cumple años de laborar en la institución pública, de acuerdo con la categoría de salarios en que esté ubicado su puesto."/>
    <n v="22168000"/>
  </r>
  <r>
    <n v="3"/>
    <x v="25"/>
    <x v="2"/>
    <x v="15"/>
    <x v="15"/>
    <s v="Compensación económica al servidor al que por legislación vigente se le ha impuesto la restricción al ejercicio de la profesión que ostenta en su cargo._x000d__x000a_"/>
    <n v="17937000"/>
  </r>
  <r>
    <n v="3"/>
    <x v="25"/>
    <x v="2"/>
    <x v="16"/>
    <x v="16"/>
    <s v="Pago de salario adicional para los funcionarios, en cumplimiento de lo establecido en la ley de aguinaldos para Instituciones Autónomas."/>
    <n v="26023000"/>
  </r>
  <r>
    <n v="3"/>
    <x v="25"/>
    <x v="2"/>
    <x v="17"/>
    <x v="17"/>
    <s v="Pago de salario escolar para los funcionarios, en cumplimiento a lo establecido en la ley de salario escolar._x000d__x000a_"/>
    <n v="25009000"/>
  </r>
  <r>
    <n v="3"/>
    <x v="25"/>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_x000d__x000a_"/>
    <n v="3355000"/>
  </r>
  <r>
    <n v="3"/>
    <x v="25"/>
    <x v="2"/>
    <x v="19"/>
    <x v="19"/>
    <s v="Cuota patronal a la Caja Costarricense de Seguro Social por concepto de salud._x000d__x000a_"/>
    <n v="28978000"/>
  </r>
  <r>
    <n v="3"/>
    <x v="25"/>
    <x v="2"/>
    <x v="20"/>
    <x v="20"/>
    <s v="Aporte patronal que se debe cancelar al I.M.A.S, según la Ley N°4760, artículo 3°._x000d__x000a_"/>
    <n v="1566000"/>
  </r>
  <r>
    <n v="3"/>
    <x v="25"/>
    <x v="2"/>
    <x v="21"/>
    <x v="21"/>
    <s v="Aporte patronal que se debe cancelar al I.N.A., según la Ley N°6868, artículo 15._x000a__x000d__x000a_"/>
    <n v="4699000"/>
  </r>
  <r>
    <n v="3"/>
    <x v="25"/>
    <x v="2"/>
    <x v="22"/>
    <x v="22"/>
    <s v="Aporte patronal al Fondo de Desarrollo Social y Asignaciones Familiares, según la  Ley N°5662, artículo 15._x000d__x000a_"/>
    <n v="15664000"/>
  </r>
  <r>
    <n v="3"/>
    <x v="25"/>
    <x v="2"/>
    <x v="23"/>
    <x v="23"/>
    <s v="Aporte patronal que se debe cancelar al Banco Popular, según la Ley N°4351, artículo 5°._x000d__x000a_"/>
    <n v="1566000"/>
  </r>
  <r>
    <n v="3"/>
    <x v="25"/>
    <x v="2"/>
    <x v="24"/>
    <x v="24"/>
    <s v="Aporte patronal al Régimen Obligatorio de Pensiones Complementarias, según lo establecido en la Ley de Protección al Trabajador Ley N°7983._x000d__x000a_"/>
    <n v="16979000"/>
  </r>
  <r>
    <n v="3"/>
    <x v="25"/>
    <x v="2"/>
    <x v="25"/>
    <x v="25"/>
    <s v="Aporte patronal al Régimen Obligatorio de Pensiones Complementarias, según lo establecido en la Ley de Protección al Trabajador Ley N°7983._x000d__x000a_"/>
    <n v="9398000"/>
  </r>
  <r>
    <n v="3"/>
    <x v="25"/>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4699000"/>
  </r>
  <r>
    <n v="3"/>
    <x v="25"/>
    <x v="0"/>
    <x v="3"/>
    <x v="3"/>
    <s v="Comprende el pago de planes postpago  con el fin de suplir al personal entrevistador y supervisor de medios de comunicación para realizar el operativo telefónico de recolección de datos estadísticos en las fincas de la muestra. Esta estimación se realiza con base en el promedio real de enero a junio  2024._x000a__x000a_8.567.000  para 19 entrevistadores, 1 encargado de campo y 5 supervisores durante todo el año. Los planes son ultra K4."/>
    <n v="8567000"/>
  </r>
  <r>
    <n v="3"/>
    <x v="25"/>
    <x v="0"/>
    <x v="31"/>
    <x v="31"/>
    <s v="(a) 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_x000a_"/>
    <n v="210000"/>
  </r>
  <r>
    <n v="3"/>
    <x v="25"/>
    <x v="0"/>
    <x v="32"/>
    <x v="32"/>
    <s v="(a) 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9 entrevistadores, 5 choferes durante el primer trimestre y dos choferes despues del primer trimestre, 5 supervisores y 1 encargado de campo._x000a_"/>
    <n v="50000000"/>
  </r>
  <r>
    <n v="3"/>
    <x v="25"/>
    <x v="0"/>
    <x v="9"/>
    <x v="9"/>
    <s v="RT ¢ 2 928 000 Seguro de Riesgos del Trabajo que debe cubrir la Institución a los funcionarios por todo el año. La póliza de Riesgos del Trabajo se estima en base al 0,69% del total remuneraciones formulada para el año 2025."/>
    <n v="2928000"/>
  </r>
  <r>
    <n v="3"/>
    <x v="25"/>
    <x v="0"/>
    <x v="10"/>
    <x v="10"/>
    <s v="Considera los gastos por la prestación de servicios destinados a la inauguración y clausura, formación, actualización y desarrollo del conocimiento, que se contratan con personas físicas y jurídicas. _x000a_Para capacitacion anual ENA en donde participan todos los funcionarios de la encuesta, se realiza en el mes de julio y se deben hospedar los funcionarios que residen en zonas._x000a__x000d__x000a_"/>
    <n v="6000000"/>
  </r>
  <r>
    <n v="3"/>
    <x v="25"/>
    <x v="3"/>
    <x v="42"/>
    <x v="42"/>
    <s v="Montos previstos en caso de renuncia o despido de funcionarios contratados por el proyecto._x000d__x000a_"/>
    <n v="1400000"/>
  </r>
  <r>
    <n v="3"/>
    <x v="26"/>
    <x v="2"/>
    <x v="13"/>
    <x v="13"/>
    <s v="Salario base del personal por cargos fijos para cumplir con las actividades permanentes del Instituto, según las Directrices técnicas y metodológicas para la formulación del Presupuesto 2025. "/>
    <n v="94154000"/>
  </r>
  <r>
    <n v="3"/>
    <x v="26"/>
    <x v="2"/>
    <x v="27"/>
    <x v="27"/>
    <s v="Cancelación de tiempo extraordinario del personal que labora en el dierctorio, por cualquier eventualidad que se presente y que ponga en riesgo de cumplimiento de las metas como cubrir incapacidades o renuncias de personal entrevistador que deben suplirse con personal que tiene asignado otras cargas de trabajo._x000a__x000d__x000a_"/>
    <n v="1950000"/>
  </r>
  <r>
    <n v="3"/>
    <x v="26"/>
    <x v="2"/>
    <x v="14"/>
    <x v="14"/>
    <s v="Reconocimiento adicional al salario base que se paga cada vez que el funcionario cumple años de laborar en la institución pública, de acuerdo con la categoría de salarios en que esté ubicado su puesto._x000d__x000a_"/>
    <n v="6563000"/>
  </r>
  <r>
    <n v="3"/>
    <x v="26"/>
    <x v="2"/>
    <x v="15"/>
    <x v="15"/>
    <s v="Compensación económica al servidor al que por legislación vigente se le ha impuesto la restricción al ejercicio de la profesión que ostenta en su cargo."/>
    <n v="10130000"/>
  </r>
  <r>
    <n v="3"/>
    <x v="26"/>
    <x v="2"/>
    <x v="16"/>
    <x v="16"/>
    <s v="Pago de salario adicional para los funcionarios, en cumplimiento de lo establecido en la ley de aguinaldos para Instituciones Autónomas."/>
    <n v="10347000"/>
  </r>
  <r>
    <n v="3"/>
    <x v="26"/>
    <x v="2"/>
    <x v="17"/>
    <x v="17"/>
    <s v="Pago de salario escolar para los funcionarios, en cumplimiento a lo establecido en la ley de salario escolar."/>
    <n v="9744000"/>
  </r>
  <r>
    <n v="3"/>
    <x v="26"/>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814000"/>
  </r>
  <r>
    <n v="3"/>
    <x v="26"/>
    <x v="2"/>
    <x v="19"/>
    <x v="19"/>
    <s v="Cuota patronal a la Caja Costarricense de Seguro Social por concepto de salud."/>
    <n v="11503000"/>
  </r>
  <r>
    <n v="3"/>
    <x v="26"/>
    <x v="2"/>
    <x v="20"/>
    <x v="20"/>
    <s v="Aporte patronal que se debe cancelar al I.M.A.S, según la Ley N°4760, artículo 3°._x000d__x000a_"/>
    <n v="622000"/>
  </r>
  <r>
    <n v="3"/>
    <x v="26"/>
    <x v="2"/>
    <x v="21"/>
    <x v="21"/>
    <s v="Aporte patronal que se debe cancelar al I.N.A., según la Ley N°6868, artículo 15._x000d__x000a_"/>
    <n v="1865000"/>
  </r>
  <r>
    <n v="3"/>
    <x v="26"/>
    <x v="2"/>
    <x v="22"/>
    <x v="22"/>
    <s v="Aporte patronal al Fondo de Desarrollo Social y Asignaciones Familiares, según la  Ley N°5662, artículo 15."/>
    <n v="6218000"/>
  </r>
  <r>
    <n v="3"/>
    <x v="26"/>
    <x v="2"/>
    <x v="23"/>
    <x v="23"/>
    <s v="Aporte patronal que se debe cancelar al Banco Popular, según la Ley N°4351, artículo 5°."/>
    <n v="622000"/>
  </r>
  <r>
    <n v="3"/>
    <x v="26"/>
    <x v="2"/>
    <x v="24"/>
    <x v="24"/>
    <s v="Aporte patronal al Régimen Obligatorio de Pensiones Complementarias, según lo establecido en la Ley de Protección al Trabajador Ley N°7983."/>
    <n v="6740000"/>
  </r>
  <r>
    <n v="3"/>
    <x v="26"/>
    <x v="2"/>
    <x v="25"/>
    <x v="25"/>
    <s v="Aporte patronal al Régimen Obligatorio de Pensiones Complementarias, según lo establecido en la Ley de Protección al Trabajador Ley N°7983."/>
    <n v="3731000"/>
  </r>
  <r>
    <n v="3"/>
    <x v="26"/>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865000"/>
  </r>
  <r>
    <n v="3"/>
    <x v="26"/>
    <x v="0"/>
    <x v="9"/>
    <x v="9"/>
    <s v="RT ¢ 1 158 000 Seguro de Riesgos del Trabajo que debe cubrir la Institución a los funcionarios por todo el año. La póliza de Riesgos del Trabajo se estima en base al 0,69% del total remuneraciones formulada para el año 2025."/>
    <n v="1158000"/>
  </r>
  <r>
    <n v="3"/>
    <x v="26"/>
    <x v="3"/>
    <x v="42"/>
    <x v="42"/>
    <s v="Montos previstos en caso de renuncia o despido de funcionarios contratados por el proyecto._x000d__x000a_"/>
    <n v="1400000"/>
  </r>
  <r>
    <n v="3"/>
    <x v="27"/>
    <x v="2"/>
    <x v="13"/>
    <x v="13"/>
    <s v="Salario base del personal por cargos fijos para cumplir con las actividades permanentes del Instituto, según las Directrices técnicas y metodológicas para la formulación del Presupuesto 2025. "/>
    <n v="72910000"/>
  </r>
  <r>
    <n v="3"/>
    <x v="27"/>
    <x v="2"/>
    <x v="27"/>
    <x v="27"/>
    <s v="Cancelación de tiempo extraordinario del personal que labora para el programa y proyectos que deba realizara trabajos extraordinarios fuera del tiempo laboral_x000d__x000a_"/>
    <n v="184000"/>
  </r>
  <r>
    <n v="3"/>
    <x v="27"/>
    <x v="2"/>
    <x v="14"/>
    <x v="14"/>
    <s v="Reconocimiento adicional al salario base que se paga cada vez que el funcionario cumple años de laborar en la institución pública, de acuerdo con la categoría de salarios en que esté ubicado su puesto."/>
    <n v="7553000"/>
  </r>
  <r>
    <n v="3"/>
    <x v="27"/>
    <x v="2"/>
    <x v="15"/>
    <x v="15"/>
    <s v="Compensación económica al servidor al que por legislación vigente se le ha impuesto la restricción al ejercicio de la profesión que ostenta en su cargo."/>
    <n v="9729000"/>
  </r>
  <r>
    <n v="3"/>
    <x v="27"/>
    <x v="2"/>
    <x v="16"/>
    <x v="16"/>
    <s v="Pago de salario adicional para los funcionarios, en cumplimiento de lo establecido en la ley de aguinaldos para Instituciones Autónomas."/>
    <n v="8385000"/>
  </r>
  <r>
    <n v="3"/>
    <x v="27"/>
    <x v="2"/>
    <x v="17"/>
    <x v="17"/>
    <s v="Pago de salario escolar para los funcionarios, en cumplimiento a lo establecido en la ley de salario escolar._x000d__x000a_"/>
    <n v="7870000"/>
  </r>
  <r>
    <n v="3"/>
    <x v="27"/>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509000"/>
  </r>
  <r>
    <n v="3"/>
    <x v="27"/>
    <x v="2"/>
    <x v="19"/>
    <x v="19"/>
    <s v="Cuota patronal a la Caja Costarricense de Seguro Social por concepto de salud."/>
    <n v="9320000"/>
  </r>
  <r>
    <n v="3"/>
    <x v="27"/>
    <x v="2"/>
    <x v="20"/>
    <x v="20"/>
    <s v="Aporte patronal que se debe cancelar al I.M.A.S, según la Ley N°4760, artículo 3°."/>
    <n v="504000"/>
  </r>
  <r>
    <n v="3"/>
    <x v="27"/>
    <x v="2"/>
    <x v="21"/>
    <x v="21"/>
    <s v="Aporte patronal que se debe cancelar al I.N.A., según la Ley N°6868, artículo 15._x000d__x000a_"/>
    <n v="1511000"/>
  </r>
  <r>
    <n v="3"/>
    <x v="27"/>
    <x v="2"/>
    <x v="22"/>
    <x v="22"/>
    <s v="Aporte patronal al Fondo de Desarrollo Social y Asignaciones Familiares, según la  Ley N°5662, artículo 15."/>
    <n v="5038000"/>
  </r>
  <r>
    <n v="3"/>
    <x v="27"/>
    <x v="2"/>
    <x v="23"/>
    <x v="23"/>
    <s v="Aporte patronal que se debe cancelar al Banco Popular, según la Ley N°4351, artículo 5°._x000d__x000a_"/>
    <n v="504000"/>
  </r>
  <r>
    <n v="3"/>
    <x v="27"/>
    <x v="2"/>
    <x v="24"/>
    <x v="24"/>
    <s v="Aporte patronal al Régimen Obligatorio de Pensiones Complementarias, según lo establecido en la Ley de Protección al Trabajador Ley N°7983."/>
    <n v="5461000"/>
  </r>
  <r>
    <n v="3"/>
    <x v="27"/>
    <x v="2"/>
    <x v="25"/>
    <x v="25"/>
    <s v="Aporte patronal al Régimen Obligatorio de Pensiones Complementarias, según lo establecido en la Ley de Protección al Trabajador Ley N°7983._x000d__x000a_"/>
    <n v="3023000"/>
  </r>
  <r>
    <n v="3"/>
    <x v="27"/>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511000"/>
  </r>
  <r>
    <n v="3"/>
    <x v="27"/>
    <x v="0"/>
    <x v="32"/>
    <x v="32"/>
    <s v="(a)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1 chofer 4 veces al año, una vez por trimestre._x000a_"/>
    <n v="80000"/>
  </r>
  <r>
    <n v="3"/>
    <x v="27"/>
    <x v="0"/>
    <x v="9"/>
    <x v="9"/>
    <s v="RT ¢ 938 000 Seguro de Riesgos del Trabajo que debe cubrir la Institución a los funcionarios por todo el año. La póliza de Riesgos del Trabajo se estima en base al 0,69% del total remuneraciones formulada para el año 2025."/>
    <n v="938000"/>
  </r>
  <r>
    <n v="3"/>
    <x v="28"/>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1085037000"/>
  </r>
  <r>
    <n v="3"/>
    <x v="28"/>
    <x v="2"/>
    <x v="27"/>
    <x v="27"/>
    <s v="Cancelación de tiempo extraordinario del personal que labora para el programa y proyectos que deba realizara trabajos extraordinarios fuera del tiempo laboral"/>
    <n v="15500000"/>
  </r>
  <r>
    <n v="3"/>
    <x v="28"/>
    <x v="2"/>
    <x v="16"/>
    <x v="16"/>
    <s v="Pago de salario adicional para los funcionarios, en cumplimiento de lo establecido en la ley de aguinaldos para Instituciones Autónomas."/>
    <n v="99351000"/>
  </r>
  <r>
    <n v="3"/>
    <x v="28"/>
    <x v="2"/>
    <x v="17"/>
    <x v="17"/>
    <s v="Pago de salario escolar para los funcionarios, en cumplimiento a lo establecido en la ley de salario escolar."/>
    <n v="91675000"/>
  </r>
  <r>
    <n v="3"/>
    <x v="28"/>
    <x v="2"/>
    <x v="19"/>
    <x v="19"/>
    <s v="Cuota patronal a la Caja Costarricense de Seguro Social por concepto de salud."/>
    <n v="110280000"/>
  </r>
  <r>
    <n v="3"/>
    <x v="28"/>
    <x v="2"/>
    <x v="20"/>
    <x v="20"/>
    <s v="Aporte patronal que se debe cancelar al I.M.A.S, según la Ley N°4760, artículo 3°."/>
    <n v="5961000"/>
  </r>
  <r>
    <n v="3"/>
    <x v="28"/>
    <x v="2"/>
    <x v="21"/>
    <x v="21"/>
    <s v="Aporte patronal que se debe cancelar al I.N.A., según la Ley N°6868, artículo 15."/>
    <n v="17883000"/>
  </r>
  <r>
    <n v="3"/>
    <x v="28"/>
    <x v="2"/>
    <x v="22"/>
    <x v="22"/>
    <s v="Aporte patronal al Fondo de Desarrollo Social y Asignaciones Familiares, según la  Ley N°5662, artículo 15."/>
    <n v="59611000"/>
  </r>
  <r>
    <n v="3"/>
    <x v="28"/>
    <x v="2"/>
    <x v="23"/>
    <x v="23"/>
    <s v="Aporte patronal que se debe cancelar al Banco Popular, según la Ley N°4351, artículo 5°."/>
    <n v="5961000"/>
  </r>
  <r>
    <n v="3"/>
    <x v="28"/>
    <x v="2"/>
    <x v="24"/>
    <x v="24"/>
    <s v="Contribución Patronal al Seguro de Pensiones  de la Caja Costarricense de Seguro Social, según lo establecido en la Ley de Protección al Trabajador Ley N°7983."/>
    <n v="64618000"/>
  </r>
  <r>
    <n v="3"/>
    <x v="28"/>
    <x v="2"/>
    <x v="25"/>
    <x v="25"/>
    <s v="Aporte patronal al Régimen Obligatorio de Pensiones Complementarias, según lo establecido en la Ley de Protección al Trabajador Ley N°7983."/>
    <n v="35766000"/>
  </r>
  <r>
    <n v="3"/>
    <x v="28"/>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7883000"/>
  </r>
  <r>
    <n v="3"/>
    <x v="28"/>
    <x v="0"/>
    <x v="3"/>
    <x v="3"/>
    <s v="(Planes) Se contempla el pago de los planes de datos requeridos durante la verificación cartográfica de campo por parte de las agencias censales para el Censo Nacional Agropecuario."/>
    <n v="13200000"/>
  </r>
  <r>
    <n v="3"/>
    <x v="28"/>
    <x v="0"/>
    <x v="60"/>
    <x v="60"/>
    <s v="Se consideran recursos para el pago del servicio de grúas y servicios de chapulines de la flota institucional"/>
    <n v="150000"/>
  </r>
  <r>
    <n v="3"/>
    <x v="28"/>
    <x v="0"/>
    <x v="49"/>
    <x v="49"/>
    <s v="Gestión del proyecto de tecnología: ¢ 54 000 000 se requiere una persona con amplia experiencia y conocimiento en gestión de proyectos de TI, que oriente al equipo de trabajo, que planifique y distribuya las actividades y tareas de forma eficiente y con calidad para cumplir con los plazos establecidos. Actualmente la UTSI no cuenta con personal que cumpla ese perfil con la experiencia necesaria para un proyecto masivo como el Cenagro y no puede ser asumido por la coordinación de la unidad debido a la saturación de tareas. Por tanto, se considera necesario realizar una contratación externa_x000a_"/>
    <n v="54000000"/>
  </r>
  <r>
    <n v="3"/>
    <x v="28"/>
    <x v="0"/>
    <x v="49"/>
    <x v="49"/>
    <s v="Evaluación de calidad y pruebas (QA): un aspecto fundamental para el éxito de cualquier desarrollo informático es el aseguramiento de la calidad, por medio de pruebas, “testing” , evaluaciones, revisiones, entre otros. Por tanto, durante todo el proyecto se requiere contratar personal especializado que se dedique exclusivamente a la evaluación de todos los sistemas que se estarán desarrollando. Actualmente el INEC no dispone de un proceso formalizado de gestión de la calidad, así mismo la UTSI no cuenta con personal especializado en esa temática y por tanto se considera necesario contratar el servicio de forma externa."/>
    <n v="17000000"/>
  </r>
  <r>
    <n v="3"/>
    <x v="28"/>
    <x v="0"/>
    <x v="5"/>
    <x v="5"/>
    <s v="Se consideran 400 000 para el pago del servicio de monitoreo de los vehículos institucionales de CENAGRO"/>
    <n v="400000"/>
  </r>
  <r>
    <n v="3"/>
    <x v="28"/>
    <x v="0"/>
    <x v="31"/>
    <x v="31"/>
    <s v="Pago estimado por traslados en autobús, taxi, ferry, lancha y peajes requeridos durante la verificación cartográfica de campo por parte de las agencias censales para el Censo Nacional Agropecuario."/>
    <n v="600000"/>
  </r>
  <r>
    <n v="3"/>
    <x v="28"/>
    <x v="0"/>
    <x v="32"/>
    <x v="32"/>
    <s v="Se contempla el pago de los viáticos de alimentación y hospedaje para la verificación cartográfica en campo por parte de las agencias censales para el Censo Nacional Agropecuario."/>
    <n v="67500000"/>
  </r>
  <r>
    <n v="3"/>
    <x v="28"/>
    <x v="0"/>
    <x v="7"/>
    <x v="7"/>
    <s v="Se estima el costo del transporte requerido para llevar a cabo una pasantia en Paraguay durante 5 días para 3 personas, con el objetivo de conocer la experiencia del Censo Agropecuario Nacional 2022, del Instituto Nacional de Estadística de Paraguay. Esto con el fin de analizar la experiencia y las recomendaciones que tengan en Cartografía, Diseño, Recolección, seguimiento y procesamiento de la información."/>
    <n v="1500000"/>
  </r>
  <r>
    <n v="3"/>
    <x v="28"/>
    <x v="0"/>
    <x v="8"/>
    <x v="8"/>
    <s v="Se estiman viáticos de alimentación para llevar a cabo una pasantia en Paraguay durante 5 días para 3 personas, con el objetivo de conocer la experiencia del Censo Agropecuario Nacional 2022, del Instituto Nacional de Estadística de Paraguay. Esto con el fin de analizar la experiencia y las recomendaciones que tengan en Cartografía, Diseño, Recolección, seguimiento y procesamiento de la información."/>
    <n v="1950000"/>
  </r>
  <r>
    <n v="3"/>
    <x v="28"/>
    <x v="0"/>
    <x v="9"/>
    <x v="9"/>
    <s v="RT ¢ 11 106 000 Seguro de Riesgos del Trabajo que debe cubrir la Institución a los funcionarios por todo el año. La póliza de Riesgos del Trabajo se estima en base al 0,69% del total remuneraciones formulada para el año 2025."/>
    <n v="11106000"/>
  </r>
  <r>
    <n v="3"/>
    <x v="28"/>
    <x v="0"/>
    <x v="10"/>
    <x v="10"/>
    <s v="Se estiman recursos para la capacitación del personal de campo (agentes y subagentes censales), en la cual se les brinda la capacitación técnica que necesitan para desempeñar el puesto, asi como todo lo correspondiente a procesos administrativos que deben conocer (¢19 000 000). Asimismo, tambien se incluye la alimentación necesaria para llevar a cabo el proceso de consulta a usuarios con personas externa, en la cual se estima la participación de 90 personas distribuidas en al menos cinco talleres presenciales (¢220 000)."/>
    <n v="19220000"/>
  </r>
  <r>
    <n v="3"/>
    <x v="28"/>
    <x v="0"/>
    <x v="61"/>
    <x v="61"/>
    <s v="Se requiere 19 300 000 para el mantenimiento y reparación y 1 850 000 para lavado de vehículos institucionales en zona de CENAGRO"/>
    <n v="21150000"/>
  </r>
  <r>
    <n v="3"/>
    <x v="28"/>
    <x v="0"/>
    <x v="34"/>
    <x v="34"/>
    <s v="Para el pago de derechos de circulación de la flotilla asignada a CENAGRO "/>
    <n v="350000"/>
  </r>
  <r>
    <n v="3"/>
    <x v="28"/>
    <x v="0"/>
    <x v="65"/>
    <x v="65"/>
    <s v="Pago administrativo de los dispositivos quick pass por concepto de peaje requeridos para la encuesta"/>
    <n v="30000"/>
  </r>
  <r>
    <n v="3"/>
    <x v="28"/>
    <x v="1"/>
    <x v="66"/>
    <x v="66"/>
    <s v="Se contempla la compra del combustible necesario para la verificación cartográfica de campo por parte de las agencias censales para el Censo Nacional Agropecuario."/>
    <n v="27000634"/>
  </r>
  <r>
    <n v="3"/>
    <x v="28"/>
    <x v="1"/>
    <x v="47"/>
    <x v="47"/>
    <s v="Productos farmacéuticos requeridos para la adecuada desinfección, prevención y cumplimiento de protocolos sanitarios durante la ejecución de los operativos de campo. Se incluye alcohol en gel, bloqueadores y repelentes."/>
    <n v="1628250"/>
  </r>
  <r>
    <n v="3"/>
    <x v="28"/>
    <x v="1"/>
    <x v="67"/>
    <x v="67"/>
    <s v="Se contempla la compra de materiales como cargadores de tablet, cargadores y baterias de computadoras portátiles necesarios para los equipos utilizados durante la recolección de la verificación cartográfica de campo por parte de las agencias censales para el Censo Nacional Agropecuario."/>
    <n v="500000"/>
  </r>
  <r>
    <n v="3"/>
    <x v="28"/>
    <x v="1"/>
    <x v="12"/>
    <x v="12"/>
    <s v="Se contempla la compra de inversores para cargar los dispositivos móviles en los vehiculos durante el operativo de campo de las encuestas, asi como repuestos y accesorios para los vehículos intitucionales."/>
    <n v="1558350"/>
  </r>
  <r>
    <n v="3"/>
    <x v="28"/>
    <x v="1"/>
    <x v="56"/>
    <x v="56"/>
    <s v="Útiles y materiales de oficina requeridos durante la durante la verificación cartográfica de campo por parte de las agencias censales para el Censo Nacional Agropecuario."/>
    <n v="1853460"/>
  </r>
  <r>
    <n v="3"/>
    <x v="28"/>
    <x v="1"/>
    <x v="44"/>
    <x v="44"/>
    <s v="a"/>
    <n v="52500"/>
  </r>
  <r>
    <n v="3"/>
    <x v="28"/>
    <x v="1"/>
    <x v="45"/>
    <x v="45"/>
    <s v="Productos de papel requeridos  la durante la verificación cartográfica de campo por parte de las agencias censales para el Censo Nacional Agropecuario."/>
    <n v="340730"/>
  </r>
  <r>
    <n v="3"/>
    <x v="28"/>
    <x v="1"/>
    <x v="39"/>
    <x v="39"/>
    <s v="Textiles requeridos para ser utilizados  la durante la verificación cartográfica de campo por parte de las agencias censales para el Censo Nacional Agropecuario."/>
    <n v="7933810"/>
  </r>
  <r>
    <n v="3"/>
    <x v="28"/>
    <x v="1"/>
    <x v="40"/>
    <x v="40"/>
    <s v="Se incluye la compra de cajas plásticas requeridas para el traslado del material de trabajo de campo."/>
    <n v="284800"/>
  </r>
  <r>
    <n v="3"/>
    <x v="28"/>
    <x v="4"/>
    <x v="71"/>
    <x v="71"/>
    <s v="Se requiere la adquisisción de 16 vehículos tipo 4x4 para personal de las agencias censales de CENAGRO las cuales se encuentran distribuidas en tod el territorio nacional."/>
    <n v="300000000"/>
  </r>
  <r>
    <n v="3"/>
    <x v="28"/>
    <x v="4"/>
    <x v="51"/>
    <x v="51"/>
    <m/>
    <n v="213866468.75"/>
  </r>
  <r>
    <n v="3"/>
    <x v="28"/>
    <x v="4"/>
    <x v="52"/>
    <x v="52"/>
    <m/>
    <n v="19339073"/>
  </r>
  <r>
    <n v="3"/>
    <x v="28"/>
    <x v="3"/>
    <x v="42"/>
    <x v="42"/>
    <s v="Montos previstos en caso de renuncia o despido de funcionarios contratados por el proyecto."/>
    <n v="2000000"/>
  </r>
  <r>
    <n v="3"/>
    <x v="29"/>
    <x v="2"/>
    <x v="13"/>
    <x v="13"/>
    <s v="Salario base del personal por cargos fijos para cumplir con las actividades permanentes del Instituto, según las Directrices técnicas y metodológicas para la formulación del Presupuesto 2025."/>
    <n v="27678000"/>
  </r>
  <r>
    <n v="3"/>
    <x v="29"/>
    <x v="2"/>
    <x v="14"/>
    <x v="14"/>
    <s v="Reconocimiento adicional al salario base que se paga cada vez que el funcionario cumple años de laborar en la institución pública, de acuerdo con la categoría de salarios en que esté ubicado su puesto."/>
    <n v="3679000"/>
  </r>
  <r>
    <n v="3"/>
    <x v="29"/>
    <x v="2"/>
    <x v="15"/>
    <x v="15"/>
    <s v="Compensación económica al servidor al que por legislación vigente se le ha impuesto la restricción al ejercicio de la profesión que ostenta en su cargo."/>
    <n v="2302000"/>
  </r>
  <r>
    <n v="3"/>
    <x v="29"/>
    <x v="2"/>
    <x v="16"/>
    <x v="16"/>
    <s v="Pago de salario adicional para los funcionarios, en cumplimiento de lo establecido en la ley de aguinaldos para Instituciones Autónomas."/>
    <n v="3046000"/>
  </r>
  <r>
    <n v="3"/>
    <x v="29"/>
    <x v="2"/>
    <x v="17"/>
    <x v="17"/>
    <s v="Pago de salario escolar para los funcionarios, en cumplimiento a lo establecido en la ley de salario escolar."/>
    <n v="2811000"/>
  </r>
  <r>
    <n v="3"/>
    <x v="29"/>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82000"/>
  </r>
  <r>
    <n v="3"/>
    <x v="29"/>
    <x v="2"/>
    <x v="19"/>
    <x v="19"/>
    <s v="Cuota patronal a la Caja Costarricense de Seguro Social por concepto de salud."/>
    <n v="3381000"/>
  </r>
  <r>
    <n v="3"/>
    <x v="29"/>
    <x v="2"/>
    <x v="20"/>
    <x v="20"/>
    <s v="Aporte patronal que se debe cancelar al I.M.A.S, según la Ley N°4760, artículo 3°."/>
    <n v="183000"/>
  </r>
  <r>
    <n v="3"/>
    <x v="29"/>
    <x v="2"/>
    <x v="21"/>
    <x v="21"/>
    <s v="Aporte patronal que se debe cancelar al I.N.A., según la Ley N°6868, artículo 15."/>
    <n v="548000"/>
  </r>
  <r>
    <n v="3"/>
    <x v="29"/>
    <x v="2"/>
    <x v="22"/>
    <x v="22"/>
    <s v="Aporte patronal al Fondo de Desarrollo Social y Asignaciones Familiares, según la  Ley N°5662, artículo 15."/>
    <n v="1828000"/>
  </r>
  <r>
    <n v="3"/>
    <x v="29"/>
    <x v="2"/>
    <x v="23"/>
    <x v="23"/>
    <s v="Aporte patronal que se debe cancelar al Banco Popular, según la Ley N°4351, artículo 5°."/>
    <n v="183000"/>
  </r>
  <r>
    <n v="3"/>
    <x v="29"/>
    <x v="2"/>
    <x v="24"/>
    <x v="24"/>
    <s v="Contribución Patronal al Seguro de Pensiones  de la Caja Costarricense de Seguro Social, según lo establecido en la Ley de Protección al Trabajador Ley N°7983."/>
    <n v="1981000"/>
  </r>
  <r>
    <n v="3"/>
    <x v="29"/>
    <x v="2"/>
    <x v="25"/>
    <x v="25"/>
    <s v="Aporte patronal al Régimen Obligatorio de Pensiones Complementarias, según lo establecido en la Ley de Protección al Trabajador Ley N°7983."/>
    <n v="1097000"/>
  </r>
  <r>
    <n v="3"/>
    <x v="29"/>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548000"/>
  </r>
  <r>
    <n v="3"/>
    <x v="28"/>
    <x v="0"/>
    <x v="9"/>
    <x v="9"/>
    <s v="Pago de seguro obligatorio de automoviles institucional"/>
    <n v="20000000"/>
  </r>
  <r>
    <n v="3"/>
    <x v="29"/>
    <x v="0"/>
    <x v="9"/>
    <x v="9"/>
    <s v="RT ¢ 340 000 Seguro de Riesgos del Trabajo que debe cubrir la Institución a los funcionarios por todo el año. La póliza de Riesgos del Trabajo se estima en base al 0,69% del total remuneraciones formulada para el año 2025."/>
    <n v="340000"/>
  </r>
  <r>
    <n v="3"/>
    <x v="30"/>
    <x v="3"/>
    <x v="35"/>
    <x v="35"/>
    <s v="Aportes que la institución transfiere a los órganos que integran el Gobierno Central, para atender gastos corrientes.  Según oficio DGI-GIE-0002-2024 Transferencia a Hacienda del E.E.E"/>
    <n v="411894272"/>
  </r>
  <r>
    <n v="3"/>
    <x v="31"/>
    <x v="2"/>
    <x v="13"/>
    <x v="13"/>
    <s v="Salario base del personal por cargos fijos para cumplir con las actividades permanentes del Instituto, según las Directrices técnicas y metodológicas para la formulación del Presupuesto 2025. "/>
    <n v="71309784"/>
  </r>
  <r>
    <n v="3"/>
    <x v="31"/>
    <x v="2"/>
    <x v="70"/>
    <x v="70"/>
    <s v="Salario base del personal por servicios especiales  para cumplir con las actividades de las actividades permanentes así como Proyectos Especiales, según las Directrices técnicas y metodológicas para la formulación del Presupuesto 2023, Decretos y directriz Presidencial emitidas para este fin."/>
    <n v="10115400"/>
  </r>
  <r>
    <n v="3"/>
    <x v="31"/>
    <x v="2"/>
    <x v="27"/>
    <x v="27"/>
    <s v="Cancelación de tiempo extraordinario del personal que labora para el programa y proyectos que deba realizara trabajos extraordinarios fuera del tiempo laboral"/>
    <n v="2050000"/>
  </r>
  <r>
    <n v="3"/>
    <x v="31"/>
    <x v="2"/>
    <x v="14"/>
    <x v="14"/>
    <s v="Reconocimiento adicional al salario base que se paga cada vez que el funcionario cumple años de laborar en la institución pública, de acuerdo con la categoría de salarios en que esté ubicado su puesto._x000d__x000a_"/>
    <n v="12444000"/>
  </r>
  <r>
    <n v="3"/>
    <x v="31"/>
    <x v="2"/>
    <x v="15"/>
    <x v="15"/>
    <s v="Compensación económica al servidor al que por legislación vigente se le ha impuesto la restricción al ejercicio de la profesión que ostenta en su cargo."/>
    <n v="21200000"/>
  </r>
  <r>
    <n v="3"/>
    <x v="31"/>
    <x v="2"/>
    <x v="16"/>
    <x v="16"/>
    <s v="Pago de salario adicional para los funcionarios, en cumplimiento de lo establecido en la ley de aguinaldos para Instituciones Autónomas."/>
    <n v="10945000"/>
  </r>
  <r>
    <n v="3"/>
    <x v="31"/>
    <x v="2"/>
    <x v="17"/>
    <x v="17"/>
    <s v="Pago de salario escolar para los funcionarios, en cumplimiento a lo establecido en la ley de salario escolar."/>
    <n v="10301000"/>
  </r>
  <r>
    <n v="3"/>
    <x v="31"/>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4119000"/>
  </r>
  <r>
    <n v="3"/>
    <x v="31"/>
    <x v="2"/>
    <x v="19"/>
    <x v="19"/>
    <s v="Cuota patronal a la Caja Costarricense de Seguro Social por concepto de salud._x000d__x000a_"/>
    <n v="12167000"/>
  </r>
  <r>
    <n v="3"/>
    <x v="31"/>
    <x v="2"/>
    <x v="20"/>
    <x v="20"/>
    <s v="Aporte patronal que se debe cancelar al I.M.A.S, según la Ley N°4760, artículo 3°._x000d__x000a_"/>
    <n v="580816"/>
  </r>
  <r>
    <n v="3"/>
    <x v="31"/>
    <x v="2"/>
    <x v="20"/>
    <x v="20"/>
    <s v="Aporte patronal que se debe cancelar al I.M.A.S, según la Ley N°4760, artículo 3°._x000d__x000a_"/>
    <n v="77184"/>
  </r>
  <r>
    <n v="3"/>
    <x v="31"/>
    <x v="2"/>
    <x v="21"/>
    <x v="21"/>
    <s v="Aporte patronal que se debe cancelar al I.N.A., según la Ley N°6868, artículo 15."/>
    <n v="1973000"/>
  </r>
  <r>
    <n v="3"/>
    <x v="31"/>
    <x v="2"/>
    <x v="22"/>
    <x v="22"/>
    <s v="Aporte patronal al Fondo de Desarrollo Social y Asignaciones Familiares, según la  Ley N°5662, artículo 15."/>
    <n v="6577000"/>
  </r>
  <r>
    <n v="3"/>
    <x v="31"/>
    <x v="2"/>
    <x v="23"/>
    <x v="23"/>
    <s v="Aporte patronal que se debe cancelar al Banco Popular, según la Ley N°4351, artículo 5°."/>
    <n v="658000"/>
  </r>
  <r>
    <n v="3"/>
    <x v="31"/>
    <x v="2"/>
    <x v="24"/>
    <x v="24"/>
    <s v="Aporte patronal al Régimen Obligatorio de Pensiones Complementarias, según lo establecido en la Ley de Protección al Trabajador Ley N°7983."/>
    <n v="7129000"/>
  </r>
  <r>
    <n v="3"/>
    <x v="31"/>
    <x v="2"/>
    <x v="25"/>
    <x v="25"/>
    <s v="Aporte patronal al Régimen Obligatorio de Pensiones Complementarias, según lo establecido en la Ley de Protección al Trabajador Ley N°7983."/>
    <n v="3946000"/>
  </r>
  <r>
    <n v="3"/>
    <x v="31"/>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973000"/>
  </r>
  <r>
    <n v="3"/>
    <x v="31"/>
    <x v="0"/>
    <x v="7"/>
    <x v="7"/>
    <s v="Se consideran recursos para un viaje a México  para adecuar diseño de cuestionario de Encuesta Financiera a Hogares a los requerimientos  de OCDE_x000d__x000a_"/>
    <n v="1500000"/>
  </r>
  <r>
    <n v="3"/>
    <x v="31"/>
    <x v="0"/>
    <x v="8"/>
    <x v="8"/>
    <s v="Se consideran recursos para un viaje a México  para adecuar diseño de cuestionario de Encuesta Financiera a Hogares a los requerimientos  de OCDE_x000a_"/>
    <n v="3500000"/>
  </r>
  <r>
    <n v="3"/>
    <x v="31"/>
    <x v="0"/>
    <x v="9"/>
    <x v="9"/>
    <s v="RT ¢ 1 004 000 Seguro de Riesgos del Trabajo que debe cubrir la Institución a los funcionarios por todo el año. La póliza de Riesgos del Trabajo se estima en base al 0,69% del total remuneraciones formulada para el año 2025."/>
    <n v="1004000"/>
  </r>
  <r>
    <n v="3"/>
    <x v="32"/>
    <x v="2"/>
    <x v="13"/>
    <x v="13"/>
    <s v="Salario base del personal por cargos fijos para cumplir con las actividades permanentes del Instituto, según las Directrices técnicas y metodológicas para la formulación del Presupuesto 2025."/>
    <n v="45825000"/>
  </r>
  <r>
    <n v="3"/>
    <x v="32"/>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21100000"/>
  </r>
  <r>
    <n v="3"/>
    <x v="32"/>
    <x v="2"/>
    <x v="27"/>
    <x v="27"/>
    <s v="Cancelación de tiempo extraordinario del personal que labora para el programa y proyectos que deba realizara trabajos extraordinarios fuera del tiempo laboral"/>
    <n v="131000"/>
  </r>
  <r>
    <n v="3"/>
    <x v="32"/>
    <x v="2"/>
    <x v="14"/>
    <x v="14"/>
    <s v="Reconocimiento adicional al salario base que se paga cada vez que el funcionario cumple años de laborar en la institución pública, de acuerdo con la categoría de salarios en que esté ubicado su puesto."/>
    <n v="3656000"/>
  </r>
  <r>
    <n v="3"/>
    <x v="32"/>
    <x v="2"/>
    <x v="15"/>
    <x v="15"/>
    <s v="Compensación económica al servidor al que por legislación vigente se le ha impuesto la restricción al ejercicio de la profesión que ostenta en su cargo."/>
    <n v="5065000"/>
  </r>
  <r>
    <n v="3"/>
    <x v="32"/>
    <x v="2"/>
    <x v="16"/>
    <x v="16"/>
    <s v="Pago de salario adicional para los funcionarios, en cumplimiento de lo establecido en la ley de aguinaldos para Instituciones Autónomas."/>
    <n v="6986000"/>
  </r>
  <r>
    <n v="3"/>
    <x v="32"/>
    <x v="2"/>
    <x v="17"/>
    <x v="17"/>
    <s v="Pago de salario escolar para los funcionarios, en cumplimiento a lo establecido en la ley de salario escolar."/>
    <n v="7816000"/>
  </r>
  <r>
    <n v="3"/>
    <x v="32"/>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609000"/>
  </r>
  <r>
    <n v="3"/>
    <x v="32"/>
    <x v="2"/>
    <x v="19"/>
    <x v="19"/>
    <s v="Cuota patronal a la Caja Costarricense de Seguro Social por concepto de salud."/>
    <n v="7881000"/>
  </r>
  <r>
    <n v="3"/>
    <x v="32"/>
    <x v="2"/>
    <x v="20"/>
    <x v="20"/>
    <s v="Aporte patronal que se debe cancelar al I.M.A.S, según la Ley N°4760, artículo 3°."/>
    <n v="426000"/>
  </r>
  <r>
    <n v="3"/>
    <x v="32"/>
    <x v="2"/>
    <x v="21"/>
    <x v="21"/>
    <s v="Aporte patronal que se debe cancelar al I.N.A., según la Ley N°6868, artículo 15."/>
    <n v="1278000"/>
  </r>
  <r>
    <n v="3"/>
    <x v="32"/>
    <x v="2"/>
    <x v="22"/>
    <x v="22"/>
    <s v="Aporte patronal al Fondo de Desarrollo Social y Asignaciones Familiares, según la  Ley N°5662, artículo 15."/>
    <n v="4260000"/>
  </r>
  <r>
    <n v="3"/>
    <x v="32"/>
    <x v="2"/>
    <x v="23"/>
    <x v="23"/>
    <s v="Aporte patronal que se debe cancelar al Banco Popular, según la Ley N°4351, artículo 5°."/>
    <n v="426000"/>
  </r>
  <r>
    <n v="3"/>
    <x v="32"/>
    <x v="2"/>
    <x v="24"/>
    <x v="24"/>
    <s v="Contribución Patronal al Seguro de Pensiones  de la Caja Costarricense de Seguro Social, según lo establecido en la Ley de Protección al Trabajador Ley N°7983."/>
    <n v="4618000"/>
  </r>
  <r>
    <n v="3"/>
    <x v="32"/>
    <x v="2"/>
    <x v="25"/>
    <x v="25"/>
    <s v="Aporte patronal al Régimen Obligatorio de Pensiones Complementarias, según lo establecido en la Ley de Protección al Trabajador Ley N°7983."/>
    <n v="2556000"/>
  </r>
  <r>
    <n v="3"/>
    <x v="32"/>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278000"/>
  </r>
  <r>
    <n v="3"/>
    <x v="32"/>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
    <n v="6094000"/>
  </r>
  <r>
    <n v="3"/>
    <x v="32"/>
    <x v="0"/>
    <x v="1"/>
    <x v="1"/>
    <s v="Servicio de suministro de agua potable, según consumo. Esta estimación se realiza con base en el promedio real de enero a junio y un promedio proyectado al segundo semestre 2024."/>
    <n v="262000"/>
  </r>
  <r>
    <n v="3"/>
    <x v="32"/>
    <x v="0"/>
    <x v="2"/>
    <x v="2"/>
    <s v="Servicio de energía eléctrica, según consumo. Esta estimación se realiza con base en el promedio real de enero a junio y un promedio proyectado al segundo semestre 2024."/>
    <n v="824000"/>
  </r>
  <r>
    <n v="3"/>
    <x v="32"/>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
    <n v="428000"/>
  </r>
  <r>
    <n v="3"/>
    <x v="32"/>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Distribuidos de la siguiente Forma:_x000d__x000a_Seguridad: ¢ 1 100 000 / Limpieza ¢ 916 000"/>
    <n v="2016000"/>
  </r>
  <r>
    <n v="3"/>
    <x v="32"/>
    <x v="0"/>
    <x v="9"/>
    <x v="9"/>
    <s v="RT ¢ 793 000 Seguro de Riesgos del Trabajo que debe cubrir la Institución a los funcionarios por todo el año. La póliza de Riesgos del Trabajo se estima en base al 0,69% del total remuneraciones formulada para el año 2025."/>
    <n v="793000"/>
  </r>
  <r>
    <n v="3"/>
    <x v="32"/>
    <x v="0"/>
    <x v="6"/>
    <x v="6"/>
    <s v="Una vez finalizado el proceso de evaluación del Censo 2022 es necesario contar con recursos que permitan iniciar con el análisis e implementación de las principales recomendaciones, en miras de la planificación del próximo censo nacional de población y vivienda para la ronda 2030._x000a_En ese contexto, se contempla la contratación de una o varias personas consultoras internacionales expertas que orienten al equipo de Censos en la preparación de un perfil de proyecto integral que incluya al menos los siguientes aspectos:_x000a_-_x0009_Definición de un modelo de gobernanza adecuado para una operación estadística masiva._x000a_-_x0009_Análisis de requerimientos financieros y de recurso humano._x000a_-_x0009_Análisis de la metodología y tipo de censo factible para la ronda 2030._x000a_-_x0009_Análisis para una plataforma tecnológica adecuada._x000a_-_x0009_Análisis para el reclutamiento y contratación de personal de campo._x000a_El principal objetivo será obtener un perfil de proyecto robusto que incorpore en la medida de lo posible las recomendaciones derivadas de la evaluación del Censo 2022 y que sea la base que oriente la planificación del nuevo censo en la ronda 2030. "/>
    <n v="50000000"/>
  </r>
  <r>
    <n v="3"/>
    <x v="33"/>
    <x v="2"/>
    <x v="70"/>
    <x v="70"/>
    <s v="Salario base del personal por servicios especiales  para cumplir con las actividades de  Proyectos Especiales, según las Directrices técnicas y metodológicas para la formulación del Presupuesto 2025, Decretos y directriz Presidencial emitidas para este fin.  "/>
    <n v="719919000"/>
  </r>
  <r>
    <n v="3"/>
    <x v="33"/>
    <x v="2"/>
    <x v="27"/>
    <x v="27"/>
    <s v="Cancelación de tiempo extraordinario del personal que labora para el programa y proyectos que deba realizara trabajos extraordinarios fuera del tiempo laboral"/>
    <n v="51900000"/>
  </r>
  <r>
    <n v="3"/>
    <x v="33"/>
    <x v="2"/>
    <x v="16"/>
    <x v="16"/>
    <s v="Pago de salario adicional para los funcionarios, en cumplimiento de lo establecido en la ley de aguinaldos para Instituciones Autónomas."/>
    <n v="69676000"/>
  </r>
  <r>
    <n v="3"/>
    <x v="33"/>
    <x v="2"/>
    <x v="17"/>
    <x v="17"/>
    <s v="Pago de salario escolar para los funcionarios, en cumplimiento a lo establecido en la ley de salario escolar."/>
    <n v="64369000"/>
  </r>
  <r>
    <n v="3"/>
    <x v="33"/>
    <x v="2"/>
    <x v="19"/>
    <x v="19"/>
    <s v="Cuota patronal a la Caja Costarricense de Seguro Social por concepto de salud."/>
    <n v="77347000"/>
  </r>
  <r>
    <n v="3"/>
    <x v="33"/>
    <x v="2"/>
    <x v="20"/>
    <x v="20"/>
    <s v="Aporte patronal que se debe cancelar al I.M.A.S, según la Ley N°4760, artículo 3°."/>
    <n v="4181000"/>
  </r>
  <r>
    <n v="3"/>
    <x v="33"/>
    <x v="2"/>
    <x v="21"/>
    <x v="21"/>
    <s v="Aporte patronal que se debe cancelar al I.N.A., según la Ley N°6868, artículo 15."/>
    <n v="12543000"/>
  </r>
  <r>
    <n v="3"/>
    <x v="33"/>
    <x v="2"/>
    <x v="22"/>
    <x v="22"/>
    <s v="Aporte patronal al Fondo de Desarrollo Social y Asignaciones Familiares, según la  Ley N°5662, artículo 15."/>
    <n v="41809000"/>
  </r>
  <r>
    <n v="3"/>
    <x v="33"/>
    <x v="2"/>
    <x v="23"/>
    <x v="23"/>
    <s v="Aporte patronal que se debe cancelar al Banco Popular, según la Ley N°4351, artículo 5°."/>
    <n v="4181000"/>
  </r>
  <r>
    <n v="3"/>
    <x v="33"/>
    <x v="2"/>
    <x v="24"/>
    <x v="24"/>
    <s v="Contribución Patronal al Seguro de Pensiones  de la Caja Costarricense de Seguro Social, según lo establecido en la Ley de Protección al Trabajador Ley N°7983."/>
    <n v="45321000"/>
  </r>
  <r>
    <n v="3"/>
    <x v="33"/>
    <x v="2"/>
    <x v="25"/>
    <x v="25"/>
    <s v="Aporte patronal al Régimen Obligatorio de Pensiones Complementarias, según lo establecido en la Ley de Protección al Trabajador Ley N°7983."/>
    <n v="25086000"/>
  </r>
  <r>
    <n v="3"/>
    <x v="33"/>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2543000"/>
  </r>
  <r>
    <n v="3"/>
    <x v="33"/>
    <x v="0"/>
    <x v="58"/>
    <x v="58"/>
    <s v="Se contempla el alquiler de vehículos requeridos para la actualización de geodatos en campo de UPM y distritos de la encuesta, según la estimación realizada por el Proceso de Transportes, de acuerdo a la revisión de necesidades y planificación de vehiculos intitucionales. ¢64 000000"/>
    <n v="64000000"/>
  </r>
  <r>
    <n v="3"/>
    <x v="33"/>
    <x v="0"/>
    <x v="3"/>
    <x v="3"/>
    <s v="(Planes) Se contempla el pago de los planes de datos requeridos durante la actualización de geodatos en campo de UPM y distritos requeridas para la encuesta. (¢4 200 000)"/>
    <n v="4200000"/>
  </r>
  <r>
    <n v="3"/>
    <x v="33"/>
    <x v="0"/>
    <x v="4"/>
    <x v="4"/>
    <s v="Corresponde al servicio de fotocopiado e impresión litografica de manuales, hojas de control, cuestionarios, entre otros documentos requeridos para la capacitaciones del personal de la encuesta."/>
    <n v="4000000"/>
  </r>
  <r>
    <n v="3"/>
    <x v="33"/>
    <x v="0"/>
    <x v="60"/>
    <x v="60"/>
    <s v="Se consideran recursos para el pago del servicio de grúas y servicios de chapulines que se puedan requerir durante la actualización de geodatos en campo de UPM y distritos de la encuesta."/>
    <n v="250000"/>
  </r>
  <r>
    <n v="3"/>
    <x v="33"/>
    <x v="0"/>
    <x v="5"/>
    <x v="5"/>
    <s v="Se incluyen recursos para el lavado de ropa del personal que debe permanecer de gira en campo por mas de 7 días consecutivos durante la actualización de geodatos en campo de UPM y distritos de la encuesta (¢1 850 000). Asimismo, se consideran ¢65 000 para el pago del servicio de monitoreo de los vehículos institucionales durante la actualización."/>
    <n v="1915000"/>
  </r>
  <r>
    <n v="3"/>
    <x v="33"/>
    <x v="0"/>
    <x v="31"/>
    <x v="31"/>
    <s v="Se contempla gastos de transportes como peajes y ferry necesarios para llevar a cabo la prueba piloto y el proceso de reclutamiento en zona. (¢50 000). Asi como los gastos de lancha y ferry necesarios para la actualización de geodatos en campo de UPM y distritos de la encuesta (¢300 000)"/>
    <n v="350000"/>
  </r>
  <r>
    <n v="3"/>
    <x v="33"/>
    <x v="0"/>
    <x v="32"/>
    <x v="32"/>
    <s v="Viáticos parciales o totales (según corresponda) requeridos para realizar la prueba piloto de la encuesta, la cual sirve como diagnostico para los ajustes temáticos y operativos que se deben hacer para el inicio de la encuesta (¢6 000 000).  Asi como los gastos de viáticos requeridos para la actualización de geodatos en campo de UPM y distritos de la encuesta (¢260 000 000) "/>
    <n v="266000000"/>
  </r>
  <r>
    <n v="3"/>
    <x v="33"/>
    <x v="0"/>
    <x v="9"/>
    <x v="9"/>
    <s v="RT ¢ 7 293 000 Seguro de Riesgos del Trabajo que debe cubrir la Institución a los funcionarios por todo el año. La póliza de Riesgos del Trabajo se estima en base al 0,69% del total remuneraciones formulada para el año 2025."/>
    <n v="7293000"/>
  </r>
  <r>
    <n v="3"/>
    <x v="33"/>
    <x v="0"/>
    <x v="10"/>
    <x v="10"/>
    <s v="Gastos correspondientes a las actividades de capacitación del personal nuevo que se encargará de la recolección de la información en campo, en las cuales se abarcarán conceptos tématicos, organizativos y administrativos que son indispensables para el adecuado desempeño de sus funciones. En total se estima una capacitación de dos semanas, en la cual en la primera se llevara a cabo de forma virtual y en la segunda se realizará de forma presencial y se debe incluir alimentación y hospedaje para 190 personas. (¢54 000 000)._x000d__x000a_Asimismo, se contempla el alquiler de aulas o salas de capacitación por dos semanas para las 100 personas que se encargaran de la actualización de geodatos en campo de UPM y distritos de la encuesta (¢3 600 000)."/>
    <n v="57600000"/>
  </r>
  <r>
    <n v="3"/>
    <x v="33"/>
    <x v="0"/>
    <x v="61"/>
    <x v="61"/>
    <s v="Gastos correspondientes a las repaciones de llantas por daños o desperfectos que se originen durante la actualización de geodatos en campo de UPM y distritos de la encuesta (¢60 000)_x000d__x000a__x000d__x000a_Se requiere 18 333 333 para el mantenimiento y reparación y 1 800 000 para lavado de vehículos institucionales en zona del SIEH-Cartografía"/>
    <n v="20195000"/>
  </r>
  <r>
    <n v="3"/>
    <x v="33"/>
    <x v="0"/>
    <x v="65"/>
    <x v="65"/>
    <s v="Pago administrativo de los dispositivos quick pass por concepto de peaje requeridos para la actualización de geodatos en campo de UPM y distritos de la encuesta."/>
    <n v="60000"/>
  </r>
  <r>
    <n v="3"/>
    <x v="33"/>
    <x v="1"/>
    <x v="66"/>
    <x v="66"/>
    <s v="Se contempla la compra del combustible necesario para  la actualización de geodatos en campo de UPM y distritos de la encuesta."/>
    <n v="24000002"/>
  </r>
  <r>
    <n v="3"/>
    <x v="33"/>
    <x v="1"/>
    <x v="47"/>
    <x v="47"/>
    <s v="Productos farmacéuticos requeridos para la adecuada desinfección, prevención y cumplimiento de protocolos sanitarios durante la actualización de geodatos en campo de UPM y distritos de la encuesta. Se incluye alcohol en gel, bloqueadores y repelentes."/>
    <n v="4383750"/>
  </r>
  <r>
    <n v="3"/>
    <x v="33"/>
    <x v="1"/>
    <x v="55"/>
    <x v="55"/>
    <s v="Tintas requeridas para la impresión de documentos utilizados durante las labores ordinarias del personal de oficina, asi como preparativos para capacitaciones y actividades propias de campo. "/>
    <n v="62000"/>
  </r>
  <r>
    <n v="3"/>
    <x v="33"/>
    <x v="1"/>
    <x v="67"/>
    <x v="67"/>
    <s v="Accesorios requeridos para el procesamiento de la información durante la actualización de geodatos en campo de UPM y distritos de la encuesta."/>
    <n v="1000000"/>
  </r>
  <r>
    <n v="3"/>
    <x v="33"/>
    <x v="1"/>
    <x v="12"/>
    <x v="12"/>
    <s v="Se contempla la compra de inversores para cargar los dispositivos móviles en los vehiculos durante el operativo de campo de las encuestas, asi como repuestos y accesorios para los vehículos intitucionales."/>
    <n v="1824990"/>
  </r>
  <r>
    <n v="3"/>
    <x v="33"/>
    <x v="1"/>
    <x v="56"/>
    <x v="56"/>
    <s v="Útiles y materiales de oficina requeridos durante la actualización de geodatos en campo de UPM y distritos de la encuesta."/>
    <n v="1494300"/>
  </r>
  <r>
    <n v="3"/>
    <x v="33"/>
    <x v="1"/>
    <x v="45"/>
    <x v="45"/>
    <s v="Productos de papel requeridos para ser utilizados durante la actualización de geodatos en campo de UPM y distritos de la encuesta."/>
    <n v="741880"/>
  </r>
  <r>
    <n v="3"/>
    <x v="33"/>
    <x v="1"/>
    <x v="39"/>
    <x v="39"/>
    <s v="Textiles requeridos para ser utilizados durante la actualización de geodatos en campo de UPM y distritos de la encuesta."/>
    <n v="12167925"/>
  </r>
  <r>
    <n v="3"/>
    <x v="33"/>
    <x v="1"/>
    <x v="68"/>
    <x v="68"/>
    <s v="Bolsas plásticas requeridas para el empaque de materiales y herramientes a utilizar durante las giras del personal de trabajo de campo."/>
    <n v="66500"/>
  </r>
  <r>
    <n v="3"/>
    <x v="33"/>
    <x v="1"/>
    <x v="40"/>
    <x v="40"/>
    <m/>
    <n v="311500"/>
  </r>
  <r>
    <n v="2"/>
    <x v="14"/>
    <x v="4"/>
    <x v="50"/>
    <x v="50"/>
    <s v="TELEPROMTER: Ofrece a los voceros INEC mayor facilidad durante las grabaciones de videos. Esta herramienta brinda comodidad y seguridad al vocero sobre los mensajes claves que debe grabar, de modo que impide que el manejo de datos y mensajes claves quede supeditado a la capacidad del vocero de manejar varios elementos a la vez._x000a_Estará siendo utilizados en actividades relacionadas con todas las operaciones estadísticas y  proyectos INEC."/>
    <n v="500000"/>
  </r>
  <r>
    <n v="2"/>
    <x v="14"/>
    <x v="4"/>
    <x v="50"/>
    <x v="50"/>
    <s v="Cámara mirrorless para grabación digital de videos que incluya lente intercambiable de cuadro completo (full frame) y tarjeta de memoria SDXC._x000a__x000a_Actualmente la producción audiovisual ha cobrado mayor relevancia en los procesos de divulgación de resultados en la relación con los diversos medios de comunicación, de ahí que sea necesario contar un equipo de grabación que permita la divulgación de los resultados estadísticos en forma oportuna y simultánea a todos los medios de comunicación. _x000a_Los medios audiovisuales exigen el video y el audio para procesar las noticias en el menor tiempo posible._x000a__x000a_Estará siendo utilizados en actividades relacionadas con todas las operaciones estadísticas y  proyectos INEC._x000a_"/>
    <n v="2500000"/>
  </r>
  <r>
    <n v="3"/>
    <x v="33"/>
    <x v="4"/>
    <x v="50"/>
    <x v="50"/>
    <s v="Se contempla la adquisición de dispositivos móviles, los cuales serán utilizados para la recolección de la información en campo durante encuesta continua a hogares."/>
    <n v="44660000"/>
  </r>
  <r>
    <n v="3"/>
    <x v="33"/>
    <x v="4"/>
    <x v="51"/>
    <x v="51"/>
    <s v="Se incluye la compra de equipo de computo requerido para el personal nuevo que se encargara del diseño y de la recolección de la información en campo durante encuesta continua a hogares. Además se agrego una computadora adiciona quedando un total de 112."/>
    <n v="124162500"/>
  </r>
  <r>
    <n v="3"/>
    <x v="33"/>
    <x v="3"/>
    <x v="42"/>
    <x v="42"/>
    <s v="Montos previstos en caso de renuncia o despido de funcionarios contratados por el proyecto."/>
    <n v="3000000"/>
  </r>
  <r>
    <n v="3"/>
    <x v="34"/>
    <x v="2"/>
    <x v="70"/>
    <x v="70"/>
    <s v="Salario base del personal por servicios especiales  para cumplir con las actividades de las actividades permanentes así como Proyectos Especiales, según las Directrices técnicas y metodológicas para la formulación del Presupuesto 2023, Decretos y directriz Presidencial emitidas para este fin."/>
    <n v="74666000"/>
  </r>
  <r>
    <n v="3"/>
    <x v="34"/>
    <x v="2"/>
    <x v="27"/>
    <x v="27"/>
    <s v="Cancelación de tiempo extraordinario del personal que labora en la encuesta en enero que finaliza la recolección de información para los sábados días que hay asignada recolección por la dinámica de la encuesta, así como por citas d elos informantes en hoasr fuera del horario y por atrasos en el desplazamiento, y por cualquier otro imprevisto. _x000d__x000a_"/>
    <n v="5506000"/>
  </r>
  <r>
    <n v="3"/>
    <x v="34"/>
    <x v="2"/>
    <x v="14"/>
    <x v="14"/>
    <s v="Reconocimiento adicional al salario base que se paga cada vez que el funcionario cumple años de laborar en la institución pública, de acuerdo con la categoría de salarios en que esté ubicado su puesto."/>
    <n v="0"/>
  </r>
  <r>
    <n v="3"/>
    <x v="34"/>
    <x v="2"/>
    <x v="15"/>
    <x v="15"/>
    <s v="Compensación económica al servidor al que por legislación vigente se le ha impuesto la restricción al ejercicio de la profesión que ostenta en su cargo."/>
    <n v="0"/>
  </r>
  <r>
    <n v="3"/>
    <x v="34"/>
    <x v="2"/>
    <x v="16"/>
    <x v="16"/>
    <s v="Pago de salario adicional para los funcionarios, en cumplimiento de lo establecido en la ley de aguinaldos para Instituciones Autónomas."/>
    <n v="7238000"/>
  </r>
  <r>
    <n v="3"/>
    <x v="34"/>
    <x v="2"/>
    <x v="17"/>
    <x v="17"/>
    <s v="Pago de salario escolar para los funcionarios, en cumplimiento a lo establecido en la ley de salario escolar._x000d__x000a_"/>
    <n v="6750000"/>
  </r>
  <r>
    <n v="3"/>
    <x v="34"/>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0"/>
  </r>
  <r>
    <n v="3"/>
    <x v="34"/>
    <x v="2"/>
    <x v="19"/>
    <x v="19"/>
    <s v="Cuota patronal a la Caja Costarricense de Seguro Social por concepto de salud."/>
    <n v="8040000"/>
  </r>
  <r>
    <n v="3"/>
    <x v="34"/>
    <x v="2"/>
    <x v="20"/>
    <x v="20"/>
    <s v="Aporte patronal que se debe cancelar al I.M.A.S, según la Ley N°4760, artículo 3°."/>
    <n v="435000"/>
  </r>
  <r>
    <n v="3"/>
    <x v="34"/>
    <x v="2"/>
    <x v="21"/>
    <x v="21"/>
    <s v="Aporte patronal que se debe cancelar al I.N.A., según la Ley N°6868, artículo 15."/>
    <n v="1304000"/>
  </r>
  <r>
    <n v="3"/>
    <x v="34"/>
    <x v="2"/>
    <x v="22"/>
    <x v="22"/>
    <s v="Aporte patronal al Fondo de Desarrollo Social y Asignaciones Familiares, según la  Ley N°5662, artículo 15."/>
    <n v="4346000"/>
  </r>
  <r>
    <n v="3"/>
    <x v="34"/>
    <x v="2"/>
    <x v="23"/>
    <x v="23"/>
    <s v="Aporte patronal que se debe cancelar al Banco Popular, según la Ley N°4351, artículo 5°._x000d__x000a_"/>
    <n v="435000"/>
  </r>
  <r>
    <n v="3"/>
    <x v="34"/>
    <x v="2"/>
    <x v="24"/>
    <x v="24"/>
    <s v="Aporte patronal al Régimen Obligatorio de Pensiones Complementarias, según lo establecido en la Ley de Protección al Trabajador Ley N°7983."/>
    <n v="4711000"/>
  </r>
  <r>
    <n v="3"/>
    <x v="34"/>
    <x v="2"/>
    <x v="25"/>
    <x v="25"/>
    <s v="Aporte patronal al Régimen Obligatorio de Pensiones Complementarias, según lo establecido en la Ley de Protección al Trabajador Ley N°7983."/>
    <n v="2607000"/>
  </r>
  <r>
    <n v="3"/>
    <x v="34"/>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1304000"/>
  </r>
  <r>
    <n v="3"/>
    <x v="34"/>
    <x v="0"/>
    <x v="58"/>
    <x v="58"/>
    <s v="Gastos por alquiler de todo tipo de maquinaria, equipo y mobiliario necesario para realizar las actividades de la institución. Considera además el servicio de operación de los equipos, si así lo consigna el contrato de alquiler. _x000a_Incluye el alquiler de vehículos, así como el pago de kilometraje, el cual corresponde a las sumas que se reconocen a aquellos funcionarios que utilizan el vehículo de su propiedad en la ejecución de sus funciones, según el marco legal vigente."/>
    <n v="1000000"/>
  </r>
  <r>
    <n v="3"/>
    <x v="34"/>
    <x v="0"/>
    <x v="3"/>
    <x v="3"/>
    <s v="(Planes) Para planes postpago institucionales para los funcionarios de trabajo de campo durante un mes, ya que la recolección de información finaliza el 31 de enero."/>
    <n v="850000"/>
  </r>
  <r>
    <n v="3"/>
    <x v="34"/>
    <x v="0"/>
    <x v="5"/>
    <x v="5"/>
    <s v="Se requieren recursos para el pago de lavado de ropa de los funcionarios que realizan recolección de datos en campo de la Encuesta Nacional de Ingresos y Gastos de los Hogares, los cuales visitan una UPM durante diez días consecutivos sin regresar a sus viviendas."/>
    <n v="1000000"/>
  </r>
  <r>
    <n v="3"/>
    <x v="34"/>
    <x v="0"/>
    <x v="31"/>
    <x v="31"/>
    <s v="(d) 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
    <n v="250000"/>
  </r>
  <r>
    <n v="3"/>
    <x v="34"/>
    <x v="0"/>
    <x v="32"/>
    <x v="32"/>
    <s v="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para el personal recolector, choferes y supervisores durante enero mes en que finaliza la recolección de información. _x000d__x000a_"/>
    <n v="55000000"/>
  </r>
  <r>
    <n v="3"/>
    <x v="33"/>
    <x v="0"/>
    <x v="9"/>
    <x v="9"/>
    <s v="Pago de seguro obligatorio de automoviles institucional requeridos para la actualización de geodatos en campo de UPM y distritos de la encuesta. ¢ 9 866 000"/>
    <n v="9866000"/>
  </r>
  <r>
    <n v="3"/>
    <x v="34"/>
    <x v="0"/>
    <x v="9"/>
    <x v="9"/>
    <s v="RT ¢ 1 030 000 Seguro de Riesgos del Trabajo que debe cubrir la Institución a los funcionarios por todo el año. La póliza de Riesgos del Trabajo se estima en base al 0,69% del total remuneraciones formulada para el año 2025."/>
    <n v="1030000"/>
  </r>
  <r>
    <n v="3"/>
    <x v="34"/>
    <x v="0"/>
    <x v="9"/>
    <x v="9"/>
    <s v="Pago de seguro obligatorio de automoviles institucional, del ENIGH un monto de 5 381 000"/>
    <n v="5381000"/>
  </r>
  <r>
    <n v="3"/>
    <x v="34"/>
    <x v="0"/>
    <x v="10"/>
    <x v="10"/>
    <s v="Para realizar taller de realimentación y  cierre de la recolección de información de la ENIGH 2024, y que sea insumo para la evaluacion de la operación estadística. _x000d__x000a_"/>
    <n v="1230000"/>
  </r>
  <r>
    <n v="3"/>
    <x v="34"/>
    <x v="0"/>
    <x v="61"/>
    <x v="61"/>
    <s v="Se requiere 1 667 000 para el mantenimiento y reparación y 300 000 para lavado de vehículos institucionales en zona para la ENIGH"/>
    <n v="1967000"/>
  </r>
  <r>
    <n v="3"/>
    <x v="34"/>
    <x v="1"/>
    <x v="66"/>
    <x v="66"/>
    <s v="Monto correspondiente a la compra de combustible requerido para llevar a cabo el operativo de campo y procesos adscritos a la encuesta_x000d__x000a_"/>
    <n v="5000572"/>
  </r>
  <r>
    <n v="3"/>
    <x v="34"/>
    <x v="1"/>
    <x v="12"/>
    <x v="12"/>
    <s v="Se requieren recursos para la compra de baterías  y llantas para los vehículos institicionales"/>
    <n v="2042835"/>
  </r>
  <r>
    <n v="3"/>
    <x v="34"/>
    <x v="3"/>
    <x v="42"/>
    <x v="42"/>
    <s v="Sumas que asignan las instituciones públicas para cubrir el pago por concepto de preaviso y cesantía, además de otros pagos a que tengan derecho los funcionarios una vez concluida la relación laboral con la entidad de conformidad con las regulaciones establecidas. La recolección finaliza en enero 2025 y corresponde pagar prestaciones al personal que laboró por un año y dos meses."/>
    <n v="49025000"/>
  </r>
  <r>
    <n v="3"/>
    <x v="35"/>
    <x v="2"/>
    <x v="13"/>
    <x v="13"/>
    <s v="Salario base del personal por cargos fijos para cumplir con las actividades permanentes del Instituto, según las Directrices técnicas y metodológicas para la formulación del Presupuesto 2025."/>
    <n v="106178000"/>
  </r>
  <r>
    <n v="3"/>
    <x v="35"/>
    <x v="2"/>
    <x v="14"/>
    <x v="14"/>
    <s v="Reconocimiento adicional al salario base que se paga cada vez que el funcionario cumple años de laborar en la institución pública, de acuerdo con la categoría de salarios en que esté ubicado su puesto."/>
    <n v="6906000"/>
  </r>
  <r>
    <n v="3"/>
    <x v="35"/>
    <x v="2"/>
    <x v="15"/>
    <x v="15"/>
    <s v="Compensación económica al servidor al que por legislación vigente se le ha impuesto la restricción al ejercicio de la profesión que ostenta en su cargo."/>
    <n v="13976000"/>
  </r>
  <r>
    <n v="3"/>
    <x v="35"/>
    <x v="2"/>
    <x v="16"/>
    <x v="16"/>
    <s v="Pago de salario adicional para los funcionarios, en cumplimiento de lo establecido en la ley de aguinaldos para Instituciones Autónomas."/>
    <n v="11655000"/>
  </r>
  <r>
    <n v="3"/>
    <x v="35"/>
    <x v="2"/>
    <x v="17"/>
    <x v="17"/>
    <s v="Pago de salario escolar para los funcionarios, en cumplimiento a lo establecido en la ley de salario escolar."/>
    <n v="10976000"/>
  </r>
  <r>
    <n v="3"/>
    <x v="35"/>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046000"/>
  </r>
  <r>
    <n v="3"/>
    <x v="35"/>
    <x v="2"/>
    <x v="19"/>
    <x v="19"/>
    <s v="Cuota patronal a la Caja Costarricense de Seguro Social por concepto de salud."/>
    <n v="12958000"/>
  </r>
  <r>
    <n v="3"/>
    <x v="35"/>
    <x v="2"/>
    <x v="20"/>
    <x v="20"/>
    <s v="Aporte patronal que se debe cancelar al I.M.A.S, según la Ley N°4760, artículo 3°."/>
    <n v="700000"/>
  </r>
  <r>
    <n v="3"/>
    <x v="35"/>
    <x v="2"/>
    <x v="21"/>
    <x v="21"/>
    <s v="Aporte patronal que se debe cancelar al I.N.A., según la Ley N°6868, artículo 15"/>
    <n v="2101000"/>
  </r>
  <r>
    <n v="3"/>
    <x v="35"/>
    <x v="2"/>
    <x v="22"/>
    <x v="22"/>
    <s v="Aporte patronal al Fondo de Desarrollo Social y Asignaciones Familiares, según la  Ley N°5662, artículo 15."/>
    <n v="7004000"/>
  </r>
  <r>
    <n v="3"/>
    <x v="35"/>
    <x v="2"/>
    <x v="23"/>
    <x v="23"/>
    <s v="Aporte patronal que se debe cancelar al Banco Popular, según la Ley N°4351, artículo 5°."/>
    <n v="700000"/>
  </r>
  <r>
    <n v="3"/>
    <x v="35"/>
    <x v="2"/>
    <x v="24"/>
    <x v="24"/>
    <s v="Contribución Patronal al Seguro de Pensiones  de la Caja Costarricense de Seguro Social, según lo establecido en la Ley de Protección al Trabajador Ley N°7983."/>
    <n v="7592000"/>
  </r>
  <r>
    <n v="3"/>
    <x v="35"/>
    <x v="2"/>
    <x v="25"/>
    <x v="25"/>
    <s v="Aporte patronal al Régimen Obligatorio de Pensiones Complementarias, según lo establecido en la Ley de Protección al Trabajador Ley N°7983."/>
    <n v="4203000"/>
  </r>
  <r>
    <n v="3"/>
    <x v="35"/>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2101000"/>
  </r>
  <r>
    <n v="3"/>
    <x v="35"/>
    <x v="0"/>
    <x v="9"/>
    <x v="9"/>
    <s v="RT ¢ 1 305 000 Seguro de Riesgos del Trabajo que debe cubrir la Institución a los funcionarios por todo el año. La póliza de Riesgos del Trabajo se estima en base al 0,69% del total remuneraciones formulada para el año 2025."/>
    <n v="1305000"/>
  </r>
  <r>
    <n v="3"/>
    <x v="36"/>
    <x v="2"/>
    <x v="13"/>
    <x v="13"/>
    <s v="Salario base del personal por cargos fijos para cumplir con las actividades permanentes del Instituto, según las Directrices técnicas y metodológicas para la formulación del Presupuesto 2025. "/>
    <n v="115635000"/>
  </r>
  <r>
    <n v="3"/>
    <x v="36"/>
    <x v="2"/>
    <x v="27"/>
    <x v="27"/>
    <s v="Cancelación de tiempo extraordinario del personal que labora en la encuesta, recolectando la información en las empresas seleccionadas en la muestra, para los  entrevistadores, supervisor, encargado de recolección y un choferes. Este tiempo se tiene previsto por  cualquier eventualidad por atrasos en desplazamientos, citas que solicitan los informantes fuera del horario laboral, y cubrir incapacidades o renuncias de personal entrevistador que deben suplirse con personal que tiene asignada otra carga de trabajo._x000a_"/>
    <n v="5085000"/>
  </r>
  <r>
    <n v="3"/>
    <x v="36"/>
    <x v="2"/>
    <x v="14"/>
    <x v="14"/>
    <s v="Reconocimiento adicional al salario base que se paga cada vez que el funcionario cumple años de laborar en la institución pública, de acuerdo con la categoría de salarios en que esté ubicado su puesto."/>
    <n v="4748000"/>
  </r>
  <r>
    <n v="3"/>
    <x v="36"/>
    <x v="2"/>
    <x v="15"/>
    <x v="15"/>
    <s v="Compensación económica al servidor al que por legislación vigente se le ha impuesto la restricción al ejercicio de la profesión que ostenta en su cargo."/>
    <n v="5065000"/>
  </r>
  <r>
    <n v="3"/>
    <x v="36"/>
    <x v="2"/>
    <x v="16"/>
    <x v="16"/>
    <s v="Pago de salario adicional para los funcionarios, en cumplimiento de lo establecido en la ley de aguinaldos para Instituciones Autónomas."/>
    <n v="11900000"/>
  </r>
  <r>
    <n v="3"/>
    <x v="36"/>
    <x v="2"/>
    <x v="17"/>
    <x v="17"/>
    <s v="Pago de salario escolar para los funcionarios, en cumplimiento a lo establecido en la ley de salario escolar."/>
    <n v="10980000"/>
  </r>
  <r>
    <n v="3"/>
    <x v="36"/>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282000"/>
  </r>
  <r>
    <n v="3"/>
    <x v="36"/>
    <x v="2"/>
    <x v="19"/>
    <x v="19"/>
    <s v="Cuota patronal a la Caja Costarricense de Seguro Social por concepto de salud."/>
    <n v="13209000"/>
  </r>
  <r>
    <n v="3"/>
    <x v="36"/>
    <x v="2"/>
    <x v="20"/>
    <x v="20"/>
    <s v="Aporte patronal que se debe cancelar al I.M.A.S, según la Ley N°4760, artículo 3°."/>
    <n v="714000"/>
  </r>
  <r>
    <n v="3"/>
    <x v="36"/>
    <x v="2"/>
    <x v="21"/>
    <x v="21"/>
    <s v="Aporte patronal que se debe cancelar al I.N.A., según la Ley N°6868, artículo 15."/>
    <n v="2142000"/>
  </r>
  <r>
    <n v="3"/>
    <x v="36"/>
    <x v="2"/>
    <x v="22"/>
    <x v="22"/>
    <s v="Aporte patronal al Fondo de Desarrollo Social y Asignaciones Familiares, según la  Ley N°5662, artículo 15."/>
    <n v="7140000"/>
  </r>
  <r>
    <n v="3"/>
    <x v="36"/>
    <x v="2"/>
    <x v="23"/>
    <x v="23"/>
    <s v="Aporte patronal que se debe cancelar al Banco Popular, según la Ley N°4351, artículo 5°."/>
    <n v="714000"/>
  </r>
  <r>
    <n v="3"/>
    <x v="36"/>
    <x v="2"/>
    <x v="24"/>
    <x v="24"/>
    <s v="Aporte patronal al Régimen Obligatorio de Pensiones Complementarias, según lo establecido en la Ley de Protección al Trabajador Ley N°7983."/>
    <n v="7740000"/>
  </r>
  <r>
    <n v="3"/>
    <x v="36"/>
    <x v="2"/>
    <x v="25"/>
    <x v="25"/>
    <s v="Aporte patronal al Régimen Obligatorio de Pensiones Complementarias, según lo establecido en la Ley de Protección al Trabajador Ley N°7983."/>
    <n v="4284000"/>
  </r>
  <r>
    <n v="3"/>
    <x v="36"/>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2142000"/>
  </r>
  <r>
    <n v="3"/>
    <x v="36"/>
    <x v="0"/>
    <x v="3"/>
    <x v="3"/>
    <s v="(Planes) Para planes postpago institucionales, que se utilizarán en la recolección de la información de las empresas."/>
    <n v="1075000"/>
  </r>
  <r>
    <n v="3"/>
    <x v="36"/>
    <x v="0"/>
    <x v="31"/>
    <x v="31"/>
    <s v="(d) 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 "/>
    <n v="500000"/>
  </r>
  <r>
    <n v="3"/>
    <x v="36"/>
    <x v="0"/>
    <x v="32"/>
    <x v="32"/>
    <s v="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7 entrevistadores, 1 chofer, 1 supervisor y 1 encargado de campo._x000a_"/>
    <n v="27500000"/>
  </r>
  <r>
    <n v="3"/>
    <x v="36"/>
    <x v="0"/>
    <x v="9"/>
    <x v="9"/>
    <s v="RT ¢ 1 330 000 Seguro de Riesgos del Trabajo que debe cubrir la Institución a los funcionarios por todo el año. La póliza de Riesgos del Trabajo se estima en base al 0,69% del total remuneraciones formulada para el año 2025."/>
    <n v="1330000"/>
  </r>
  <r>
    <n v="3"/>
    <x v="36"/>
    <x v="0"/>
    <x v="9"/>
    <x v="9"/>
    <s v="Pago de seguro obligatorio de automoviles institucional, del ENADEL un monto de 897 000"/>
    <n v="897000"/>
  </r>
  <r>
    <n v="3"/>
    <x v="36"/>
    <x v="0"/>
    <x v="61"/>
    <x v="61"/>
    <s v="Se requiere para el mantenimiento y reparación de vehículos institucionales  1 667 000 para ENADEL"/>
    <n v="1667000"/>
  </r>
  <r>
    <n v="3"/>
    <x v="36"/>
    <x v="1"/>
    <x v="66"/>
    <x v="66"/>
    <s v="Monto correspondiente a la compra de combustible requerido para llevar a cabo el operativo de campo y procesos adscritos a la encuesta_x000d__x000a_"/>
    <n v="3000632"/>
  </r>
  <r>
    <n v="3"/>
    <x v="36"/>
    <x v="1"/>
    <x v="12"/>
    <x v="12"/>
    <s v="Se requieren recursos para la compra de baterías  y llantas para los vehículos institicionales"/>
    <n v="280525"/>
  </r>
  <r>
    <n v="3"/>
    <x v="36"/>
    <x v="4"/>
    <x v="51"/>
    <x v="51"/>
    <s v="Se requiere para personal de nuevo ingreso una computadora portátil con todos los componentes."/>
    <n v="1108593.75"/>
  </r>
  <r>
    <n v="3"/>
    <x v="36"/>
    <x v="3"/>
    <x v="42"/>
    <x v="42"/>
    <s v="Montos previstos en caso de renuncia o despido de funcionarios contratados por el proyecto._x000d__x000a_"/>
    <n v="1400000"/>
  </r>
  <r>
    <n v="3"/>
    <x v="37"/>
    <x v="2"/>
    <x v="70"/>
    <x v="70"/>
    <s v="Salario base del personal por servicios especiales  para cumplir con las actividades de las actividades permanentes así como Proyectos Especiales, según las Directrices técnicas y metodológicas para la formulación del Presupuesto 2023, Decretos y directriz Presidencial emitidas para este fin."/>
    <n v="13367000"/>
  </r>
  <r>
    <n v="3"/>
    <x v="37"/>
    <x v="2"/>
    <x v="27"/>
    <x v="27"/>
    <s v="Cancelación de tiempo extraordinario del personal que labora en la encuesta, recolectando la información en las empresas seleccionadas en la muestra, para los  entrevistadores, supervisor, encargado de recolección y un choferes. Este tiempo se tiene previsto por  cualquier eventualidad por atrasos en desplazamientos, citas que solicitan los informantes fuera del horario laboral, y cubrir incapacidades o renuncias de personal entrevistador que deben suplirse con personal que tiene asignada otra carga de trabajo._x000a_"/>
    <n v="5100000"/>
  </r>
  <r>
    <n v="3"/>
    <x v="37"/>
    <x v="2"/>
    <x v="14"/>
    <x v="14"/>
    <s v="Reconocimiento adicional al salario base que se paga cada vez que el funcionario cumple años de laborar en la institución pública, de acuerdo con la categoría de salarios en que esté ubicado su puesto."/>
    <n v="4416000"/>
  </r>
  <r>
    <n v="3"/>
    <x v="37"/>
    <x v="2"/>
    <x v="15"/>
    <x v="15"/>
    <s v="Compensación económica al servidor al que por legislación vigente se le ha impuesto la restricción al ejercicio de la profesión que ostenta en su cargo."/>
    <n v="5563000"/>
  </r>
  <r>
    <n v="3"/>
    <x v="37"/>
    <x v="2"/>
    <x v="16"/>
    <x v="16"/>
    <s v="Pago de salario adicional para los funcionarios, en cumplimiento de lo establecido en la ley de aguinaldos para Instituciones Autónomas."/>
    <n v="2756000"/>
  </r>
  <r>
    <n v="3"/>
    <x v="37"/>
    <x v="2"/>
    <x v="17"/>
    <x v="17"/>
    <s v="Pago de salario escolar para los funcionarios, en cumplimiento a lo establecido en la ley de salario escolar."/>
    <n v="2923000"/>
  </r>
  <r>
    <n v="3"/>
    <x v="37"/>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087000"/>
  </r>
  <r>
    <n v="3"/>
    <x v="37"/>
    <x v="2"/>
    <x v="19"/>
    <x v="19"/>
    <s v="Cuota patronal a la Caja Costarricense de Seguro Social por concepto de salud."/>
    <n v="3095000"/>
  </r>
  <r>
    <n v="3"/>
    <x v="37"/>
    <x v="2"/>
    <x v="20"/>
    <x v="20"/>
    <s v="Aporte patronal que se debe cancelar al I.M.A.S, según la Ley N°4760, artículo 3°."/>
    <n v="167000"/>
  </r>
  <r>
    <n v="3"/>
    <x v="37"/>
    <x v="2"/>
    <x v="21"/>
    <x v="21"/>
    <s v="Aporte patronal que se debe cancelar al I.N.A., según la Ley N°6868, artículo 15."/>
    <n v="502000"/>
  </r>
  <r>
    <n v="3"/>
    <x v="37"/>
    <x v="2"/>
    <x v="22"/>
    <x v="22"/>
    <s v="Aporte patronal al Fondo de Desarrollo Social y Asignaciones Familiares, según la  Ley N°5662, artículo 15."/>
    <n v="1673000"/>
  </r>
  <r>
    <n v="3"/>
    <x v="37"/>
    <x v="2"/>
    <x v="23"/>
    <x v="23"/>
    <s v="Aporte patronal que se debe cancelar al Banco Popular, según la Ley N°4351, artículo 5°."/>
    <n v="167000"/>
  </r>
  <r>
    <n v="3"/>
    <x v="37"/>
    <x v="2"/>
    <x v="24"/>
    <x v="24"/>
    <s v="Aporte patronal al Régimen Obligatorio de Pensiones Complementarias, según lo establecido en la Ley de Protección al Trabajador Ley N°7983."/>
    <n v="1813000"/>
  </r>
  <r>
    <n v="3"/>
    <x v="37"/>
    <x v="2"/>
    <x v="25"/>
    <x v="25"/>
    <s v="Aporte patronal al Régimen Obligatorio de Pensiones Complementarias, según lo establecido en la Ley de Protección al Trabajador Ley N°7983."/>
    <n v="1004000"/>
  </r>
  <r>
    <n v="3"/>
    <x v="37"/>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502000"/>
  </r>
  <r>
    <n v="3"/>
    <x v="37"/>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
    <n v="5158000"/>
  </r>
  <r>
    <n v="3"/>
    <x v="37"/>
    <x v="0"/>
    <x v="1"/>
    <x v="1"/>
    <s v="Servicio de suministro de agua potable, según consumo. Esta estimación se realiza con base en el promedio real de enero a junio y un promedio proyectado al segundo semestre 2024._x000d__x000a_"/>
    <n v="222000"/>
  </r>
  <r>
    <n v="3"/>
    <x v="37"/>
    <x v="0"/>
    <x v="2"/>
    <x v="2"/>
    <s v="Servicio de energía eléctrica, según consumo. Esta estimación se realiza con base en el promedio real de enero a junio y un promedio proyectado al segundo semestre 2024._x000d__x000a_"/>
    <n v="698000"/>
  </r>
  <r>
    <n v="3"/>
    <x v="37"/>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d__x000a_"/>
    <n v="362000"/>
  </r>
  <r>
    <n v="3"/>
    <x v="37"/>
    <x v="0"/>
    <x v="5"/>
    <x v="5"/>
    <s v="Servicio de vigilancia, monitoreo y respuesta armada las 24 horas, se estima de acuerdo a la base real del primer semestre y a la proyección del segundo semestre del 2024._x000a__x000a_Servicio de limpieza de oficinas y áreas comunes de acuerdo a la base real del primer semestre y a la proyección del segundo semestre del 2024._x000a__x000a_Distribuidos de la siguiente Forma:_x000a_Seguridad: ¢ 932 000 / Limpieza ¢ 774 000"/>
    <n v="1706000"/>
  </r>
  <r>
    <n v="3"/>
    <x v="37"/>
    <x v="0"/>
    <x v="9"/>
    <x v="9"/>
    <s v="RT ¢ 311 000 Seguro de Riesgos del Trabajo que debe cubrir la Institución a los funcionarios por todo el año. La póliza de Riesgos del Trabajo se estima en base al 0,69% del total remuneraciones formulada para el año 2025."/>
    <n v="311000"/>
  </r>
  <r>
    <n v="3"/>
    <x v="38"/>
    <x v="2"/>
    <x v="70"/>
    <x v="70"/>
    <s v="Salario base del personal por servicios especiales  para cumplir con las actividades de  Proyectos Especiales, según las Directrices técnicas y metodológicas para la formulación del Presupuesto 2025, Decretos y directriz Presidencial emitidas para este fin.  _x000d__x000a_"/>
    <n v="21702000"/>
  </r>
  <r>
    <n v="3"/>
    <x v="38"/>
    <x v="2"/>
    <x v="16"/>
    <x v="16"/>
    <s v="Pago de salario adicional para los funcionarios, en cumplimiento de lo establecido en la ley de aguinaldos para Instituciones Autónomas._x000d__x000a_"/>
    <n v="1959000"/>
  </r>
  <r>
    <n v="3"/>
    <x v="38"/>
    <x v="2"/>
    <x v="17"/>
    <x v="17"/>
    <s v="Pago de salario escolar para los funcionarios, en cumplimiento a lo establecido en la ley de salario escolar._x000d__x000a_"/>
    <n v="1808000"/>
  </r>
  <r>
    <n v="3"/>
    <x v="38"/>
    <x v="2"/>
    <x v="19"/>
    <x v="19"/>
    <s v="Cuota patronal a la Caja Costarricense de Seguro Social por concepto de salud._x000d__x000a_"/>
    <n v="2175000"/>
  </r>
  <r>
    <n v="3"/>
    <x v="38"/>
    <x v="2"/>
    <x v="20"/>
    <x v="20"/>
    <s v="Aporte patronal que se debe cancelar al I.M.A.S, según la Ley N°4760, artículo 3°._x000d__x000a_"/>
    <n v="118000"/>
  </r>
  <r>
    <n v="3"/>
    <x v="38"/>
    <x v="2"/>
    <x v="21"/>
    <x v="21"/>
    <s v="Aporte patronal que se debe cancelar al I.N.A., según la Ley N°6868, artículo 15._x000d__x000a_"/>
    <n v="353000"/>
  </r>
  <r>
    <n v="3"/>
    <x v="38"/>
    <x v="2"/>
    <x v="22"/>
    <x v="22"/>
    <s v="Aporte patronal al Fondo de Desarrollo Social y Asignaciones Familiares, según la  Ley N°5662, artículo 15._x000d__x000a_"/>
    <n v="1176000"/>
  </r>
  <r>
    <n v="3"/>
    <x v="38"/>
    <x v="2"/>
    <x v="23"/>
    <x v="23"/>
    <s v="Aporte patronal que se debe cancelar al Banco Popular, según la Ley N°4351, artículo 5°._x000d__x000a_"/>
    <n v="118000"/>
  </r>
  <r>
    <n v="3"/>
    <x v="38"/>
    <x v="2"/>
    <x v="24"/>
    <x v="24"/>
    <s v="Contribución Patronal al Seguro de Pensiones  de la Caja Costarricense de Seguro Social, según lo establecido en la Ley de Protección al Trabajador Ley N°7983._x000d__x000a_"/>
    <n v="1274000"/>
  </r>
  <r>
    <n v="3"/>
    <x v="38"/>
    <x v="2"/>
    <x v="25"/>
    <x v="25"/>
    <s v="Aporte patronal al Régimen Obligatorio de Pensiones Complementarias, según lo establecido en la Ley de Protección al Trabajador Ley N°7983._x000d__x000a_"/>
    <n v="705000"/>
  </r>
  <r>
    <n v="3"/>
    <x v="38"/>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353000"/>
  </r>
  <r>
    <n v="3"/>
    <x v="38"/>
    <x v="0"/>
    <x v="9"/>
    <x v="9"/>
    <s v="RT ¢ 219 000 Seguro de Riesgos del Trabajo que debe cubrir la Institución a los funcionarios por todo el año. La póliza de Riesgos del Trabajo se estima en base al 0,69% del total remuneraciones formulada para el año 2025."/>
    <n v="219000"/>
  </r>
  <r>
    <n v="3"/>
    <x v="39"/>
    <x v="2"/>
    <x v="70"/>
    <x v="70"/>
    <s v="Salario base del personal por servicios especiales  para cumplir con las actividades de  Proyectos Especiales, según las Directrices técnicas y metodológicas para la formulación del Presupuesto 2025, Decretos y directriz Presidencial emitidas para este fin.  _x000d__x000a_"/>
    <n v="30033000"/>
  </r>
  <r>
    <n v="3"/>
    <x v="39"/>
    <x v="2"/>
    <x v="16"/>
    <x v="16"/>
    <s v="Pago de salario adicional para los funcionarios, en cumplimiento de lo establecido en la ley de aguinaldos para Instituciones Autónomas._x000d__x000a_"/>
    <n v="2711000"/>
  </r>
  <r>
    <n v="3"/>
    <x v="39"/>
    <x v="2"/>
    <x v="17"/>
    <x v="17"/>
    <s v="Pago de salario escolar para los funcionarios, en cumplimiento a lo establecido en la ley de salario escolar._x000d__x000a_"/>
    <n v="2502000"/>
  </r>
  <r>
    <n v="3"/>
    <x v="39"/>
    <x v="2"/>
    <x v="19"/>
    <x v="19"/>
    <s v="Cuota patronal a la Caja Costarricense de Seguro Social por concepto de salud._x000d__x000a_"/>
    <n v="3009000"/>
  </r>
  <r>
    <n v="3"/>
    <x v="39"/>
    <x v="2"/>
    <x v="20"/>
    <x v="20"/>
    <s v="Aporte patronal que se debe cancelar al I.M.A.S, según la Ley N°4760, artículo 3°._x000d__x000a_"/>
    <n v="163000"/>
  </r>
  <r>
    <n v="3"/>
    <x v="39"/>
    <x v="2"/>
    <x v="21"/>
    <x v="21"/>
    <s v="Aporte patronal que se debe cancelar al I.N.A., según la Ley N°6868, artículo 15._x000d__x000a_"/>
    <n v="488000"/>
  </r>
  <r>
    <n v="3"/>
    <x v="39"/>
    <x v="2"/>
    <x v="22"/>
    <x v="22"/>
    <s v="Aporte patronal al Fondo de Desarrollo Social y Asignaciones Familiares, según la  Ley N°5662, artículo 15._x000d__x000a_"/>
    <n v="1627000"/>
  </r>
  <r>
    <n v="3"/>
    <x v="39"/>
    <x v="2"/>
    <x v="23"/>
    <x v="23"/>
    <s v="Aporte patronal que se debe cancelar al Banco Popular, según la Ley N°4351, artículo 5°._x000d__x000a_"/>
    <n v="163000"/>
  </r>
  <r>
    <n v="3"/>
    <x v="39"/>
    <x v="2"/>
    <x v="24"/>
    <x v="24"/>
    <s v="Contribución Patronal al Seguro de Pensiones  de la Caja Costarricense de Seguro Social, según lo establecido en la Ley de Protección al Trabajador Ley N°7983._x000d__x000a_"/>
    <n v="1763000"/>
  </r>
  <r>
    <n v="3"/>
    <x v="39"/>
    <x v="2"/>
    <x v="25"/>
    <x v="25"/>
    <s v="Aporte patronal al Régimen Obligatorio de Pensiones Complementarias, según lo establecido en la Ley de Protección al Trabajador Ley N°7983._x000d__x000a_"/>
    <n v="976000"/>
  </r>
  <r>
    <n v="3"/>
    <x v="39"/>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_x000d__x000a_"/>
    <n v="488000"/>
  </r>
  <r>
    <n v="3"/>
    <x v="39"/>
    <x v="0"/>
    <x v="9"/>
    <x v="9"/>
    <s v="RT ¢ 303 000 Seguro de Riesgos del Trabajo que debe cubrir la Institución a los funcionarios por todo el año. La póliza de Riesgos del Trabajo se estima en base al 0,69% del total remuneraciones formulada para el año 2025."/>
    <n v="303000"/>
  </r>
  <r>
    <n v="3"/>
    <x v="40"/>
    <x v="3"/>
    <x v="72"/>
    <x v="72"/>
    <s v="Encuesta de confianza de la OCDE"/>
    <n v="40000000"/>
  </r>
  <r>
    <n v="4"/>
    <x v="41"/>
    <x v="2"/>
    <x v="13"/>
    <x v="13"/>
    <s v="Salario base del personal por cargos fijos para cumplir con las actividades permanentes del Instituto, según las Directrices técnicas y metodológicas para la formulación del Presupuesto 2025. "/>
    <n v="46848000"/>
  </r>
  <r>
    <n v="4"/>
    <x v="41"/>
    <x v="2"/>
    <x v="27"/>
    <x v="27"/>
    <s v="Cancelación de tiempo extraordinario para las personas funcionarias, que laboran fuera de horario, para el cumplimiento de actividades que requieren su atención urgente."/>
    <n v="1728000"/>
  </r>
  <r>
    <n v="4"/>
    <x v="41"/>
    <x v="2"/>
    <x v="14"/>
    <x v="14"/>
    <s v="Reconocimiento adicional al salario base que se paga cada vez que el funcionario cumple años de laborar en la institución pública, de acuerdo con la categoría de salarios en que esté ubicado su puesto."/>
    <n v="9074000"/>
  </r>
  <r>
    <n v="4"/>
    <x v="41"/>
    <x v="2"/>
    <x v="15"/>
    <x v="15"/>
    <s v="Compensación económica al servidor al que por legislación vigente se le ha impuesto la restricción al ejercicio de la profesión que ostenta en su cargo."/>
    <n v="8747000"/>
  </r>
  <r>
    <n v="4"/>
    <x v="41"/>
    <x v="2"/>
    <x v="16"/>
    <x v="16"/>
    <s v="Pago de salario adicional para los funcionarios, en cumplimiento de lo establecido en la ley de aguinaldos para Instituciones Autónomas."/>
    <n v="6217000"/>
  </r>
  <r>
    <n v="4"/>
    <x v="41"/>
    <x v="2"/>
    <x v="17"/>
    <x v="17"/>
    <s v="Pago de salario escolar para los funcionarios, en cumplimiento a lo establecido en la ley de salario escolar."/>
    <n v="5773000"/>
  </r>
  <r>
    <n v="4"/>
    <x v="41"/>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2468000"/>
  </r>
  <r>
    <n v="4"/>
    <x v="41"/>
    <x v="2"/>
    <x v="19"/>
    <x v="19"/>
    <s v="Cuota patronal a la Caja Costarricense de Seguro Social por concepto de salud."/>
    <n v="6904000"/>
  </r>
  <r>
    <n v="4"/>
    <x v="41"/>
    <x v="2"/>
    <x v="20"/>
    <x v="20"/>
    <s v="Aporte patronal que se debe cancelar al I.M.A.S, según la Ley N°4760, artículo 3°."/>
    <n v="373000"/>
  </r>
  <r>
    <n v="4"/>
    <x v="41"/>
    <x v="2"/>
    <x v="21"/>
    <x v="21"/>
    <s v="Aporte patronal que se debe cancelar al I.N.A., según la Ley N°6868, artículo 15."/>
    <n v="1120000"/>
  </r>
  <r>
    <n v="4"/>
    <x v="41"/>
    <x v="2"/>
    <x v="22"/>
    <x v="22"/>
    <s v="Aporte patronal al Fondo de Desarrollo Social y Asignaciones Familiares, según la  Ley N°5662, artículo 15."/>
    <n v="3732000"/>
  </r>
  <r>
    <n v="4"/>
    <x v="41"/>
    <x v="2"/>
    <x v="23"/>
    <x v="23"/>
    <s v="Aporte patronal que se debe cancelar al Banco Popular, según la Ley N°4351, artículo 5°."/>
    <n v="373000"/>
  </r>
  <r>
    <n v="4"/>
    <x v="41"/>
    <x v="2"/>
    <x v="24"/>
    <x v="24"/>
    <s v="Contribución Patronal al Seguro de Pensiones  de la Caja Costarricense de Seguro Social, según lo establecido en la Ley de Protección al Trabajador Ley N°7983."/>
    <n v="4045000"/>
  </r>
  <r>
    <n v="4"/>
    <x v="41"/>
    <x v="2"/>
    <x v="25"/>
    <x v="25"/>
    <s v="Aporte patronal al Régimen Obligatorio de Pensiones Complementarias, según lo establecido en la Ley de Protección al Trabajador Ley N°7983."/>
    <n v="2239000"/>
  </r>
  <r>
    <n v="4"/>
    <x v="41"/>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120000"/>
  </r>
  <r>
    <n v="4"/>
    <x v="41"/>
    <x v="0"/>
    <x v="9"/>
    <x v="9"/>
    <s v="RT ¢ 695 000 Seguro de Riesgos del Trabajo que debe cubrir la Institución a los funcionarios por todo el año. La póliza de Riesgos del Trabajo se estima en base al 0,69% del total remuneraciones formulada para el año 2025."/>
    <n v="695000"/>
  </r>
  <r>
    <n v="4"/>
    <x v="42"/>
    <x v="2"/>
    <x v="13"/>
    <x v="13"/>
    <s v="Salario base del personal por cargos fijos para cumplir con las actividades permanentes del Instituto, según las Directrices técnicas y metodológicas para la formulación del Presupuesto 2025. "/>
    <n v="67104000"/>
  </r>
  <r>
    <n v="4"/>
    <x v="42"/>
    <x v="2"/>
    <x v="14"/>
    <x v="14"/>
    <s v="Reconocimiento adicional al salario base que se paga cada vez que el funcionario cumple años de laborar en la institución pública, de acuerdo con la categoría de salarios en que esté ubicado su puesto."/>
    <n v="14218000"/>
  </r>
  <r>
    <n v="4"/>
    <x v="42"/>
    <x v="2"/>
    <x v="15"/>
    <x v="15"/>
    <s v="Compensación económica al servidor al que por legislación vigente se le ha impuesto la restricción al ejercicio de la profesión que ostenta en su cargo."/>
    <n v="10892000"/>
  </r>
  <r>
    <n v="4"/>
    <x v="42"/>
    <x v="2"/>
    <x v="16"/>
    <x v="16"/>
    <s v="Pago de salario adicional para los funcionarios, en cumplimiento de lo establecido en la ley de aguinaldos para Instituciones Autónomas."/>
    <n v="8646000"/>
  </r>
  <r>
    <n v="4"/>
    <x v="42"/>
    <x v="2"/>
    <x v="17"/>
    <x v="17"/>
    <s v="Pago de salario escolar para los funcionarios, en cumplimiento a lo establecido en la ley de salario escolar."/>
    <n v="8158000"/>
  </r>
  <r>
    <n v="4"/>
    <x v="42"/>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3561000"/>
  </r>
  <r>
    <n v="4"/>
    <x v="42"/>
    <x v="2"/>
    <x v="19"/>
    <x v="19"/>
    <s v="Cuota patronal a la Caja Costarricense de Seguro Social por concepto de salud."/>
    <n v="9614000"/>
  </r>
  <r>
    <n v="4"/>
    <x v="42"/>
    <x v="2"/>
    <x v="20"/>
    <x v="20"/>
    <s v="Aporte patronal que se debe cancelar al I.M.A.S, según la Ley N°4760, artículo 3°."/>
    <n v="520000"/>
  </r>
  <r>
    <n v="4"/>
    <x v="42"/>
    <x v="2"/>
    <x v="21"/>
    <x v="21"/>
    <s v="Aporte patronal que se debe cancelar al I.N.A., según la Ley N°6868, artículo 15."/>
    <n v="1559000"/>
  </r>
  <r>
    <n v="4"/>
    <x v="42"/>
    <x v="2"/>
    <x v="22"/>
    <x v="22"/>
    <s v="Aporte patronal al Fondo de Desarrollo Social y Asignaciones Familiares, según la  Ley N°5662, artículo 15."/>
    <n v="5197000"/>
  </r>
  <r>
    <n v="4"/>
    <x v="42"/>
    <x v="2"/>
    <x v="23"/>
    <x v="23"/>
    <s v="Aporte patronal que se debe cancelar al Banco Popular, según la Ley N°4351, artículo 5°."/>
    <n v="520000"/>
  </r>
  <r>
    <n v="4"/>
    <x v="42"/>
    <x v="2"/>
    <x v="24"/>
    <x v="24"/>
    <s v="Contribución Patronal al Seguro de Pensiones  de la Caja Costarricense de Seguro Social, según lo establecido en la Ley de Protección al Trabajador Ley N°7983."/>
    <n v="5633000"/>
  </r>
  <r>
    <n v="4"/>
    <x v="42"/>
    <x v="2"/>
    <x v="25"/>
    <x v="25"/>
    <s v="Aporte patronal al Régimen Obligatorio de Pensiones Complementarias, según lo establecido en la Ley de Protección al Trabajador Ley N°7983."/>
    <n v="3118000"/>
  </r>
  <r>
    <n v="4"/>
    <x v="42"/>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1559000"/>
  </r>
  <r>
    <n v="4"/>
    <x v="42"/>
    <x v="0"/>
    <x v="9"/>
    <x v="9"/>
    <s v="RT ¢ 968 000 Seguro de Riesgos del Trabajo que debe cubrir la Institución a los funcionarios por todo el año. La póliza de Riesgos del Trabajo se estima en base al 0,69% del total remuneraciones formulada para el año 2025."/>
    <n v="968000"/>
  </r>
  <r>
    <n v="4"/>
    <x v="43"/>
    <x v="2"/>
    <x v="13"/>
    <x v="13"/>
    <s v="Salario base del personal por cargos fijos para cumplir con las actividades permanentes del Instituto, según las Directrices técnicas y metodológicas para la formulación del Presupuesto 2025. "/>
    <n v="22952000"/>
  </r>
  <r>
    <n v="4"/>
    <x v="43"/>
    <x v="2"/>
    <x v="14"/>
    <x v="14"/>
    <s v="Reconocimiento adicional al salario base que se paga cada vez que el funcionario cumple años de laborar en la institución pública, de acuerdo con la categoría de salarios en que esté ubicado su puesto."/>
    <n v="10096000"/>
  </r>
  <r>
    <n v="4"/>
    <x v="43"/>
    <x v="2"/>
    <x v="15"/>
    <x v="15"/>
    <s v="Compensación económica al servidor al que por legislación vigente se le ha impuesto la restricción al ejercicio de la profesión que ostenta en su cargo."/>
    <n v="5065000"/>
  </r>
  <r>
    <n v="4"/>
    <x v="43"/>
    <x v="2"/>
    <x v="16"/>
    <x v="16"/>
    <s v="Pago de salario adicional para los funcionarios, en cumplimiento de lo establecido en la ley de aguinaldos para Instituciones Autónomas."/>
    <n v="3521000"/>
  </r>
  <r>
    <n v="4"/>
    <x v="43"/>
    <x v="2"/>
    <x v="17"/>
    <x v="17"/>
    <s v="Pago de salario escolar para los funcionarios, en cumplimiento a lo establecido en la ley de salario escolar."/>
    <n v="3348000"/>
  </r>
  <r>
    <n v="4"/>
    <x v="43"/>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886000"/>
  </r>
  <r>
    <n v="4"/>
    <x v="43"/>
    <x v="2"/>
    <x v="19"/>
    <x v="19"/>
    <s v="Cuota patronal a la Caja Costarricense de Seguro Social por concepto de salud."/>
    <n v="3917000"/>
  </r>
  <r>
    <n v="4"/>
    <x v="43"/>
    <x v="2"/>
    <x v="20"/>
    <x v="20"/>
    <s v="Aporte patronal que se debe cancelar al I.M.A.S, según la Ley N°4760, artículo 3°."/>
    <n v="212000"/>
  </r>
  <r>
    <n v="4"/>
    <x v="43"/>
    <x v="2"/>
    <x v="21"/>
    <x v="21"/>
    <s v="Aporte patronal que se debe cancelar al I.N.A., según la Ley N°6868, artículo 15."/>
    <n v="144000"/>
  </r>
  <r>
    <n v="4"/>
    <x v="43"/>
    <x v="2"/>
    <x v="21"/>
    <x v="21"/>
    <s v="Aporte patronal que se debe cancelar al I.N.A., según la Ley N°6868, artículo 15."/>
    <n v="491000"/>
  </r>
  <r>
    <n v="4"/>
    <x v="43"/>
    <x v="2"/>
    <x v="22"/>
    <x v="22"/>
    <s v="Aporte patronal al Fondo de Desarrollo Social y Asignaciones Familiares, según la  Ley N°5662, artículo 15."/>
    <n v="2117000"/>
  </r>
  <r>
    <n v="4"/>
    <x v="43"/>
    <x v="2"/>
    <x v="23"/>
    <x v="23"/>
    <s v="Aporte patronal que se debe cancelar al Banco Popular, según la Ley N°4351, artículo 5°."/>
    <n v="212000"/>
  </r>
  <r>
    <n v="4"/>
    <x v="43"/>
    <x v="2"/>
    <x v="24"/>
    <x v="24"/>
    <s v="Contribución Patronal al Seguro de Pensiones  de la Caja Costarricense de Seguro Social, según lo establecido en la Ley de Protección al Trabajador Ley N°7983."/>
    <n v="2295000"/>
  </r>
  <r>
    <n v="4"/>
    <x v="43"/>
    <x v="2"/>
    <x v="25"/>
    <x v="25"/>
    <s v="Aporte patronal al Régimen Obligatorio de Pensiones Complementarias, según lo establecido en la Ley de Protección al Trabajador Ley N°7983."/>
    <n v="1270000"/>
  </r>
  <r>
    <n v="4"/>
    <x v="43"/>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635000"/>
  </r>
  <r>
    <n v="4"/>
    <x v="43"/>
    <x v="0"/>
    <x v="9"/>
    <x v="9"/>
    <s v="RT ¢ 394 000 Seguro de Riesgos del Trabajo que debe cubrir la Institución a los funcionarios por todo el año. La póliza de Riesgos del Trabajo se estima en base al 0,69% del total remuneraciones formulada para el año 2025."/>
    <n v="394000"/>
  </r>
  <r>
    <n v="4"/>
    <x v="44"/>
    <x v="2"/>
    <x v="13"/>
    <x v="13"/>
    <s v="Salario base del personal por cargos fijos para cumplir con las actividades permanentes del Instituto, según las Directrices técnicas y metodológicas para la formulación del Presupuesto 2025. "/>
    <n v="22481000"/>
  </r>
  <r>
    <n v="4"/>
    <x v="44"/>
    <x v="2"/>
    <x v="14"/>
    <x v="14"/>
    <s v="Reconocimiento adicional al salario base que se paga cada vez que el funcionario cumple años de laborar en la institución pública, de acuerdo con la categoría de salarios en que esté ubicado su puesto."/>
    <n v="4569000"/>
  </r>
  <r>
    <n v="4"/>
    <x v="44"/>
    <x v="2"/>
    <x v="15"/>
    <x v="15"/>
    <s v="Compensación económica al servidor al que por legislación vigente se le ha impuesto la restricción al ejercicio de la profesión que ostenta en su cargo."/>
    <n v="7368000"/>
  </r>
  <r>
    <n v="4"/>
    <x v="44"/>
    <x v="2"/>
    <x v="16"/>
    <x v="16"/>
    <s v="Pago de salario adicional para los funcionarios, en cumplimiento de lo establecido en la ley de aguinaldos para Instituciones Autónomas."/>
    <n v="3254000"/>
  </r>
  <r>
    <n v="4"/>
    <x v="44"/>
    <x v="2"/>
    <x v="17"/>
    <x v="17"/>
    <s v="Pago de salario escolar para los funcionarios, en cumplimiento a lo establecido en la ley de salario escolar."/>
    <n v="3047000"/>
  </r>
  <r>
    <n v="4"/>
    <x v="44"/>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623000"/>
  </r>
  <r>
    <n v="4"/>
    <x v="44"/>
    <x v="2"/>
    <x v="19"/>
    <x v="19"/>
    <s v="Cuota patronal a la Caja Costarricense de Seguro Social por concepto de salud."/>
    <n v="3616000"/>
  </r>
  <r>
    <n v="4"/>
    <x v="44"/>
    <x v="2"/>
    <x v="20"/>
    <x v="20"/>
    <s v="Aporte patronal que se debe cancelar al I.M.A.S, según la Ley N°4760, artículo 3°."/>
    <n v="195000"/>
  </r>
  <r>
    <n v="4"/>
    <x v="44"/>
    <x v="2"/>
    <x v="21"/>
    <x v="21"/>
    <s v="Aporte patronal que se debe cancelar al I.N.A., según la Ley N°6868, artículo 15."/>
    <n v="586000"/>
  </r>
  <r>
    <n v="4"/>
    <x v="44"/>
    <x v="2"/>
    <x v="22"/>
    <x v="22"/>
    <s v="Aporte patronal al Fondo de Desarrollo Social y Asignaciones Familiares, según la  Ley N°5662, artículo 15."/>
    <n v="1954000"/>
  </r>
  <r>
    <n v="4"/>
    <x v="44"/>
    <x v="2"/>
    <x v="23"/>
    <x v="23"/>
    <s v="Aporte patronal que se debe cancelar al Banco Popular, según la Ley N°4351, artículo 5°."/>
    <n v="195000"/>
  </r>
  <r>
    <n v="4"/>
    <x v="44"/>
    <x v="2"/>
    <x v="24"/>
    <x v="24"/>
    <s v="Contribución Patronal al Seguro de Pensiones  de la Caja Costarricense de Seguro Social, según lo establecido en la Ley de Protección al Trabajador Ley N°7983."/>
    <n v="2118000"/>
  </r>
  <r>
    <n v="4"/>
    <x v="44"/>
    <x v="2"/>
    <x v="25"/>
    <x v="25"/>
    <s v="Aporte patronal al Régimen Obligatorio de Pensiones Complementarias, según lo establecido en la Ley de Protección al Trabajador Ley N°7983."/>
    <n v="1173000"/>
  </r>
  <r>
    <n v="4"/>
    <x v="44"/>
    <x v="2"/>
    <x v="26"/>
    <x v="26"/>
    <s v="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n v="586000"/>
  </r>
  <r>
    <n v="4"/>
    <x v="44"/>
    <x v="0"/>
    <x v="9"/>
    <x v="9"/>
    <s v="RT ¢ 364 000 Seguro de Riesgos del Trabajo que debe cubrir la Institución a los funcionarios por todo el año. La póliza de Riesgos del Trabajo se estima en base al 0,69% del total remuneraciones formulada para el año 2025."/>
    <n v="364000"/>
  </r>
  <r>
    <n v="4"/>
    <x v="45"/>
    <x v="2"/>
    <x v="13"/>
    <x v="13"/>
    <s v="Salario base del personal por cargos fijos para cumplir con las actividades permanentes del Instituto, según las Directrices técnicas y metodológicas para la formulación del Presupuesto 2025. "/>
    <n v="34037000"/>
  </r>
  <r>
    <n v="4"/>
    <x v="45"/>
    <x v="2"/>
    <x v="14"/>
    <x v="14"/>
    <s v="Reconocimiento adicional al salario base que se paga cada vez que el funcionario cumple años de laborar en la institución pública, de acuerdo con la categoría de salarios en que esté ubicado su puesto."/>
    <n v="6244000"/>
  </r>
  <r>
    <n v="4"/>
    <x v="45"/>
    <x v="2"/>
    <x v="15"/>
    <x v="15"/>
    <s v="Compensación económica al servidor al que por legislación vigente se le ha impuesto la restricción al ejercicio de la profesión que ostenta en su cargo."/>
    <n v="6207000"/>
  </r>
  <r>
    <n v="4"/>
    <x v="45"/>
    <x v="2"/>
    <x v="16"/>
    <x v="16"/>
    <s v="Pago de salario adicional para los funcionarios, en cumplimiento de lo establecido en la ley de aguinaldos para Instituciones Autónomas."/>
    <n v="4370000"/>
  </r>
  <r>
    <n v="4"/>
    <x v="45"/>
    <x v="2"/>
    <x v="17"/>
    <x v="17"/>
    <s v="Pago de salario escolar para los funcionarios, en cumplimiento a lo establecido en la ley de salario escolar."/>
    <n v="4033000"/>
  </r>
  <r>
    <n v="4"/>
    <x v="45"/>
    <x v="2"/>
    <x v="18"/>
    <x v="18"/>
    <s v="Comprende el pago de otros incentivos como carrera profesional, de los profesionales de diferentes especialidades según corresponda. Asimismo, pago de incentivos que se reconocen a los profesionales y técnicos en Ciencias Médicas e incentivo para los estadísticos."/>
    <n v="1923000"/>
  </r>
  <r>
    <n v="4"/>
    <x v="45"/>
    <x v="2"/>
    <x v="19"/>
    <x v="19"/>
    <s v="Cuota patronal a la Caja Costarricense de Seguro Social por concepto de salud."/>
    <n v="4851000"/>
  </r>
  <r>
    <n v="4"/>
    <x v="45"/>
    <x v="2"/>
    <x v="20"/>
    <x v="20"/>
    <s v="Aporte patronal que se debe cancelar al I.M.A.S, según la Ley N°4760, artículo 3°."/>
    <n v="262000"/>
  </r>
  <r>
    <n v="4"/>
    <x v="45"/>
    <x v="2"/>
    <x v="21"/>
    <x v="21"/>
    <s v="Aporte patronal que se debe cancelar al I.N.A., según la Ley N°6868, artículo 15."/>
    <n v="787000"/>
  </r>
  <r>
    <n v="4"/>
    <x v="45"/>
    <x v="2"/>
    <x v="22"/>
    <x v="22"/>
    <s v="Aporte patronal al Fondo de Desarrollo Social y Asignaciones Familiares, según la  Ley N°5662, artículo 15."/>
    <n v="2622000"/>
  </r>
  <r>
    <n v="4"/>
    <x v="45"/>
    <x v="2"/>
    <x v="23"/>
    <x v="23"/>
    <s v="Aporte patronal que se debe cancelar al Banco Popular, según la Ley N°4351, artículo 5°."/>
    <n v="262000"/>
  </r>
  <r>
    <n v="4"/>
    <x v="45"/>
    <x v="2"/>
    <x v="24"/>
    <x v="24"/>
    <s v="Contribución Patronal al Seguro de Pensiones  de la Caja Costarricense de Seguro Social, según lo establecido en la Ley de Protección al Trabajador Ley N°7983."/>
    <n v="2842000"/>
  </r>
  <r>
    <n v="4"/>
    <x v="45"/>
    <x v="2"/>
    <x v="25"/>
    <x v="25"/>
    <s v="Aporte patronal al Régimen Obligatorio de Pensiones Complementarias, según lo establecido en la Ley de Protección al Trabajador Ley N°7983."/>
    <n v="1573000"/>
  </r>
  <r>
    <n v="4"/>
    <x v="45"/>
    <x v="2"/>
    <x v="26"/>
    <x v="26"/>
    <s v="Aporte patronal para el financiamiento del Fondo de Capitalización Laboral, según la Ley de Protección al Trabajador, Ley N°7983, artículo 3°. reformada mediante el artículo 1 de la Ley para resguardar el derecho de los trabajadores a retirar los recursos"/>
    <n v="787000"/>
  </r>
  <r>
    <n v="4"/>
    <x v="45"/>
    <x v="0"/>
    <x v="9"/>
    <x v="9"/>
    <s v="RT ¢ 489 000 Seguro de Riesgos del Trabajo que debe cubrir la Institución a los funcionarios por todo el año. La póliza de Riesgos del Trabajo se estima en base al 0,69% del total remuneraciones formulada para el año 2025."/>
    <n v="489000"/>
  </r>
  <r>
    <n v="4"/>
    <x v="46"/>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_x000d__x000a_Distribuidos de la siguiente Forma:_x000d__x000a_SP401 Área de Información y Divulgación Estadística ¢10 976 000_x000d__x000a__x000d__x000a_SP402 Centro de Información ¢5 782 000_x000d__x000a__x000d__x000a_SP404 Biblioteca ¢6 092 000"/>
    <n v="22850000"/>
  </r>
  <r>
    <n v="4"/>
    <x v="46"/>
    <x v="0"/>
    <x v="1"/>
    <x v="1"/>
    <s v="Servicio de suministro de agua potable, según consumo. Esta estimación se realiza con base en el promedio real de enero a junio y un promedio proyectado al segundo semestre 2024._x000d__x000a__x000d__x000a_Distribuidos de la siguiente Forma:_x000d__x000a_SP401 Área de Información y Divulgación Estadística ¢474 000_x000d__x000a__x000d__x000a_SP402 Centro de Información ¢ 250 000_x000d__x000a__x000d__x000a_SP404 Biblioteca ¢262 000"/>
    <n v="986000"/>
  </r>
  <r>
    <n v="4"/>
    <x v="46"/>
    <x v="0"/>
    <x v="2"/>
    <x v="2"/>
    <s v="Servicio de energía eléctrica, según consumo. Esta estimación se realiza con base en el promedio real de enero a junio y un promedio proyectado al segundo semestre 2024._x000d__x000a__x000d__x000a_Distribuidos de la siguiente Forma:_x000d__x000a_SP401 Área de Información y Divulgación Estadística ¢1 484 000_x000d__x000a__x000d__x000a_SP402 Centro de Información ¢782 000_x000d__x000a__x000d__x000a_SP404 Biblioteca ¢824 000"/>
    <n v="3090000"/>
  </r>
  <r>
    <n v="4"/>
    <x v="46"/>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d__x000a__x000d__x000a_Distribuidos de la siguiente Forma:_x000d__x000a_* SP401 Área de Información y Divulgación Estadística ¢770 000_x000d__x000a_* SP402 Centro de Información ¢406 000_x000d__x000a_* SP404 Biblioteca ¢428 000"/>
    <n v="1604000"/>
  </r>
  <r>
    <n v="4"/>
    <x v="46"/>
    <x v="0"/>
    <x v="73"/>
    <x v="73"/>
    <s v="Los medios y otros recursos comunicacionales que posee la institución, presentan limitaciones a la hora de hacer difusiones orgánicas.  Es necesario contratar publicidad (pauta pagada) en medios de alcance mundial, como lo son las redes sociales, los buscadores de google, entre otros. Por ello, es menester destinar recursos para  gestionar el alcance de públicos de interés, como lo son las personas informantes dispersas en todo el territorio nacional. Una forma de resolver es apoyarse en las nuevas tecnologías como: publicidad en plataformas digitales, contenido digital, seguimiento de la inversión digital, desarrollo de aplicaciones, landing page (página de destino -es una página web diseñada para persuadir a los visitantes de realizar una acción específica-) y otras herramientas digitales de calidad según los estándares del mercado ayudará a potenciar los mensajes claves que el INEC tiene interés en difundir."/>
    <n v="40000000"/>
  </r>
  <r>
    <n v="4"/>
    <x v="46"/>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_x000d__x000a_SP401 Área de Información y Divulgación Estadística ¢_x000d__x000a_Seguridad: ¢1 982 000 / Limpieza ¢1 648 000_x000d__x000a__x000d__x000a_SP402 Centro de Información ¢_x000d__x000a_Seguridad: ¢1 045 000 / Limpieza ¢868 000_x000d__x000a__x000d__x000a_SP404 Biblioteca ¢_x000d__x000a_Seguridad: ¢1 100 000 / Limpieza ¢914 000"/>
    <n v="7557000"/>
  </r>
  <r>
    <n v="4"/>
    <x v="46"/>
    <x v="0"/>
    <x v="6"/>
    <x v="6"/>
    <s v="La institución requiere darle continuidad al contrato de servicios integrales de agencia de comunicación, debido a que estos servicios complementan o cubren especialidades de la comunicación que no se tienen en la institución o que se encuentran limitadas y, que es necesario consolidar con el fin de progresar en la difusión de las estadísticas oficiales.  Considerando que la información estadística es un bien público que contribuye a la creación de conocimiento, su democratización y permite crear sociedades informadas como un pilar fundamental de la transparencia. Es responsabilidad del INEC hacer que los datos estadísticos sean entendibles para todos/as y no de forma exclusiva para personas con elevados niveles de escolaridad que les permitan mayor comprensión de los mismos o usuarios calificados para el análisis. De ahí la importancia de contar con los servicios especializados que se requieren en estos términos del procedimiento."/>
    <n v="88000000"/>
  </r>
  <r>
    <n v="4"/>
    <x v="46"/>
    <x v="3"/>
    <x v="74"/>
    <x v="74"/>
    <s v="Afiliación del INEC al Instituto Interamericano de Estadística (IASI). Es importante que el INEC, esté afiliado a este instituto. Es una organización técnica para fomentar el desarrollo estadístico en la región americana. Como afiliado se recibe una revista."/>
    <n v="1200000"/>
  </r>
  <r>
    <n v="4"/>
    <x v="47"/>
    <x v="0"/>
    <x v="0"/>
    <x v="0"/>
    <s v="Considera recursos para el pago de alquiler de edificio Ana Lorena según el espacio asignado. La estimación se realiza con base al contrato existente y según las Directrices técnicas y metodológicas para la formulación del Presupuesto 2025 emitidas por el Ministerio de Hacienda._x000d__x000a__x000d__x000a_Distribuidas de la siguiente forma:_x000d__x000a__x000d__x000a_SP403 Producción Gráfica ¢ 1 818 000_x000d__x000a__x000d__x000a_SP405 Comunicación ¢ 11 602 000"/>
    <n v="13420000"/>
  </r>
  <r>
    <n v="4"/>
    <x v="47"/>
    <x v="0"/>
    <x v="1"/>
    <x v="1"/>
    <s v="Servicio de suministro de agua potable, según consumo. Esta estimación se realiza con base en el promedio real de enero a junio y un promedio proyectado al segundo semestre 2024._x000d__x000a__x000d__x000a__x000d__x000a_Distribuidas de la siguiente forma:_x000d__x000a__x000d__x000a_SP403 Producción Gráfica ¢ 78 000_x000d__x000a__x000d__x000a_SP405 Comunicación ¢ 500 000"/>
    <n v="578000"/>
  </r>
  <r>
    <n v="4"/>
    <x v="47"/>
    <x v="0"/>
    <x v="2"/>
    <x v="2"/>
    <s v="Servicio de energía eléctrica, según consumo. Esta estimación se realiza con base en el promedio real de enero a junio y un promedio proyectado al segundo semestre 2024._x000d__x000a__x000d__x000a_Distribuidas de la siguiente forma:_x000d__x000a__x000d__x000a_SP403 Producción Gráfica ¢ 246 000_x000d__x000a__x000d__x000a_SP405 Comunicación ¢ 1 568 000"/>
    <n v="1814000"/>
  </r>
  <r>
    <n v="4"/>
    <x v="47"/>
    <x v="0"/>
    <x v="3"/>
    <x v="3"/>
    <s v="Comprende el pago de servicio de telefonía, fax, redes de información y otros a nivel nacional e internacional según consumo estimado espacio asignado. Esta estimación se realiza con base en el promedio real de enero a junio y un promedio proyectado de junio 2024._x000a__x000a_Distribuidas de la siguiente forma:_x000a_SP403 Producción Gráfica ¢ 128 000_x000a_SP405 Comunicación ¢ 814 000"/>
    <n v="942000"/>
  </r>
  <r>
    <n v="4"/>
    <x v="47"/>
    <x v="0"/>
    <x v="3"/>
    <x v="3"/>
    <s v="(Planes) _x000a_Se incluye:_x000a_* Continuidad plan #1 asignado al número 8574-2175 Prensa, para la administración de contenidos de redes sociales institucionales.   ¢13.080 x mes_x000a_* Continuidad plan #2 asignado al número 8473-5000 Prensa, para la atención WhatsApp de periodistas.   ¢10.865 x mes_x000a_* Continuidad plan asignado al número 8467-5000 Servicios de Información, para para la atención del WhatsApp institucional.     ¢10.865 x mes_x000a_* Continuidad servicio de recarga anual, de pago anticipado, para dos líneas de WhatsApp integradas al software Zoho CRM Plus.  ¢750.000 anual. _x000a_Se incluye un monto adicional previendo posibles inc"/>
    <n v="1300000"/>
  </r>
  <r>
    <n v="4"/>
    <x v="47"/>
    <x v="0"/>
    <x v="4"/>
    <x v="4"/>
    <s v="(Actividad Día mundial de las estadísticas) Desde el enfoque de experiencia de usuario, las actividades institucionales deben descentralizarse de enfoques técnicos y adecuarse a los diferentes públicos que asistirán a la celebración del Día Mundial de la Estadística. Por esta razón y a partir del pilar estratégico &quot;Difusión de la producción estadística y promoción de la cultura estadística&quot; se requiere incluir dentro de la agenda del día Mundial de la Estadística actividades de conversación, capacitación, foros, así como lúdicas y culturales dinámicas que propicien una experiencia de usuario enfocada en la comprensión de los temas que liderará la institución o que se desarrollaran por expertos(as) invitados(as). Estas actividades se alternarán con las actividades formativas de la agenda, con el fin de que no solo se ofrezca en la celebración un sólo tipo de actividad como tal.  Además, que se consideren diferentes públicos, que podrían incluir niños y niñas, que refuercen temas sobre la importancia de la estadística, quehacer institucional, producción estadística, confidencialidad de los datos, entre otros, innovando y satisfaciendo las necesidades de información en diferentes modalidades, propiciando la comprensión de la celebración. Actividad de interés institucional, que involucra todas las operaciones estadísticas y  proyectos INEC.."/>
    <n v="3500000"/>
  </r>
  <r>
    <n v="4"/>
    <x v="47"/>
    <x v="0"/>
    <x v="43"/>
    <x v="43"/>
    <s v="Continuidad del servicio de suscripción anual digital a periódicos de circulación nacional. Es indispensable tener con una alta oportunidad el acceso a las noticias de relevancia nacional e internacional, que pueden tener impacto en el quehacer institucional, tanto para dar seguimiento a las publicaciones de los resultados, su uso e interpretación de los medios de comunicación, como por otros públicos institucionales. Actualmente, los medios de comunicación son una plataforma de acceso a la ciudadanía que multiplican la divulgación del INEC, razón por la cual el contar con acceso ilimitado a todas noticias en tiempo real en los medios digitales es sumamente valioso y prioritario. Asimismo, es necesario conocer el entorno económico y social de la producción institucional y por ello el acceso a estos medios es considerado como una herramienta fundamental."/>
    <n v="300000"/>
  </r>
  <r>
    <n v="4"/>
    <x v="47"/>
    <x v="0"/>
    <x v="5"/>
    <x v="5"/>
    <s v="Servicio de vigilancia, monitoreo y respuesta armada las 24 horas, se estima de acuerdo a la base real del primer semestre y a la proyección del segundo semestre del 2024._x000d__x000a_Servicio de limpieza de oficinas y áreas comunes de acuerdo a la base real del primer semestre y a la proyección del segundo semestre del 2024._x000d__x000a__x000d__x000a_Distribuidos de la siguiente Forma:_x000d__x000a__x000d__x000a_SP403 Producción Gráfica_x000d__x000a_Seguridad: ¢329 000 / Limpieza ¢272 000_x000d__x000a__x000d__x000a_SP405 Comunicación_x000d__x000a_Seguridad: ¢2 096 000 / Limpieza ¢1 742 000"/>
    <n v="4439000"/>
  </r>
  <r>
    <n v="4"/>
    <x v="47"/>
    <x v="0"/>
    <x v="6"/>
    <x v="6"/>
    <s v="(COES) Servicio de monitoreo y control informaciones (12 MILL). Se requiere para gestionar nuevo procedimiento de control y monitoreo de redes sociales, noticias y todas las actividades comunicacionales atinentes al INEC expuestas públicamente"/>
    <n v="12000000"/>
  </r>
  <r>
    <n v="4"/>
    <x v="47"/>
    <x v="0"/>
    <x v="32"/>
    <x v="32"/>
    <s v="Se atenderá giras con relación a los proyecto MIAPU, específicamente en el Plan de responsabilidad social que contempla visitas a diferentes zonas geográficas en las que se realizarán actividades con este enfoque (¢300.000). Adicionalmente se prevé la realización de giras para dos sesiones fotográficas en diferentes locaciones tanto urbanas como rurales pero que muestren diversidad de realidades o enfoques, para obtener registros fotográficos de los productos de divulgación de las operaciones estadísticas y también productos promocionales que forman parte de los planes de comunicación, o en la memoria institucional u otros requerimientos de diferentes dependencias (¢200.000) colones."/>
    <n v="500000"/>
  </r>
  <r>
    <n v="4"/>
    <x v="47"/>
    <x v="0"/>
    <x v="10"/>
    <x v="10"/>
    <s v="(Actividad Día mundial de las estadísticas) Desde el enfoque de experiencia de usuario, las actividades institucionales deben descentralizarse de enfoques técnicos y adecuarse a los diferentes públicos que asistirán a la celebración del Día Mundial de la Estadística. Por esta razón y a partir del pilar estratégico &quot;Difusión de la producción estadística y promoción de la cultura estadística&quot; se requiere incluir dentro de la agenda del día Mundial de la Estadística actividades de conversación, capacitación, foros, así como lúdicas y culturales dinámicas que propicien una experiencia de usuario enfocada en la comprensión de los temas que liderará la institución o que se desarrollaran por expertos(as) invitados(as). Estas actividades se alternarán con las actividades formativas de la agenda, con el fin de que no solo se ofrezca en la celebración un sólo tipo de actividad como tal.  Además, que se consideren diferentes públicos, que podrían incluir niños y niñas, que refuercen temas sobre la importancia de la estadística, quehacer institucional, producción estadística, confidencialidad de los datos, entre otros, innovando y satisfaciendo las necesidades de información en diferentes modalidades, propiciando la comprensión de la celebración. Actividad de interés institucional, que involucra todas las operaciones estadísticas y  proyectos INEC.."/>
    <n v="5000000"/>
  </r>
  <r>
    <n v="4"/>
    <x v="47"/>
    <x v="0"/>
    <x v="10"/>
    <x v="10"/>
    <s v="Para actividades de capacitación con personas usuarias externas, actividades de relacionamiento con el público meta del Ministerio de Educación Pública por medio del plan de relacionamiento con personas usuarias externas, así como actividades de relacionamiento y formación para trabajar la responsabilidad social del componente de educación y cultura estadística del proyecto MIAPU. Tambien, para atender las ruedas de prensa sobre la divulgación de operaciones estadísticas."/>
    <n v="600000"/>
  </r>
  <r>
    <n v="4"/>
    <x v="47"/>
    <x v="1"/>
    <x v="56"/>
    <x v="56"/>
    <s v="Recursos para &quot;Adquisición de suministros especiales para el Proceso de Producción Gráfica, por demanda con cuantía estimada&quot;, mediante este servicio se atenderán todas las necesidades institucionales programadas."/>
    <n v="400000"/>
  </r>
  <r>
    <n v="4"/>
    <x v="47"/>
    <x v="1"/>
    <x v="45"/>
    <x v="45"/>
    <s v="Recursos para &quot;Adquisición de suministros especiales para el Proceso de Producción Gráfica, por demanda con cuantía estimada&quot;, mediante este servicio se atenderán todas las necesidades institucionales programadas."/>
    <n v="400000"/>
  </r>
  <r>
    <n v="4"/>
    <x v="47"/>
    <x v="1"/>
    <x v="40"/>
    <x v="40"/>
    <s v="Recursos para &quot;Adquisición de suministros especiales para el Proceso de Producción Gráfica, por demanda con cuantía estimada&quot;, mediante este servicio se atenderán todas las necesidades institucionales programadas."/>
    <n v="200000"/>
  </r>
  <r>
    <n v="1"/>
    <x v="8"/>
    <x v="2"/>
    <x v="75"/>
    <x v="75"/>
    <s v="Monto agregado inicial 2 millones + ¢119 180,08 agregados"/>
    <n v="2119180.08"/>
  </r>
  <r>
    <n v="1"/>
    <x v="6"/>
    <x v="0"/>
    <x v="30"/>
    <x v="30"/>
    <s v="¢6 0000 000Contratación de Auditoria  de los Estados Financieros  y Liquidación Presupuestaria del año 2024 (Contabilidad, Presupuesto y Tesorería)"/>
    <n v="6000000"/>
  </r>
  <r>
    <n v="1"/>
    <x v="6"/>
    <x v="0"/>
    <x v="30"/>
    <x v="30"/>
    <s v="¢3 500 000 para horas de soporte consultoría (Presupuesto)"/>
    <n v="3500000"/>
  </r>
  <r>
    <n v="1"/>
    <x v="6"/>
    <x v="0"/>
    <x v="54"/>
    <x v="54"/>
    <s v="Para comisiones bancarias"/>
    <n v="300000"/>
  </r>
  <r>
    <n v="1"/>
    <x v="6"/>
    <x v="0"/>
    <x v="30"/>
    <x v="30"/>
    <s v="Asesoría DC Alliance"/>
    <n v="6000000"/>
  </r>
  <r>
    <n v="1"/>
    <x v="6"/>
    <x v="0"/>
    <x v="76"/>
    <x v="76"/>
    <s v="Erogaciones por concepto de multas e intereses, por atrasos en pago de sus obligaciones "/>
    <n v="500000"/>
  </r>
  <r>
    <n v="1"/>
    <x v="8"/>
    <x v="0"/>
    <x v="30"/>
    <x v="30"/>
    <s v="Director de proyectos para la implementación del nuevo sistema de planillas"/>
    <n v="20000000"/>
  </r>
  <r>
    <n v="4"/>
    <x v="47"/>
    <x v="0"/>
    <x v="6"/>
    <x v="6"/>
    <s v="Contratación servicio consultoría para el &quot;Desarrollo de programa formativo  especializado en los nuevos enfoques de servicio al cliente&quot; (5 MILL.). Se requiere la actualización en nuevas tendencias de servicio al cliente del personal de ASIDE que se encuentra brindando atención y servicio a la población usuaria, para mejorar los niveles de satisfacción de la persona usuaria."/>
    <n v="5000000"/>
  </r>
  <r>
    <n v="4"/>
    <x v="47"/>
    <x v="0"/>
    <x v="6"/>
    <x v="6"/>
    <s v=" &quot;Elaboración de recursos didácticos que facilitan la autogestión de información estadística en el sitio web y de las acciones formativas implementadas&quot; (11.5 MILL). Se requiere para ofrecer a la población usuaria recursos didácticos que informen, capaciten y orienten en la autogestión de la información estadística."/>
    <n v="11500000"/>
  </r>
  <r>
    <n v="1"/>
    <x v="13"/>
    <x v="0"/>
    <x v="77"/>
    <x v="77"/>
    <s v="Recursos para atención ley 7600 Ley de Igualdad de Oportunidades para las Personas con Discapacidad"/>
    <n v="500000"/>
  </r>
  <r>
    <n v="1"/>
    <x v="12"/>
    <x v="0"/>
    <x v="53"/>
    <x v="53"/>
    <s v="Publicaciones en la GACETA: ¢ 500 000 Consejo Directivo"/>
    <n v="500000"/>
  </r>
  <r>
    <n v="1"/>
    <x v="12"/>
    <x v="0"/>
    <x v="53"/>
    <x v="53"/>
    <s v="Publicaciones en la GACETA: ¢ 337 000 AEC"/>
    <n v="337000"/>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r>
    <m/>
    <x v="48"/>
    <x v="6"/>
    <x v="78"/>
    <x v="78"/>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E62421-2BD0-4608-8248-EDE8F8AADB55}" name="TablaDinámica1" cacheId="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AY84" firstHeaderRow="1" firstDataRow="2" firstDataCol="1"/>
  <pivotFields count="7">
    <pivotField showAll="0"/>
    <pivotField axis="axisCol" showAll="0">
      <items count="5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t="default"/>
      </items>
    </pivotField>
    <pivotField showAll="0">
      <items count="8">
        <item x="2"/>
        <item x="0"/>
        <item x="1"/>
        <item x="5"/>
        <item x="4"/>
        <item x="3"/>
        <item x="6"/>
        <item t="default"/>
      </items>
    </pivotField>
    <pivotField showAll="0">
      <items count="80">
        <item x="13"/>
        <item x="70"/>
        <item x="36"/>
        <item x="27"/>
        <item x="75"/>
        <item x="28"/>
        <item x="14"/>
        <item x="15"/>
        <item x="16"/>
        <item x="17"/>
        <item x="18"/>
        <item x="19"/>
        <item x="20"/>
        <item x="21"/>
        <item x="22"/>
        <item x="23"/>
        <item x="24"/>
        <item x="25"/>
        <item x="26"/>
        <item x="0"/>
        <item x="58"/>
        <item x="48"/>
        <item x="1"/>
        <item x="2"/>
        <item x="59"/>
        <item x="3"/>
        <item x="46"/>
        <item x="53"/>
        <item x="73"/>
        <item x="4"/>
        <item x="60"/>
        <item x="54"/>
        <item x="43"/>
        <item x="29"/>
        <item x="30"/>
        <item x="49"/>
        <item x="5"/>
        <item x="6"/>
        <item x="31"/>
        <item x="32"/>
        <item x="7"/>
        <item x="8"/>
        <item x="9"/>
        <item x="10"/>
        <item x="37"/>
        <item x="11"/>
        <item x="77"/>
        <item x="61"/>
        <item x="62"/>
        <item x="38"/>
        <item x="33"/>
        <item x="63"/>
        <item x="34"/>
        <item x="76"/>
        <item x="64"/>
        <item x="65"/>
        <item x="66"/>
        <item x="47"/>
        <item x="55"/>
        <item x="67"/>
        <item x="12"/>
        <item x="56"/>
        <item x="44"/>
        <item x="45"/>
        <item x="39"/>
        <item x="68"/>
        <item x="69"/>
        <item x="40"/>
        <item x="57"/>
        <item x="71"/>
        <item x="50"/>
        <item x="51"/>
        <item x="52"/>
        <item x="35"/>
        <item x="41"/>
        <item x="42"/>
        <item x="72"/>
        <item x="74"/>
        <item x="78"/>
        <item t="default"/>
      </items>
    </pivotField>
    <pivotField axis="axisRow" showAll="0">
      <items count="80">
        <item x="13"/>
        <item x="70"/>
        <item x="36"/>
        <item x="27"/>
        <item x="75"/>
        <item x="28"/>
        <item x="14"/>
        <item x="15"/>
        <item x="16"/>
        <item x="17"/>
        <item x="18"/>
        <item x="19"/>
        <item x="20"/>
        <item x="21"/>
        <item x="22"/>
        <item x="23"/>
        <item x="24"/>
        <item x="25"/>
        <item x="26"/>
        <item x="0"/>
        <item x="58"/>
        <item x="48"/>
        <item x="1"/>
        <item x="2"/>
        <item x="59"/>
        <item x="3"/>
        <item x="46"/>
        <item x="53"/>
        <item x="73"/>
        <item x="4"/>
        <item x="60"/>
        <item x="54"/>
        <item x="43"/>
        <item x="29"/>
        <item x="30"/>
        <item x="49"/>
        <item x="5"/>
        <item x="6"/>
        <item x="31"/>
        <item x="32"/>
        <item x="7"/>
        <item x="8"/>
        <item x="9"/>
        <item x="10"/>
        <item x="37"/>
        <item x="11"/>
        <item x="77"/>
        <item x="61"/>
        <item x="62"/>
        <item x="38"/>
        <item x="33"/>
        <item x="63"/>
        <item x="34"/>
        <item x="76"/>
        <item x="64"/>
        <item x="65"/>
        <item x="66"/>
        <item x="47"/>
        <item x="55"/>
        <item x="67"/>
        <item x="12"/>
        <item x="56"/>
        <item x="44"/>
        <item x="45"/>
        <item x="39"/>
        <item x="68"/>
        <item x="69"/>
        <item x="40"/>
        <item x="57"/>
        <item x="71"/>
        <item x="50"/>
        <item x="51"/>
        <item x="52"/>
        <item x="35"/>
        <item x="41"/>
        <item x="42"/>
        <item x="72"/>
        <item x="74"/>
        <item x="78"/>
        <item t="default"/>
      </items>
    </pivotField>
    <pivotField showAll="0"/>
    <pivotField dataField="1" showAll="0"/>
  </pivotFields>
  <rowFields count="1">
    <field x="4"/>
  </rowFields>
  <rowItems count="8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t="grand">
      <x/>
    </i>
  </rowItems>
  <colFields count="1">
    <field x="1"/>
  </colFields>
  <colItems count="5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t="grand">
      <x/>
    </i>
  </colItems>
  <dataFields count="1">
    <dataField name="Suma de PO_2025" fld="6" baseField="0" baseItem="0"/>
  </dataFields>
  <formats count="13">
    <format dxfId="12">
      <pivotArea collapsedLevelsAreSubtotals="1" fieldPosition="0">
        <references count="2">
          <reference field="1" count="1" selected="0">
            <x v="2"/>
          </reference>
          <reference field="4" count="1">
            <x v="0"/>
          </reference>
        </references>
      </pivotArea>
    </format>
    <format dxfId="11">
      <pivotArea collapsedLevelsAreSubtotals="1" fieldPosition="0">
        <references count="2">
          <reference field="1" count="2" selected="0">
            <x v="0"/>
            <x v="1"/>
          </reference>
          <reference field="4" count="1">
            <x v="0"/>
          </reference>
        </references>
      </pivotArea>
    </format>
    <format dxfId="10">
      <pivotArea collapsedLevelsAreSubtotals="1" fieldPosition="0">
        <references count="2">
          <reference field="1" count="2" selected="0">
            <x v="3"/>
            <x v="4"/>
          </reference>
          <reference field="4" count="1">
            <x v="0"/>
          </reference>
        </references>
      </pivotArea>
    </format>
    <format dxfId="9">
      <pivotArea collapsedLevelsAreSubtotals="1" fieldPosition="0">
        <references count="2">
          <reference field="1" count="6" selected="0">
            <x v="5"/>
            <x v="6"/>
            <x v="7"/>
            <x v="8"/>
            <x v="9"/>
            <x v="10"/>
          </reference>
          <reference field="4" count="1">
            <x v="0"/>
          </reference>
        </references>
      </pivotArea>
    </format>
    <format dxfId="8">
      <pivotArea collapsedLevelsAreSubtotals="1" fieldPosition="0">
        <references count="2">
          <reference field="1" count="1" selected="0">
            <x v="12"/>
          </reference>
          <reference field="4" count="1">
            <x v="0"/>
          </reference>
        </references>
      </pivotArea>
    </format>
    <format dxfId="7">
      <pivotArea collapsedLevelsAreSubtotals="1" fieldPosition="0">
        <references count="2">
          <reference field="1" count="1" selected="0">
            <x v="13"/>
          </reference>
          <reference field="4" count="1">
            <x v="0"/>
          </reference>
        </references>
      </pivotArea>
    </format>
    <format dxfId="6">
      <pivotArea collapsedLevelsAreSubtotals="1" fieldPosition="0">
        <references count="2">
          <reference field="1" count="14" selected="0">
            <x v="0"/>
            <x v="1"/>
            <x v="2"/>
            <x v="3"/>
            <x v="4"/>
            <x v="5"/>
            <x v="6"/>
            <x v="7"/>
            <x v="8"/>
            <x v="9"/>
            <x v="10"/>
            <x v="11"/>
            <x v="12"/>
            <x v="13"/>
          </reference>
          <reference field="4" count="1">
            <x v="0"/>
          </reference>
        </references>
      </pivotArea>
    </format>
    <format dxfId="5">
      <pivotArea collapsedLevelsAreSubtotals="1" fieldPosition="0">
        <references count="2">
          <reference field="1" count="1" selected="0">
            <x v="41"/>
          </reference>
          <reference field="4" count="1">
            <x v="0"/>
          </reference>
        </references>
      </pivotArea>
    </format>
    <format dxfId="4">
      <pivotArea collapsedLevelsAreSubtotals="1" fieldPosition="0">
        <references count="2">
          <reference field="1" count="1" selected="0">
            <x v="42"/>
          </reference>
          <reference field="4" count="1">
            <x v="0"/>
          </reference>
        </references>
      </pivotArea>
    </format>
    <format dxfId="3">
      <pivotArea collapsedLevelsAreSubtotals="1" fieldPosition="0">
        <references count="2">
          <reference field="1" count="1" selected="0">
            <x v="44"/>
          </reference>
          <reference field="4" count="1">
            <x v="0"/>
          </reference>
        </references>
      </pivotArea>
    </format>
    <format dxfId="2">
      <pivotArea dataOnly="0" labelOnly="1" fieldPosition="0">
        <references count="1">
          <reference field="1" count="2">
            <x v="41"/>
            <x v="42"/>
          </reference>
        </references>
      </pivotArea>
    </format>
    <format dxfId="1">
      <pivotArea dataOnly="0" labelOnly="1" fieldPosition="0">
        <references count="1">
          <reference field="1" count="1">
            <x v="44"/>
          </reference>
        </references>
      </pivotArea>
    </format>
    <format dxfId="0">
      <pivotArea dataOnly="0" labelOnly="1" fieldPosition="0">
        <references count="1">
          <reference field="1" count="1">
            <x v="4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9" tint="-0.499984740745262"/>
  </sheetPr>
  <dimension ref="A2:G36"/>
  <sheetViews>
    <sheetView showGridLines="0" zoomScaleNormal="100" workbookViewId="0">
      <selection activeCell="K23" sqref="K23"/>
    </sheetView>
  </sheetViews>
  <sheetFormatPr baseColWidth="10" defaultColWidth="11.44140625" defaultRowHeight="17.399999999999999"/>
  <cols>
    <col min="1" max="1" width="14.33203125" style="3" customWidth="1"/>
    <col min="2" max="2" width="4.33203125" style="3" customWidth="1"/>
    <col min="3" max="3" width="15.109375" style="3" customWidth="1"/>
    <col min="4" max="6" width="11.44140625" style="3"/>
    <col min="7" max="7" width="11.44140625" style="7"/>
    <col min="8" max="16384" width="11.44140625" style="3"/>
  </cols>
  <sheetData>
    <row r="2" spans="1:7" ht="16.2">
      <c r="A2" s="1"/>
      <c r="B2" s="1"/>
      <c r="C2" s="1"/>
      <c r="D2" s="1"/>
      <c r="E2" s="1173"/>
      <c r="F2" s="1173"/>
      <c r="G2" s="1173"/>
    </row>
    <row r="3" spans="1:7" ht="16.2">
      <c r="A3" s="1174" t="s">
        <v>268</v>
      </c>
      <c r="B3" s="1174"/>
      <c r="C3" s="1174"/>
      <c r="D3" s="1174"/>
      <c r="E3" s="1174"/>
      <c r="F3" s="1174"/>
      <c r="G3" s="1174"/>
    </row>
    <row r="4" spans="1:7" ht="16.8" thickBot="1">
      <c r="A4" s="1175" t="s">
        <v>250</v>
      </c>
      <c r="B4" s="1175"/>
      <c r="C4" s="1175"/>
      <c r="D4" s="1175"/>
      <c r="E4" s="1175"/>
      <c r="F4" s="1175"/>
      <c r="G4" s="1175"/>
    </row>
    <row r="5" spans="1:7" ht="18" thickTop="1">
      <c r="A5" s="4"/>
      <c r="B5" s="4"/>
      <c r="C5" s="4"/>
      <c r="D5" s="4"/>
      <c r="E5" s="4"/>
      <c r="F5" s="4"/>
      <c r="G5" s="5"/>
    </row>
    <row r="6" spans="1:7">
      <c r="A6" s="1176" t="s">
        <v>385</v>
      </c>
      <c r="B6" s="1176"/>
      <c r="C6" s="1176"/>
      <c r="D6" s="1176"/>
      <c r="E6" s="1176"/>
      <c r="F6" s="1176"/>
      <c r="G6" s="1176"/>
    </row>
    <row r="7" spans="1:7">
      <c r="A7" s="1177" t="s">
        <v>952</v>
      </c>
      <c r="B7" s="1177"/>
      <c r="C7" s="1177"/>
      <c r="D7" s="1177"/>
      <c r="E7" s="1177"/>
      <c r="F7" s="1177"/>
      <c r="G7" s="1177"/>
    </row>
    <row r="8" spans="1:7">
      <c r="A8" s="6"/>
      <c r="B8" s="6"/>
      <c r="C8" s="6"/>
      <c r="D8" s="6"/>
      <c r="E8" s="6"/>
      <c r="F8" s="6"/>
    </row>
    <row r="9" spans="1:7">
      <c r="A9" s="6"/>
      <c r="B9" s="6"/>
      <c r="C9" s="6"/>
      <c r="D9" s="6"/>
      <c r="E9" s="6"/>
      <c r="F9" s="6"/>
    </row>
    <row r="10" spans="1:7">
      <c r="A10" s="8" t="s">
        <v>1</v>
      </c>
      <c r="B10" s="6"/>
      <c r="C10" s="6"/>
      <c r="D10" s="6"/>
      <c r="E10" s="6"/>
      <c r="F10" s="6"/>
    </row>
    <row r="11" spans="1:7" ht="15.9" customHeight="1">
      <c r="A11" s="6"/>
      <c r="B11" s="6" t="s">
        <v>1342</v>
      </c>
      <c r="C11" s="6"/>
      <c r="D11" s="6"/>
      <c r="E11" s="6"/>
      <c r="F11" s="6"/>
      <c r="G11" s="9">
        <v>1</v>
      </c>
    </row>
    <row r="12" spans="1:7" ht="15.9" customHeight="1">
      <c r="A12" s="6"/>
      <c r="B12" s="6" t="s">
        <v>1343</v>
      </c>
      <c r="C12" s="6"/>
      <c r="D12" s="6"/>
      <c r="E12" s="6"/>
      <c r="F12" s="6"/>
      <c r="G12" s="9">
        <v>2</v>
      </c>
    </row>
    <row r="13" spans="1:7" ht="15.9" customHeight="1">
      <c r="A13" s="6"/>
      <c r="B13" s="6" t="s">
        <v>386</v>
      </c>
      <c r="C13" s="6"/>
      <c r="D13" s="6"/>
      <c r="E13" s="6"/>
      <c r="F13" s="6"/>
      <c r="G13" s="9">
        <v>3</v>
      </c>
    </row>
    <row r="14" spans="1:7" ht="15.9" customHeight="1">
      <c r="A14" s="6"/>
      <c r="B14" s="6" t="s">
        <v>1344</v>
      </c>
      <c r="C14" s="6"/>
      <c r="D14" s="6"/>
      <c r="E14" s="6"/>
      <c r="F14" s="6"/>
      <c r="G14" s="9" t="s">
        <v>718</v>
      </c>
    </row>
    <row r="15" spans="1:7" ht="15.9" customHeight="1">
      <c r="A15" s="6"/>
      <c r="B15" s="6" t="s">
        <v>387</v>
      </c>
      <c r="C15" s="6"/>
      <c r="D15" s="6"/>
      <c r="E15" s="6"/>
      <c r="F15" s="6"/>
      <c r="G15" s="9" t="s">
        <v>434</v>
      </c>
    </row>
    <row r="16" spans="1:7" ht="15.9" customHeight="1">
      <c r="A16" s="6"/>
      <c r="B16" s="6" t="s">
        <v>388</v>
      </c>
      <c r="C16" s="6"/>
      <c r="D16" s="6"/>
      <c r="E16" s="6"/>
      <c r="F16" s="6"/>
      <c r="G16" s="10">
        <v>6</v>
      </c>
    </row>
    <row r="17" spans="1:7" ht="15.9" customHeight="1">
      <c r="A17" s="6"/>
      <c r="B17" s="6" t="s">
        <v>389</v>
      </c>
      <c r="C17" s="6"/>
      <c r="D17" s="6"/>
      <c r="E17" s="6"/>
      <c r="F17" s="6"/>
      <c r="G17" s="10">
        <v>10</v>
      </c>
    </row>
    <row r="18" spans="1:7" ht="15.9" customHeight="1">
      <c r="A18" s="6"/>
      <c r="B18" s="6" t="s">
        <v>36</v>
      </c>
      <c r="C18" s="6"/>
      <c r="D18" s="6"/>
      <c r="E18" s="6"/>
      <c r="F18" s="6"/>
      <c r="G18" s="10">
        <v>14</v>
      </c>
    </row>
    <row r="19" spans="1:7" ht="15.9" customHeight="1">
      <c r="A19" s="6"/>
      <c r="B19" s="6"/>
      <c r="C19" s="6"/>
      <c r="D19" s="6"/>
      <c r="E19" s="6"/>
      <c r="F19" s="6"/>
      <c r="G19" s="10"/>
    </row>
    <row r="20" spans="1:7" ht="15.9" customHeight="1">
      <c r="A20" s="8" t="s">
        <v>15</v>
      </c>
      <c r="B20" s="6" t="s">
        <v>390</v>
      </c>
      <c r="C20" s="6"/>
      <c r="D20" s="6"/>
      <c r="E20" s="6"/>
      <c r="F20" s="6"/>
      <c r="G20" s="10">
        <v>16</v>
      </c>
    </row>
    <row r="21" spans="1:7" ht="15.9" customHeight="1">
      <c r="A21" s="6"/>
      <c r="B21" s="6" t="s">
        <v>391</v>
      </c>
      <c r="C21" s="6"/>
      <c r="D21" s="6"/>
      <c r="E21" s="6"/>
      <c r="F21" s="6"/>
      <c r="G21" s="10">
        <v>19</v>
      </c>
    </row>
    <row r="22" spans="1:7" ht="15.9" customHeight="1">
      <c r="A22" s="6"/>
      <c r="B22" s="6" t="s">
        <v>392</v>
      </c>
      <c r="C22" s="6"/>
      <c r="D22" s="6"/>
      <c r="E22" s="6"/>
      <c r="F22" s="6"/>
      <c r="G22" s="10"/>
    </row>
    <row r="23" spans="1:7" ht="15.9" customHeight="1">
      <c r="A23" s="6"/>
      <c r="B23" s="6"/>
      <c r="C23" s="6" t="s">
        <v>31</v>
      </c>
      <c r="D23" s="6"/>
      <c r="E23" s="6"/>
      <c r="F23" s="6"/>
      <c r="G23" s="10">
        <v>22</v>
      </c>
    </row>
    <row r="24" spans="1:7" ht="15.9" customHeight="1">
      <c r="A24" s="6"/>
      <c r="B24" s="6"/>
      <c r="C24" s="6" t="s">
        <v>27</v>
      </c>
      <c r="D24" s="6"/>
      <c r="E24" s="6"/>
      <c r="F24" s="6"/>
      <c r="G24" s="10">
        <v>28</v>
      </c>
    </row>
    <row r="25" spans="1:7" ht="15.9" customHeight="1">
      <c r="A25" s="6"/>
      <c r="B25" s="6"/>
      <c r="C25" s="6" t="s">
        <v>28</v>
      </c>
      <c r="D25" s="6"/>
      <c r="E25" s="6"/>
      <c r="F25" s="6"/>
      <c r="G25" s="10">
        <v>30</v>
      </c>
    </row>
    <row r="26" spans="1:7" ht="15.9" customHeight="1">
      <c r="A26" s="6"/>
      <c r="B26" s="6"/>
      <c r="C26" s="6" t="s">
        <v>309</v>
      </c>
      <c r="D26" s="6"/>
      <c r="E26" s="6"/>
      <c r="F26" s="6"/>
      <c r="G26" s="1110">
        <v>34</v>
      </c>
    </row>
    <row r="27" spans="1:7" ht="7.95" customHeight="1">
      <c r="A27" s="6"/>
      <c r="B27" s="6"/>
      <c r="C27" s="6"/>
      <c r="D27" s="6"/>
      <c r="E27" s="6"/>
      <c r="F27" s="6"/>
      <c r="G27" s="1110"/>
    </row>
    <row r="28" spans="1:7" ht="15.9" customHeight="1">
      <c r="A28" s="6"/>
      <c r="B28" s="6" t="s">
        <v>39</v>
      </c>
      <c r="C28" s="6"/>
      <c r="D28" s="6"/>
      <c r="G28" s="1110">
        <v>38</v>
      </c>
    </row>
    <row r="29" spans="1:7" ht="15.9" customHeight="1">
      <c r="A29" s="6"/>
      <c r="B29" s="6"/>
      <c r="C29" s="6" t="s">
        <v>31</v>
      </c>
      <c r="D29" s="6"/>
      <c r="G29" s="1110">
        <v>39</v>
      </c>
    </row>
    <row r="30" spans="1:7" ht="15.9" customHeight="1">
      <c r="C30" s="6" t="s">
        <v>27</v>
      </c>
      <c r="G30" s="1110">
        <v>40</v>
      </c>
    </row>
    <row r="31" spans="1:7" ht="15.9" customHeight="1">
      <c r="C31" s="6" t="s">
        <v>28</v>
      </c>
      <c r="G31" s="1110">
        <v>41</v>
      </c>
    </row>
    <row r="32" spans="1:7" ht="15.9" customHeight="1">
      <c r="C32" s="6" t="s">
        <v>309</v>
      </c>
      <c r="G32" s="1110">
        <v>42</v>
      </c>
    </row>
    <row r="33" spans="1:7" hidden="1"/>
    <row r="34" spans="1:7" hidden="1">
      <c r="A34" s="11"/>
      <c r="B34" s="12"/>
      <c r="C34" s="6" t="s">
        <v>683</v>
      </c>
      <c r="D34" s="12"/>
      <c r="E34" s="12"/>
      <c r="F34" s="12"/>
      <c r="G34" s="13">
        <v>62</v>
      </c>
    </row>
    <row r="35" spans="1:7" ht="7.95" customHeight="1" thickBot="1">
      <c r="A35" s="14"/>
      <c r="B35" s="14"/>
      <c r="C35" s="14"/>
      <c r="D35" s="14"/>
      <c r="E35" s="14"/>
      <c r="F35" s="14"/>
      <c r="G35" s="15"/>
    </row>
    <row r="36" spans="1:7" ht="18" thickTop="1"/>
  </sheetData>
  <mergeCells count="5">
    <mergeCell ref="E2:G2"/>
    <mergeCell ref="A3:G3"/>
    <mergeCell ref="A4:G4"/>
    <mergeCell ref="A6:G6"/>
    <mergeCell ref="A7:G7"/>
  </mergeCells>
  <printOptions horizontalCentered="1"/>
  <pageMargins left="0.78740157480314965" right="0.78740157480314965" top="0.78740157480314965" bottom="0.74803149606299213" header="0.59055118110236227" footer="0.59055118110236227"/>
  <pageSetup orientation="portrait" r:id="rId1"/>
  <ignoredErrors>
    <ignoredError sqref="G14:G15"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2:L256"/>
  <sheetViews>
    <sheetView showGridLines="0" topLeftCell="B1" zoomScaleNormal="100" workbookViewId="0">
      <selection activeCell="L28" sqref="L28"/>
    </sheetView>
  </sheetViews>
  <sheetFormatPr baseColWidth="10" defaultColWidth="11.44140625" defaultRowHeight="16.2" outlineLevelRow="2"/>
  <cols>
    <col min="1" max="1" width="11.44140625" style="3" hidden="1" customWidth="1"/>
    <col min="2" max="2" width="75.5546875" style="3" customWidth="1"/>
    <col min="3" max="3" width="18.33203125" style="24" bestFit="1" customWidth="1"/>
    <col min="4" max="4" width="8" style="822" bestFit="1" customWidth="1"/>
    <col min="5" max="5" width="18.33203125" style="24" customWidth="1"/>
    <col min="6" max="6" width="8.33203125" style="822" customWidth="1"/>
    <col min="7" max="7" width="11.109375" style="823" customWidth="1"/>
    <col min="8" max="8" width="18.33203125" style="24" bestFit="1" customWidth="1"/>
    <col min="9" max="9" width="7.88671875" style="822" bestFit="1" customWidth="1"/>
    <col min="10" max="10" width="10" style="822" customWidth="1"/>
    <col min="11" max="11" width="14.33203125" style="3" hidden="1" customWidth="1"/>
    <col min="12" max="12" width="15.33203125" style="3" hidden="1" customWidth="1"/>
    <col min="13" max="13" width="0" style="3" hidden="1" customWidth="1"/>
    <col min="14" max="16384" width="11.44140625" style="3"/>
  </cols>
  <sheetData>
    <row r="2" spans="1:12">
      <c r="B2" s="1206" t="s">
        <v>0</v>
      </c>
      <c r="C2" s="1207"/>
      <c r="D2" s="1206"/>
      <c r="E2" s="1207"/>
      <c r="F2" s="1206"/>
      <c r="G2" s="1206"/>
      <c r="H2" s="1207"/>
      <c r="I2" s="1206"/>
      <c r="J2" s="1206"/>
    </row>
    <row r="3" spans="1:12" ht="16.8" thickBot="1">
      <c r="B3" s="1216"/>
      <c r="C3" s="1217"/>
      <c r="D3" s="1216"/>
      <c r="E3" s="1217"/>
      <c r="F3" s="1216"/>
      <c r="G3" s="1216"/>
      <c r="H3" s="1217"/>
      <c r="I3" s="1216"/>
      <c r="J3" s="1216"/>
    </row>
    <row r="4" spans="1:12" ht="9" customHeight="1">
      <c r="B4" s="770"/>
      <c r="C4" s="346"/>
      <c r="D4" s="771"/>
      <c r="E4" s="346"/>
      <c r="F4" s="771"/>
      <c r="G4" s="772"/>
      <c r="H4" s="346"/>
      <c r="I4" s="771"/>
      <c r="J4" s="773"/>
    </row>
    <row r="5" spans="1:12">
      <c r="B5" s="1208" t="s">
        <v>36</v>
      </c>
      <c r="C5" s="1209"/>
      <c r="D5" s="1210"/>
      <c r="E5" s="1209"/>
      <c r="F5" s="1210"/>
      <c r="G5" s="1210"/>
      <c r="H5" s="1209"/>
      <c r="I5" s="1210"/>
      <c r="J5" s="1211"/>
    </row>
    <row r="6" spans="1:12">
      <c r="B6" s="1212" t="s">
        <v>37</v>
      </c>
      <c r="C6" s="1213"/>
      <c r="D6" s="1214"/>
      <c r="E6" s="1213"/>
      <c r="F6" s="1214"/>
      <c r="G6" s="1214"/>
      <c r="H6" s="1213"/>
      <c r="I6" s="1214"/>
      <c r="J6" s="1215"/>
    </row>
    <row r="7" spans="1:12" ht="9" customHeight="1" thickBot="1">
      <c r="B7" s="79"/>
      <c r="C7" s="335"/>
      <c r="D7" s="703"/>
      <c r="E7" s="335"/>
      <c r="F7" s="703"/>
      <c r="G7" s="707"/>
      <c r="H7" s="335"/>
      <c r="I7" s="703"/>
      <c r="J7" s="774"/>
    </row>
    <row r="8" spans="1:12" ht="32.4">
      <c r="B8" s="775"/>
      <c r="C8" s="328" t="s">
        <v>6</v>
      </c>
      <c r="D8" s="776"/>
      <c r="E8" s="777" t="s">
        <v>969</v>
      </c>
      <c r="F8" s="776"/>
      <c r="G8" s="776" t="s">
        <v>5</v>
      </c>
      <c r="H8" s="328" t="s">
        <v>35</v>
      </c>
      <c r="I8" s="776"/>
      <c r="J8" s="778" t="s">
        <v>5</v>
      </c>
    </row>
    <row r="9" spans="1:12" ht="32.4">
      <c r="B9" s="329" t="s">
        <v>44</v>
      </c>
      <c r="C9" s="330" t="s">
        <v>957</v>
      </c>
      <c r="D9" s="779" t="s">
        <v>5</v>
      </c>
      <c r="E9" s="780" t="s">
        <v>970</v>
      </c>
      <c r="F9" s="779" t="s">
        <v>5</v>
      </c>
      <c r="G9" s="779" t="s">
        <v>11</v>
      </c>
      <c r="H9" s="330" t="s">
        <v>959</v>
      </c>
      <c r="I9" s="779" t="s">
        <v>5</v>
      </c>
      <c r="J9" s="781" t="s">
        <v>11</v>
      </c>
    </row>
    <row r="10" spans="1:12" ht="16.8" thickBot="1">
      <c r="B10" s="782"/>
      <c r="C10" s="767" t="s">
        <v>7</v>
      </c>
      <c r="D10" s="783"/>
      <c r="E10" s="767" t="s">
        <v>9</v>
      </c>
      <c r="F10" s="783"/>
      <c r="G10" s="784" t="s">
        <v>8</v>
      </c>
      <c r="H10" s="767" t="s">
        <v>25</v>
      </c>
      <c r="I10" s="783"/>
      <c r="J10" s="785" t="s">
        <v>12</v>
      </c>
    </row>
    <row r="11" spans="1:12" ht="10.5" customHeight="1">
      <c r="B11" s="786"/>
      <c r="C11" s="787"/>
      <c r="D11" s="788"/>
      <c r="E11" s="787"/>
      <c r="F11" s="788"/>
      <c r="G11" s="788"/>
      <c r="H11" s="787"/>
      <c r="I11" s="788"/>
      <c r="J11" s="789"/>
    </row>
    <row r="12" spans="1:12" ht="15.9" customHeight="1">
      <c r="B12" s="790" t="s">
        <v>50</v>
      </c>
      <c r="C12" s="791">
        <f>+C13+C32</f>
        <v>10471326364.08</v>
      </c>
      <c r="D12" s="792">
        <f>+C12/$C$243</f>
        <v>0.58454527132708523</v>
      </c>
      <c r="E12" s="791">
        <f>+E13+E32</f>
        <v>7495211502</v>
      </c>
      <c r="F12" s="792">
        <f>+E12/$E$243</f>
        <v>0.66463013694367945</v>
      </c>
      <c r="G12" s="792">
        <f>+D12-F12</f>
        <v>-8.0084865616594225E-2</v>
      </c>
      <c r="H12" s="791">
        <f>+H13+H32</f>
        <v>6322523024.9799995</v>
      </c>
      <c r="I12" s="792">
        <f>+H12/$H$243</f>
        <v>0.65872329526419304</v>
      </c>
      <c r="J12" s="793">
        <f>+F12-I12</f>
        <v>5.9068416794864076E-3</v>
      </c>
      <c r="K12" s="23"/>
      <c r="L12" s="980">
        <v>0.9</v>
      </c>
    </row>
    <row r="13" spans="1:12" ht="15.9" hidden="1" customHeight="1" outlineLevel="1">
      <c r="B13" s="332"/>
      <c r="C13" s="333">
        <f>SUM(C15:C31)</f>
        <v>8406578364.0799999</v>
      </c>
      <c r="D13" s="711">
        <f>+C13/C243</f>
        <v>0.46928397224063501</v>
      </c>
      <c r="E13" s="333">
        <f>SUM(E15:E31)</f>
        <v>6018021702</v>
      </c>
      <c r="F13" s="711">
        <f>+E13/E243</f>
        <v>0.53364185745298998</v>
      </c>
      <c r="G13" s="708">
        <f>+D13-F13</f>
        <v>-6.4357885212354971E-2</v>
      </c>
      <c r="H13" s="333">
        <f>SUM(H15:H31)</f>
        <v>5085670208.2299995</v>
      </c>
      <c r="I13" s="711">
        <f>+H13/H243</f>
        <v>0.52985958690167001</v>
      </c>
      <c r="J13" s="794">
        <f>+F13-I13</f>
        <v>3.7822705513199661E-3</v>
      </c>
      <c r="L13" s="3" t="s">
        <v>974</v>
      </c>
    </row>
    <row r="14" spans="1:12" ht="7.95" customHeight="1" collapsed="1">
      <c r="B14" s="105"/>
      <c r="C14" s="335"/>
      <c r="D14" s="703"/>
      <c r="E14" s="335"/>
      <c r="F14" s="703"/>
      <c r="G14" s="707"/>
      <c r="H14" s="335"/>
      <c r="I14" s="707"/>
      <c r="J14" s="795"/>
    </row>
    <row r="15" spans="1:12" ht="15.9" customHeight="1">
      <c r="A15" s="3" t="s">
        <v>67</v>
      </c>
      <c r="B15" s="796" t="s">
        <v>482</v>
      </c>
      <c r="C15" s="335">
        <f>SUMIF(EGRESOS!$A$17:$A$252,A15,EGRESOS!$C$17:$C$252)</f>
        <v>3520746784</v>
      </c>
      <c r="D15" s="703">
        <f t="shared" ref="D15:D42" si="0">+C15/$C$243</f>
        <v>0.19654013374914608</v>
      </c>
      <c r="E15" s="335">
        <v>2940813900</v>
      </c>
      <c r="F15" s="703">
        <f t="shared" ref="F15:F42" si="1">+E15/$E$243</f>
        <v>0.26077363454804825</v>
      </c>
      <c r="G15" s="703">
        <f>+D15-F15</f>
        <v>-6.4233500798902166E-2</v>
      </c>
      <c r="H15" s="335">
        <v>2605263180.4299998</v>
      </c>
      <c r="I15" s="703">
        <f t="shared" ref="I15:I42" si="2">+H15/$H$243</f>
        <v>0.27143397350439069</v>
      </c>
      <c r="J15" s="774">
        <f>+F15-I15</f>
        <v>-1.0660338956342441E-2</v>
      </c>
      <c r="K15" s="23"/>
      <c r="L15" s="909">
        <f>+C15*$L$12</f>
        <v>3168672105.5999999</v>
      </c>
    </row>
    <row r="16" spans="1:12" ht="15.9" hidden="1" customHeight="1">
      <c r="A16" s="3" t="s">
        <v>483</v>
      </c>
      <c r="B16" s="796" t="s">
        <v>484</v>
      </c>
      <c r="C16" s="335">
        <f>SUMIF(EGRESOS!$A$17:$A$252,A16,EGRESOS!$C$17:$C$252)</f>
        <v>0</v>
      </c>
      <c r="D16" s="703">
        <f t="shared" si="0"/>
        <v>0</v>
      </c>
      <c r="E16" s="335">
        <v>0</v>
      </c>
      <c r="F16" s="703">
        <f t="shared" si="1"/>
        <v>0</v>
      </c>
      <c r="G16" s="703">
        <f t="shared" ref="G16:G31" si="3">+D16-F16</f>
        <v>0</v>
      </c>
      <c r="H16" s="335">
        <v>0</v>
      </c>
      <c r="I16" s="703">
        <f t="shared" si="2"/>
        <v>0</v>
      </c>
      <c r="J16" s="774">
        <f t="shared" ref="J16:J31" si="4">+F16-I16</f>
        <v>0</v>
      </c>
      <c r="K16" s="23"/>
      <c r="L16" s="909">
        <f t="shared" ref="L16:L42" si="5">+C16*$L$12</f>
        <v>0</v>
      </c>
    </row>
    <row r="17" spans="1:12" ht="15.9" customHeight="1">
      <c r="A17" s="3" t="s">
        <v>68</v>
      </c>
      <c r="B17" s="796" t="s">
        <v>485</v>
      </c>
      <c r="C17" s="335">
        <f>SUMIF(EGRESOS!$A$17:$A$252,A17,EGRESOS!$C$17:$C$252)</f>
        <v>2243616400</v>
      </c>
      <c r="D17" s="703">
        <f t="shared" si="0"/>
        <v>0.12524634527587136</v>
      </c>
      <c r="E17" s="335">
        <v>920834100</v>
      </c>
      <c r="F17" s="703">
        <f t="shared" si="1"/>
        <v>8.1654012541487561E-2</v>
      </c>
      <c r="G17" s="703">
        <f t="shared" si="3"/>
        <v>4.3592332734383801E-2</v>
      </c>
      <c r="H17" s="335">
        <v>426665216.67999995</v>
      </c>
      <c r="I17" s="703">
        <f t="shared" si="2"/>
        <v>4.4452873701784516E-2</v>
      </c>
      <c r="J17" s="774">
        <f t="shared" si="4"/>
        <v>3.7201138839703045E-2</v>
      </c>
      <c r="K17" s="23"/>
      <c r="L17" s="909">
        <f t="shared" si="5"/>
        <v>2019254760</v>
      </c>
    </row>
    <row r="18" spans="1:12" ht="15.9" hidden="1" customHeight="1">
      <c r="A18" s="3" t="s">
        <v>486</v>
      </c>
      <c r="B18" s="796" t="s">
        <v>487</v>
      </c>
      <c r="C18" s="335">
        <f>SUMIF(EGRESOS!$A$17:$A$252,A18,EGRESOS!$C$17:$C$252)</f>
        <v>0</v>
      </c>
      <c r="D18" s="703">
        <f t="shared" si="0"/>
        <v>0</v>
      </c>
      <c r="E18" s="335">
        <v>0</v>
      </c>
      <c r="F18" s="703">
        <f t="shared" si="1"/>
        <v>0</v>
      </c>
      <c r="G18" s="703">
        <f t="shared" si="3"/>
        <v>0</v>
      </c>
      <c r="H18" s="335">
        <v>0</v>
      </c>
      <c r="I18" s="703">
        <f t="shared" si="2"/>
        <v>0</v>
      </c>
      <c r="J18" s="774">
        <f t="shared" si="4"/>
        <v>0</v>
      </c>
      <c r="K18" s="23"/>
      <c r="L18" s="909">
        <f t="shared" si="5"/>
        <v>0</v>
      </c>
    </row>
    <row r="19" spans="1:12" ht="15.9" customHeight="1">
      <c r="A19" s="3" t="s">
        <v>333</v>
      </c>
      <c r="B19" s="796" t="s">
        <v>488</v>
      </c>
      <c r="C19" s="335">
        <f>SUMIF(EGRESOS!$A$17:$A$252,A19,EGRESOS!$C$17:$C$252)</f>
        <v>5000000</v>
      </c>
      <c r="D19" s="703">
        <f t="shared" si="0"/>
        <v>2.7911711038453664E-4</v>
      </c>
      <c r="E19" s="335">
        <v>4500000</v>
      </c>
      <c r="F19" s="703">
        <f t="shared" si="1"/>
        <v>3.9903285123421691E-4</v>
      </c>
      <c r="G19" s="703">
        <f t="shared" si="3"/>
        <v>-1.1991574084968027E-4</v>
      </c>
      <c r="H19" s="335">
        <v>0</v>
      </c>
      <c r="I19" s="703">
        <f t="shared" si="2"/>
        <v>0</v>
      </c>
      <c r="J19" s="774">
        <f t="shared" si="4"/>
        <v>3.9903285123421691E-4</v>
      </c>
      <c r="K19" s="23"/>
      <c r="L19" s="909">
        <f t="shared" si="5"/>
        <v>4500000</v>
      </c>
    </row>
    <row r="20" spans="1:12" ht="15.9" customHeight="1">
      <c r="A20" s="3" t="s">
        <v>71</v>
      </c>
      <c r="B20" s="796" t="s">
        <v>489</v>
      </c>
      <c r="C20" s="335">
        <f>SUMIF(EGRESOS!$A$17:$A$252,A20,EGRESOS!$C$17:$C$252)</f>
        <v>199483000</v>
      </c>
      <c r="D20" s="703">
        <f t="shared" si="0"/>
        <v>1.1135823706167705E-2</v>
      </c>
      <c r="E20" s="335">
        <v>153388350</v>
      </c>
      <c r="F20" s="703">
        <f t="shared" si="1"/>
        <v>1.3601553477024887E-2</v>
      </c>
      <c r="G20" s="703">
        <f t="shared" si="3"/>
        <v>-2.4657297708571817E-3</v>
      </c>
      <c r="H20" s="335">
        <v>171503615.65000001</v>
      </c>
      <c r="I20" s="703">
        <f t="shared" si="2"/>
        <v>1.7868408925414549E-2</v>
      </c>
      <c r="J20" s="774">
        <f t="shared" si="4"/>
        <v>-4.2668554483896622E-3</v>
      </c>
      <c r="K20" s="23"/>
      <c r="L20" s="909">
        <f t="shared" si="5"/>
        <v>179534700</v>
      </c>
    </row>
    <row r="21" spans="1:12" ht="15.9" customHeight="1">
      <c r="A21" s="3" t="s">
        <v>477</v>
      </c>
      <c r="B21" s="796" t="s">
        <v>478</v>
      </c>
      <c r="C21" s="335">
        <f>SUMIF(EGRESOS!$A$17:$A$252,A21,EGRESOS!$C$17:$C$252)</f>
        <v>2119180.08</v>
      </c>
      <c r="D21" s="703">
        <f t="shared" si="0"/>
        <v>1.1829988406281425E-4</v>
      </c>
      <c r="E21" s="335">
        <v>900000</v>
      </c>
      <c r="F21" s="703">
        <f t="shared" si="1"/>
        <v>7.9806570246843386E-5</v>
      </c>
      <c r="G21" s="703">
        <f t="shared" si="3"/>
        <v>3.8493313815970862E-5</v>
      </c>
      <c r="H21" s="335">
        <v>0</v>
      </c>
      <c r="I21" s="703">
        <f t="shared" si="2"/>
        <v>0</v>
      </c>
      <c r="J21" s="774">
        <f t="shared" si="4"/>
        <v>7.9806570246843386E-5</v>
      </c>
      <c r="K21" s="23"/>
      <c r="L21" s="909">
        <f t="shared" si="5"/>
        <v>1907262.0720000002</v>
      </c>
    </row>
    <row r="22" spans="1:12" ht="15.9" hidden="1" customHeight="1">
      <c r="A22" s="3" t="s">
        <v>481</v>
      </c>
      <c r="B22" s="796" t="s">
        <v>490</v>
      </c>
      <c r="C22" s="335">
        <f>SUMIF(EGRESOS!$A$17:$A$252,A22,EGRESOS!$C$17:$C$252)</f>
        <v>0</v>
      </c>
      <c r="D22" s="703">
        <f t="shared" si="0"/>
        <v>0</v>
      </c>
      <c r="E22" s="335">
        <v>0</v>
      </c>
      <c r="F22" s="703">
        <f t="shared" si="1"/>
        <v>0</v>
      </c>
      <c r="G22" s="703">
        <f t="shared" si="3"/>
        <v>0</v>
      </c>
      <c r="H22" s="335">
        <v>0</v>
      </c>
      <c r="I22" s="703">
        <f t="shared" si="2"/>
        <v>0</v>
      </c>
      <c r="J22" s="774">
        <f t="shared" si="4"/>
        <v>0</v>
      </c>
      <c r="K22" s="23"/>
      <c r="L22" s="909">
        <f t="shared" si="5"/>
        <v>0</v>
      </c>
    </row>
    <row r="23" spans="1:12" ht="15.9" hidden="1" customHeight="1">
      <c r="A23" s="3" t="s">
        <v>491</v>
      </c>
      <c r="B23" s="796" t="s">
        <v>492</v>
      </c>
      <c r="C23" s="335">
        <f>SUMIF(EGRESOS!$A$17:$A$252,A23,EGRESOS!$C$17:$C$252)</f>
        <v>0</v>
      </c>
      <c r="D23" s="703">
        <f t="shared" si="0"/>
        <v>0</v>
      </c>
      <c r="E23" s="335">
        <v>0</v>
      </c>
      <c r="F23" s="703">
        <f t="shared" si="1"/>
        <v>0</v>
      </c>
      <c r="G23" s="703">
        <f t="shared" si="3"/>
        <v>0</v>
      </c>
      <c r="H23" s="335">
        <v>0</v>
      </c>
      <c r="I23" s="703">
        <f t="shared" si="2"/>
        <v>0</v>
      </c>
      <c r="J23" s="774">
        <f t="shared" si="4"/>
        <v>0</v>
      </c>
      <c r="K23" s="23"/>
      <c r="L23" s="909">
        <f t="shared" si="5"/>
        <v>0</v>
      </c>
    </row>
    <row r="24" spans="1:12" s="65" customFormat="1" ht="15.9" customHeight="1">
      <c r="A24" s="65" t="s">
        <v>72</v>
      </c>
      <c r="B24" s="796" t="s">
        <v>17</v>
      </c>
      <c r="C24" s="335">
        <f>SUMIF(EGRESOS!$A$17:$A$252,A24,EGRESOS!$C$17:$C$252)</f>
        <v>13500000</v>
      </c>
      <c r="D24" s="703">
        <f t="shared" si="0"/>
        <v>7.5361619803824902E-4</v>
      </c>
      <c r="E24" s="335">
        <v>12316752</v>
      </c>
      <c r="F24" s="703">
        <f t="shared" si="1"/>
        <v>1.0921752596677208E-3</v>
      </c>
      <c r="G24" s="703">
        <f t="shared" si="3"/>
        <v>-3.3855906162947181E-4</v>
      </c>
      <c r="H24" s="335">
        <v>10233918.15</v>
      </c>
      <c r="I24" s="703">
        <f t="shared" si="2"/>
        <v>1.0662389461607946E-3</v>
      </c>
      <c r="J24" s="774">
        <f t="shared" si="4"/>
        <v>2.5936313506926207E-5</v>
      </c>
      <c r="L24" s="909">
        <f t="shared" si="5"/>
        <v>12150000</v>
      </c>
    </row>
    <row r="25" spans="1:12" s="65" customFormat="1" ht="15.9" customHeight="1">
      <c r="A25" s="65" t="s">
        <v>75</v>
      </c>
      <c r="B25" s="796" t="s">
        <v>368</v>
      </c>
      <c r="C25" s="335">
        <f>SUMIF(EGRESOS!$A$17:$A$252,A25,EGRESOS!$C$17:$C$252)</f>
        <v>531693000</v>
      </c>
      <c r="D25" s="703">
        <f t="shared" si="0"/>
        <v>2.9680922754337091E-2</v>
      </c>
      <c r="E25" s="335">
        <v>482704650</v>
      </c>
      <c r="F25" s="703">
        <f t="shared" si="1"/>
        <v>4.2803336176336609E-2</v>
      </c>
      <c r="G25" s="703">
        <f t="shared" si="3"/>
        <v>-1.3122413421999518E-2</v>
      </c>
      <c r="H25" s="335">
        <v>475376340.85000002</v>
      </c>
      <c r="I25" s="703">
        <f t="shared" si="2"/>
        <v>4.9527928723729207E-2</v>
      </c>
      <c r="J25" s="774">
        <f t="shared" si="4"/>
        <v>-6.724592547392598E-3</v>
      </c>
      <c r="L25" s="909">
        <f t="shared" si="5"/>
        <v>478523700</v>
      </c>
    </row>
    <row r="26" spans="1:12" ht="15.9" customHeight="1">
      <c r="A26" s="3" t="s">
        <v>76</v>
      </c>
      <c r="B26" s="796" t="s">
        <v>369</v>
      </c>
      <c r="C26" s="335">
        <f>SUMIF(EGRESOS!$A$17:$A$252,A26,EGRESOS!$C$17:$C$252)</f>
        <v>515841000</v>
      </c>
      <c r="D26" s="703">
        <f t="shared" si="0"/>
        <v>2.8796009867573955E-2</v>
      </c>
      <c r="E26" s="335">
        <v>516755250</v>
      </c>
      <c r="F26" s="703">
        <f t="shared" si="1"/>
        <v>4.5822737955055683E-2</v>
      </c>
      <c r="G26" s="703">
        <f t="shared" si="3"/>
        <v>-1.7026728087481728E-2</v>
      </c>
      <c r="H26" s="335">
        <v>538437865.5</v>
      </c>
      <c r="I26" s="703">
        <f t="shared" si="2"/>
        <v>5.6098105717582628E-2</v>
      </c>
      <c r="J26" s="774">
        <f t="shared" si="4"/>
        <v>-1.0275367762526945E-2</v>
      </c>
      <c r="L26" s="909">
        <f t="shared" si="5"/>
        <v>464256900</v>
      </c>
    </row>
    <row r="27" spans="1:12" ht="15.9" customHeight="1">
      <c r="A27" s="3" t="s">
        <v>77</v>
      </c>
      <c r="B27" s="796" t="s">
        <v>14</v>
      </c>
      <c r="C27" s="335">
        <f>SUMIF(EGRESOS!$A$17:$A$252,A27,EGRESOS!$C$17:$C$252)</f>
        <v>644115000</v>
      </c>
      <c r="D27" s="703">
        <f t="shared" si="0"/>
        <v>3.5956703511067167E-2</v>
      </c>
      <c r="E27" s="335">
        <v>461556450</v>
      </c>
      <c r="F27" s="703">
        <f t="shared" si="1"/>
        <v>4.0928041388676284E-2</v>
      </c>
      <c r="G27" s="703">
        <f t="shared" si="3"/>
        <v>-4.9713378776091166E-3</v>
      </c>
      <c r="H27" s="335">
        <v>387467752.22000003</v>
      </c>
      <c r="I27" s="703">
        <f t="shared" si="2"/>
        <v>4.0369016220668588E-2</v>
      </c>
      <c r="J27" s="774">
        <f t="shared" si="4"/>
        <v>5.5902516800769575E-4</v>
      </c>
      <c r="L27" s="909">
        <f t="shared" si="5"/>
        <v>579703500</v>
      </c>
    </row>
    <row r="28" spans="1:12" ht="15.9" customHeight="1">
      <c r="A28" s="3" t="s">
        <v>78</v>
      </c>
      <c r="B28" s="796" t="s">
        <v>370</v>
      </c>
      <c r="C28" s="335">
        <f>SUMIF(EGRESOS!$A$17:$A$252,A28,EGRESOS!$C$17:$C$252)</f>
        <v>606843000</v>
      </c>
      <c r="D28" s="703">
        <f t="shared" si="0"/>
        <v>3.3876052923416673E-2</v>
      </c>
      <c r="E28" s="335">
        <v>405184050</v>
      </c>
      <c r="F28" s="703">
        <f t="shared" si="1"/>
        <v>3.5929277054695001E-2</v>
      </c>
      <c r="G28" s="703">
        <f t="shared" si="3"/>
        <v>-2.0532241312783278E-3</v>
      </c>
      <c r="H28" s="335">
        <v>335000488</v>
      </c>
      <c r="I28" s="703">
        <f t="shared" si="2"/>
        <v>3.4902621073676643E-2</v>
      </c>
      <c r="J28" s="774">
        <f t="shared" si="4"/>
        <v>1.0266559810183581E-3</v>
      </c>
      <c r="L28" s="909">
        <f t="shared" si="5"/>
        <v>546158700</v>
      </c>
    </row>
    <row r="29" spans="1:12" ht="15.9" customHeight="1">
      <c r="A29" s="3" t="s">
        <v>79</v>
      </c>
      <c r="B29" s="796" t="s">
        <v>493</v>
      </c>
      <c r="C29" s="335">
        <f>SUMIF(EGRESOS!$A$17:$A$252,A29,EGRESOS!$C$17:$C$252)</f>
        <v>123621000</v>
      </c>
      <c r="D29" s="703">
        <f t="shared" si="0"/>
        <v>6.9009472605693614E-3</v>
      </c>
      <c r="E29" s="335">
        <v>119068200</v>
      </c>
      <c r="F29" s="703">
        <f t="shared" si="1"/>
        <v>1.0558249630516886E-2</v>
      </c>
      <c r="G29" s="703">
        <f t="shared" si="3"/>
        <v>-3.6573023699475243E-3</v>
      </c>
      <c r="H29" s="335">
        <v>135721830.75</v>
      </c>
      <c r="I29" s="703">
        <f t="shared" si="2"/>
        <v>1.4140420088262454E-2</v>
      </c>
      <c r="J29" s="774">
        <f t="shared" si="4"/>
        <v>-3.582170457745568E-3</v>
      </c>
      <c r="L29" s="909">
        <f t="shared" si="5"/>
        <v>111258900</v>
      </c>
    </row>
    <row r="30" spans="1:12" s="65" customFormat="1" ht="15.9" hidden="1" customHeight="1">
      <c r="A30" s="65" t="s">
        <v>494</v>
      </c>
      <c r="B30" s="796" t="s">
        <v>495</v>
      </c>
      <c r="C30" s="335">
        <f>SUMIF(EGRESOS!$A$17:$A$252,A30,EGRESOS!$C$17:$C$252)</f>
        <v>0</v>
      </c>
      <c r="D30" s="703">
        <f t="shared" si="0"/>
        <v>0</v>
      </c>
      <c r="E30" s="335">
        <v>0</v>
      </c>
      <c r="F30" s="703">
        <f t="shared" si="1"/>
        <v>0</v>
      </c>
      <c r="G30" s="703">
        <f t="shared" si="3"/>
        <v>0</v>
      </c>
      <c r="H30" s="335">
        <v>0</v>
      </c>
      <c r="I30" s="703">
        <f t="shared" si="2"/>
        <v>0</v>
      </c>
      <c r="J30" s="774">
        <f t="shared" si="4"/>
        <v>0</v>
      </c>
      <c r="L30" s="909">
        <f t="shared" si="5"/>
        <v>0</v>
      </c>
    </row>
    <row r="31" spans="1:12" ht="15.9" hidden="1" customHeight="1">
      <c r="A31" s="3" t="s">
        <v>337</v>
      </c>
      <c r="B31" s="796" t="s">
        <v>338</v>
      </c>
      <c r="C31" s="335">
        <f>SUMIF(EGRESOS!$A$17:$A$252,A31,EGRESOS!$C$17:$C$252)</f>
        <v>0</v>
      </c>
      <c r="D31" s="703">
        <f t="shared" si="0"/>
        <v>0</v>
      </c>
      <c r="E31" s="335">
        <v>0</v>
      </c>
      <c r="F31" s="703">
        <f t="shared" si="1"/>
        <v>0</v>
      </c>
      <c r="G31" s="703">
        <f t="shared" si="3"/>
        <v>0</v>
      </c>
      <c r="H31" s="335">
        <v>0</v>
      </c>
      <c r="I31" s="703">
        <f t="shared" si="2"/>
        <v>0</v>
      </c>
      <c r="J31" s="774">
        <f t="shared" si="4"/>
        <v>0</v>
      </c>
      <c r="L31" s="909">
        <f t="shared" si="5"/>
        <v>0</v>
      </c>
    </row>
    <row r="32" spans="1:12" hidden="1">
      <c r="B32" s="797" t="s">
        <v>52</v>
      </c>
      <c r="C32" s="798">
        <f>SUM(C33:C42)</f>
        <v>2064748000</v>
      </c>
      <c r="D32" s="703">
        <f t="shared" si="0"/>
        <v>0.11526129908645026</v>
      </c>
      <c r="E32" s="798">
        <f>SUM(E33:E42)</f>
        <v>1477189800</v>
      </c>
      <c r="F32" s="703">
        <f t="shared" si="1"/>
        <v>0.13098827949068947</v>
      </c>
      <c r="G32" s="703">
        <f t="shared" ref="G32:G41" si="6">+D32-F32</f>
        <v>-1.5726980404239213E-2</v>
      </c>
      <c r="H32" s="798">
        <f>SUM(H33:H42)</f>
        <v>1236852816.75</v>
      </c>
      <c r="I32" s="799">
        <f t="shared" si="2"/>
        <v>0.12886370836252295</v>
      </c>
      <c r="J32" s="800">
        <f t="shared" ref="J32:J41" si="7">+F32-I32</f>
        <v>2.1245711281665247E-3</v>
      </c>
    </row>
    <row r="33" spans="1:12" ht="15.9" customHeight="1" outlineLevel="1">
      <c r="A33" s="3" t="s">
        <v>82</v>
      </c>
      <c r="B33" s="796" t="s">
        <v>496</v>
      </c>
      <c r="C33" s="335">
        <f>SUMIF(EGRESOS!$A$17:$A$252,A33,EGRESOS!$C$17:$C$252)</f>
        <v>716121000</v>
      </c>
      <c r="D33" s="703">
        <f t="shared" si="0"/>
        <v>3.9976324841136959E-2</v>
      </c>
      <c r="E33" s="335">
        <v>512335350</v>
      </c>
      <c r="F33" s="703">
        <f t="shared" si="1"/>
        <v>4.5430807888573434E-2</v>
      </c>
      <c r="G33" s="703">
        <f t="shared" si="6"/>
        <v>-5.4544830474364744E-3</v>
      </c>
      <c r="H33" s="335">
        <v>432391165.62999994</v>
      </c>
      <c r="I33" s="703">
        <f t="shared" si="2"/>
        <v>4.5049441867049594E-2</v>
      </c>
      <c r="J33" s="774">
        <f t="shared" si="7"/>
        <v>3.813660215238393E-4</v>
      </c>
      <c r="L33" s="909">
        <f t="shared" si="5"/>
        <v>644508900</v>
      </c>
    </row>
    <row r="34" spans="1:12" ht="15.9" customHeight="1">
      <c r="A34" s="3" t="s">
        <v>83</v>
      </c>
      <c r="B34" s="796" t="s">
        <v>497</v>
      </c>
      <c r="C34" s="335">
        <f>SUMIF(EGRESOS!$A$17:$A$252,A34,EGRESOS!$C$17:$C$252)</f>
        <v>38709000</v>
      </c>
      <c r="D34" s="703">
        <f t="shared" si="0"/>
        <v>2.1608688451750058E-3</v>
      </c>
      <c r="E34" s="335">
        <v>27694350</v>
      </c>
      <c r="F34" s="703">
        <f t="shared" si="1"/>
        <v>2.4557678763507413E-3</v>
      </c>
      <c r="G34" s="703">
        <f t="shared" si="6"/>
        <v>-2.9489903117573555E-4</v>
      </c>
      <c r="H34" s="335">
        <v>23107910.140000001</v>
      </c>
      <c r="I34" s="703">
        <f t="shared" si="2"/>
        <v>2.4075386762451231E-3</v>
      </c>
      <c r="J34" s="774">
        <f t="shared" si="7"/>
        <v>4.8229200105618167E-5</v>
      </c>
      <c r="L34" s="909">
        <f t="shared" si="5"/>
        <v>34838100</v>
      </c>
    </row>
    <row r="35" spans="1:12" ht="15.9" customHeight="1">
      <c r="A35" s="3" t="s">
        <v>84</v>
      </c>
      <c r="B35" s="796" t="s">
        <v>498</v>
      </c>
      <c r="C35" s="335">
        <f>SUMIF(EGRESOS!$A$17:$A$252,A35,EGRESOS!$C$17:$C$252)</f>
        <v>116126000</v>
      </c>
      <c r="D35" s="703">
        <f t="shared" si="0"/>
        <v>6.482550712102941E-3</v>
      </c>
      <c r="E35" s="335">
        <v>83081700</v>
      </c>
      <c r="F35" s="703">
        <f t="shared" si="1"/>
        <v>7.3671839191968534E-3</v>
      </c>
      <c r="G35" s="703">
        <f t="shared" si="6"/>
        <v>-8.8463320709391245E-4</v>
      </c>
      <c r="H35" s="335">
        <v>69323723.409999996</v>
      </c>
      <c r="I35" s="703">
        <f t="shared" si="2"/>
        <v>7.2226152983860632E-3</v>
      </c>
      <c r="J35" s="774">
        <f t="shared" si="7"/>
        <v>1.4456862081079023E-4</v>
      </c>
      <c r="L35" s="909">
        <f t="shared" si="5"/>
        <v>104513400</v>
      </c>
    </row>
    <row r="36" spans="1:12" ht="15.9" customHeight="1">
      <c r="A36" s="3" t="s">
        <v>85</v>
      </c>
      <c r="B36" s="796" t="s">
        <v>499</v>
      </c>
      <c r="C36" s="335">
        <f>SUMIF(EGRESOS!$A$17:$A$252,A36,EGRESOS!$C$17:$C$252)</f>
        <v>387095000</v>
      </c>
      <c r="D36" s="703">
        <f t="shared" si="0"/>
        <v>2.1608967568860445E-2</v>
      </c>
      <c r="E36" s="335">
        <v>276937650</v>
      </c>
      <c r="F36" s="703">
        <f t="shared" si="1"/>
        <v>2.4557160020800807E-2</v>
      </c>
      <c r="G36" s="703">
        <f t="shared" si="6"/>
        <v>-2.9481924519403624E-3</v>
      </c>
      <c r="H36" s="335">
        <v>231079081.18999997</v>
      </c>
      <c r="I36" s="703">
        <f t="shared" si="2"/>
        <v>2.4075384656836469E-2</v>
      </c>
      <c r="J36" s="774">
        <f t="shared" si="7"/>
        <v>4.8177536396433809E-4</v>
      </c>
      <c r="L36" s="909">
        <f t="shared" si="5"/>
        <v>348385500</v>
      </c>
    </row>
    <row r="37" spans="1:12" ht="15.9" customHeight="1">
      <c r="A37" s="3" t="s">
        <v>86</v>
      </c>
      <c r="B37" s="796" t="s">
        <v>500</v>
      </c>
      <c r="C37" s="335">
        <f>SUMIF(EGRESOS!$A$17:$A$252,A37,EGRESOS!$C$17:$C$252)</f>
        <v>38709000</v>
      </c>
      <c r="D37" s="703">
        <f t="shared" si="0"/>
        <v>2.1608688451750058E-3</v>
      </c>
      <c r="E37" s="335">
        <v>27694350</v>
      </c>
      <c r="F37" s="703">
        <f t="shared" si="1"/>
        <v>2.4557678763507413E-3</v>
      </c>
      <c r="G37" s="703">
        <f t="shared" si="6"/>
        <v>-2.9489903117573555E-4</v>
      </c>
      <c r="H37" s="335">
        <v>23107972.25</v>
      </c>
      <c r="I37" s="703">
        <f t="shared" si="2"/>
        <v>2.4075451472858308E-3</v>
      </c>
      <c r="J37" s="774">
        <f t="shared" si="7"/>
        <v>4.8222729064910548E-5</v>
      </c>
      <c r="L37" s="909">
        <f t="shared" si="5"/>
        <v>34838100</v>
      </c>
    </row>
    <row r="38" spans="1:12" ht="15.9" customHeight="1">
      <c r="A38" s="3" t="s">
        <v>425</v>
      </c>
      <c r="B38" s="796" t="s">
        <v>501</v>
      </c>
      <c r="C38" s="335">
        <f>SUMIF(EGRESOS!$A$17:$A$252,A38,EGRESOS!$C$17:$C$252)</f>
        <v>419605000</v>
      </c>
      <c r="D38" s="703">
        <f t="shared" si="0"/>
        <v>2.3423787020580702E-2</v>
      </c>
      <c r="E38" s="335">
        <v>300201300</v>
      </c>
      <c r="F38" s="703">
        <f t="shared" si="1"/>
        <v>2.6620040151826337E-2</v>
      </c>
      <c r="G38" s="703">
        <f t="shared" si="6"/>
        <v>-3.1962531312456355E-3</v>
      </c>
      <c r="H38" s="335">
        <v>249871629.55000001</v>
      </c>
      <c r="I38" s="703">
        <f t="shared" si="2"/>
        <v>2.60333196984649E-2</v>
      </c>
      <c r="J38" s="774">
        <f t="shared" si="7"/>
        <v>5.8672045336143758E-4</v>
      </c>
      <c r="L38" s="909">
        <f t="shared" si="5"/>
        <v>377644500</v>
      </c>
    </row>
    <row r="39" spans="1:12" ht="15.9" customHeight="1">
      <c r="A39" s="3" t="s">
        <v>89</v>
      </c>
      <c r="B39" s="796" t="s">
        <v>502</v>
      </c>
      <c r="C39" s="335">
        <f>SUMIF(EGRESOS!$A$17:$A$252,A39,EGRESOS!$C$17:$C$252)</f>
        <v>232257000</v>
      </c>
      <c r="D39" s="703">
        <f t="shared" si="0"/>
        <v>1.2965380541316266E-2</v>
      </c>
      <c r="E39" s="335">
        <v>166163400</v>
      </c>
      <c r="F39" s="703">
        <f t="shared" si="1"/>
        <v>1.4734367838393707E-2</v>
      </c>
      <c r="G39" s="703">
        <f t="shared" si="6"/>
        <v>-1.7689872970774404E-3</v>
      </c>
      <c r="H39" s="335">
        <v>138647601.92000002</v>
      </c>
      <c r="I39" s="703">
        <f t="shared" si="2"/>
        <v>1.4445246756141212E-2</v>
      </c>
      <c r="J39" s="774">
        <f>+F39-I39</f>
        <v>2.8912108225249457E-4</v>
      </c>
      <c r="L39" s="909">
        <f t="shared" si="5"/>
        <v>209031300</v>
      </c>
    </row>
    <row r="40" spans="1:12" ht="15.9" customHeight="1">
      <c r="A40" s="3" t="s">
        <v>90</v>
      </c>
      <c r="B40" s="796" t="s">
        <v>503</v>
      </c>
      <c r="C40" s="335">
        <f>SUMIF(EGRESOS!$A$17:$A$252,A40,EGRESOS!$C$17:$C$252)</f>
        <v>116126000</v>
      </c>
      <c r="D40" s="703">
        <f t="shared" si="0"/>
        <v>6.482550712102941E-3</v>
      </c>
      <c r="E40" s="335">
        <v>83081700</v>
      </c>
      <c r="F40" s="703">
        <f t="shared" si="1"/>
        <v>7.3671839191968534E-3</v>
      </c>
      <c r="G40" s="703">
        <f t="shared" si="6"/>
        <v>-8.8463320709391245E-4</v>
      </c>
      <c r="H40" s="335">
        <v>69323732.659999996</v>
      </c>
      <c r="I40" s="703">
        <f t="shared" si="2"/>
        <v>7.2226162621137485E-3</v>
      </c>
      <c r="J40" s="774">
        <f t="shared" si="7"/>
        <v>1.445676570831049E-4</v>
      </c>
      <c r="L40" s="909">
        <f t="shared" si="5"/>
        <v>104513400</v>
      </c>
    </row>
    <row r="41" spans="1:12" ht="15.9" hidden="1" customHeight="1">
      <c r="A41" s="3" t="s">
        <v>504</v>
      </c>
      <c r="B41" s="796" t="s">
        <v>505</v>
      </c>
      <c r="C41" s="335">
        <f>SUMIF(EGRESOS!$A$17:$A$252,A41,EGRESOS!$C$17:$C$252)</f>
        <v>0</v>
      </c>
      <c r="D41" s="703">
        <f t="shared" si="0"/>
        <v>0</v>
      </c>
      <c r="E41" s="335">
        <v>0</v>
      </c>
      <c r="F41" s="703">
        <f t="shared" si="1"/>
        <v>0</v>
      </c>
      <c r="G41" s="703">
        <f t="shared" si="6"/>
        <v>0</v>
      </c>
      <c r="H41" s="335">
        <v>0</v>
      </c>
      <c r="I41" s="703">
        <f t="shared" si="2"/>
        <v>0</v>
      </c>
      <c r="J41" s="774">
        <f t="shared" si="7"/>
        <v>0</v>
      </c>
      <c r="L41" s="909">
        <f t="shared" si="5"/>
        <v>0</v>
      </c>
    </row>
    <row r="42" spans="1:12" ht="15.9" hidden="1" customHeight="1">
      <c r="A42" s="3" t="s">
        <v>506</v>
      </c>
      <c r="B42" s="796" t="s">
        <v>507</v>
      </c>
      <c r="C42" s="335">
        <f>SUMIF(EGRESOS!$A$17:$A$252,A42,EGRESOS!$C$17:$C$252)</f>
        <v>0</v>
      </c>
      <c r="D42" s="703">
        <f t="shared" si="0"/>
        <v>0</v>
      </c>
      <c r="E42" s="335">
        <v>0</v>
      </c>
      <c r="F42" s="703">
        <f t="shared" si="1"/>
        <v>0</v>
      </c>
      <c r="G42" s="703">
        <f>+D42-F42</f>
        <v>0</v>
      </c>
      <c r="H42" s="335">
        <v>0</v>
      </c>
      <c r="I42" s="703">
        <f t="shared" si="2"/>
        <v>0</v>
      </c>
      <c r="J42" s="774">
        <f>+F42-I42</f>
        <v>0</v>
      </c>
      <c r="L42" s="909">
        <f t="shared" si="5"/>
        <v>0</v>
      </c>
    </row>
    <row r="43" spans="1:12" ht="9.9" customHeight="1" thickBot="1">
      <c r="B43" s="135"/>
      <c r="C43" s="344"/>
      <c r="D43" s="705"/>
      <c r="E43" s="344"/>
      <c r="F43" s="705"/>
      <c r="G43" s="820"/>
      <c r="H43" s="344"/>
      <c r="I43" s="820"/>
      <c r="J43" s="1143"/>
    </row>
    <row r="44" spans="1:12" ht="15.9" customHeight="1">
      <c r="B44" s="1139" t="s">
        <v>51</v>
      </c>
      <c r="C44" s="1140">
        <f>+C46+C54+C62+C72+C82+C89+C95+C101+C120+C113</f>
        <v>3003903580.1900001</v>
      </c>
      <c r="D44" s="1141">
        <f>+C44/$C$243</f>
        <v>0.16768817743527942</v>
      </c>
      <c r="E44" s="1140">
        <f>+E46+E54+E62+E72+E82+E89+E95+E101+E120+E113</f>
        <v>2479206067.1999998</v>
      </c>
      <c r="F44" s="1141">
        <f>+E44/$E$243</f>
        <v>0.21984103684266343</v>
      </c>
      <c r="G44" s="1141">
        <f>+D44-F44</f>
        <v>-5.2152859407384011E-2</v>
      </c>
      <c r="H44" s="1140">
        <f>+H46+H54+H62+H72+H82+H89+H95+H101+H120+H113</f>
        <v>1598143749.3499997</v>
      </c>
      <c r="I44" s="1141">
        <f>+H44/$H$243</f>
        <v>0.16650544611991103</v>
      </c>
      <c r="J44" s="1142">
        <f>+F44-I44</f>
        <v>5.3335590722752402E-2</v>
      </c>
      <c r="K44" s="24"/>
    </row>
    <row r="45" spans="1:12" ht="9.9" customHeight="1" outlineLevel="1">
      <c r="B45" s="105"/>
      <c r="C45" s="334"/>
      <c r="D45" s="703"/>
      <c r="E45" s="340"/>
      <c r="F45" s="707"/>
      <c r="G45" s="16"/>
      <c r="H45" s="340"/>
      <c r="I45" s="16"/>
      <c r="J45" s="774"/>
    </row>
    <row r="46" spans="1:12" s="982" customFormat="1" ht="15.9" customHeight="1" outlineLevel="1">
      <c r="B46" s="337" t="s">
        <v>93</v>
      </c>
      <c r="C46" s="338">
        <f>SUM(C48:C52)</f>
        <v>489139000</v>
      </c>
      <c r="D46" s="702">
        <f>+C46/$C$243</f>
        <v>2.7305412851276377E-2</v>
      </c>
      <c r="E46" s="338">
        <f>SUM(E48:E52)</f>
        <v>406318050</v>
      </c>
      <c r="F46" s="801">
        <f>+E46/$E$243</f>
        <v>3.6029833333206022E-2</v>
      </c>
      <c r="G46" s="702">
        <f>+D46-F46</f>
        <v>-8.7244204819296456E-3</v>
      </c>
      <c r="H46" s="338">
        <f>SUM(H48:H52)</f>
        <v>346667130.77999997</v>
      </c>
      <c r="I46" s="702">
        <f>+H46/$H$243</f>
        <v>3.611813098108993E-2</v>
      </c>
      <c r="J46" s="83">
        <f>+F46-I46</f>
        <v>-8.8297647883907315E-5</v>
      </c>
    </row>
    <row r="47" spans="1:12" ht="9.9" customHeight="1" outlineLevel="1">
      <c r="B47" s="87"/>
      <c r="C47" s="336"/>
      <c r="D47" s="703"/>
      <c r="E47" s="340"/>
      <c r="F47" s="703"/>
      <c r="G47" s="802"/>
      <c r="H47" s="340"/>
      <c r="I47" s="802"/>
      <c r="J47" s="774"/>
    </row>
    <row r="48" spans="1:12" ht="15.9" customHeight="1" outlineLevel="1">
      <c r="A48" s="3" t="s">
        <v>94</v>
      </c>
      <c r="B48" s="312" t="s">
        <v>508</v>
      </c>
      <c r="C48" s="335">
        <f>SUMIF(EGRESOS!$A$17:$A$252,A48,EGRESOS!$C$17:$C$252)</f>
        <v>260584000</v>
      </c>
      <c r="D48" s="703">
        <f>+C48/$C$243</f>
        <v>1.454669061848882E-2</v>
      </c>
      <c r="E48" s="335">
        <v>213826050</v>
      </c>
      <c r="F48" s="703">
        <f>+E48/$E$243</f>
        <v>1.8960804088811161E-2</v>
      </c>
      <c r="G48" s="703">
        <f>+D48-F48</f>
        <v>-4.4141134703223409E-3</v>
      </c>
      <c r="H48" s="335">
        <v>232143900</v>
      </c>
      <c r="I48" s="703">
        <f>+H48/$H$243</f>
        <v>2.4186324696534423E-2</v>
      </c>
      <c r="J48" s="774">
        <f>+F48-I48</f>
        <v>-5.2255206077232615E-3</v>
      </c>
      <c r="L48" s="909">
        <f>+C48*$L$12</f>
        <v>234525600</v>
      </c>
    </row>
    <row r="49" spans="1:12" ht="15.9" customHeight="1" outlineLevel="1">
      <c r="A49" s="3" t="s">
        <v>95</v>
      </c>
      <c r="B49" s="312" t="s">
        <v>509</v>
      </c>
      <c r="C49" s="335">
        <f>SUMIF(EGRESOS!$A$17:$A$252,A49,EGRESOS!$C$17:$C$252)</f>
        <v>175000000</v>
      </c>
      <c r="D49" s="703">
        <f>+C49/$C$243</f>
        <v>9.769098863458784E-3</v>
      </c>
      <c r="E49" s="335">
        <v>192492000</v>
      </c>
      <c r="F49" s="703">
        <f>+E49/$E$243</f>
        <v>1.7069029244394861E-2</v>
      </c>
      <c r="G49" s="703">
        <f>+D49-F49</f>
        <v>-7.2999303809360774E-3</v>
      </c>
      <c r="H49" s="335">
        <v>114523230.78</v>
      </c>
      <c r="I49" s="703">
        <f>+H49/$H$243</f>
        <v>1.1931806284555507E-2</v>
      </c>
      <c r="J49" s="774">
        <f>+F49-I49</f>
        <v>5.1372229598393541E-3</v>
      </c>
      <c r="L49" s="909">
        <f>+C49*$L$12</f>
        <v>157500000</v>
      </c>
    </row>
    <row r="50" spans="1:12" ht="15.9" hidden="1" customHeight="1" outlineLevel="1">
      <c r="A50" s="3" t="s">
        <v>97</v>
      </c>
      <c r="B50" s="312" t="s">
        <v>510</v>
      </c>
      <c r="C50" s="335">
        <f>SUMIF(EGRESOS!$A$17:$A$252,A50,EGRESOS!$C$17:$C$252)</f>
        <v>0</v>
      </c>
      <c r="D50" s="703">
        <f>+C50/$C$243</f>
        <v>0</v>
      </c>
      <c r="E50" s="335">
        <v>0</v>
      </c>
      <c r="F50" s="703">
        <f>+E50/$E$243</f>
        <v>0</v>
      </c>
      <c r="G50" s="703">
        <f>+D50-F50</f>
        <v>0</v>
      </c>
      <c r="H50" s="335">
        <v>0</v>
      </c>
      <c r="I50" s="703">
        <f>+H50/$H$243</f>
        <v>0</v>
      </c>
      <c r="J50" s="774">
        <f>+F50-I50</f>
        <v>0</v>
      </c>
      <c r="L50" s="909">
        <f>+C50*$L$12</f>
        <v>0</v>
      </c>
    </row>
    <row r="51" spans="1:12" ht="15.9" hidden="1" customHeight="1" outlineLevel="1">
      <c r="A51" s="3" t="s">
        <v>511</v>
      </c>
      <c r="B51" s="312" t="s">
        <v>512</v>
      </c>
      <c r="C51" s="335">
        <f>SUMIF(EGRESOS!$A$17:$A$252,A51,EGRESOS!$C$17:$C$252)</f>
        <v>0</v>
      </c>
      <c r="D51" s="703">
        <f>+C51/$C$243</f>
        <v>0</v>
      </c>
      <c r="E51" s="335">
        <v>0</v>
      </c>
      <c r="F51" s="703">
        <f>+E51/$E$243</f>
        <v>0</v>
      </c>
      <c r="G51" s="703">
        <f>+D51-F51</f>
        <v>0</v>
      </c>
      <c r="H51" s="335">
        <v>0</v>
      </c>
      <c r="I51" s="703">
        <f>+H51/$H$243</f>
        <v>0</v>
      </c>
      <c r="J51" s="774">
        <f>+F51-I51</f>
        <v>0</v>
      </c>
      <c r="L51" s="909">
        <f>+C51*$L$12</f>
        <v>0</v>
      </c>
    </row>
    <row r="52" spans="1:12" ht="15.9" customHeight="1" outlineLevel="1">
      <c r="A52" s="3" t="s">
        <v>99</v>
      </c>
      <c r="B52" s="312" t="s">
        <v>513</v>
      </c>
      <c r="C52" s="335">
        <f>SUMIF(EGRESOS!$A$17:$A$252,A52,EGRESOS!$C$17:$C$252)</f>
        <v>53555000</v>
      </c>
      <c r="D52" s="703">
        <f>+C52/$C$243</f>
        <v>2.9896233693287723E-3</v>
      </c>
      <c r="E52" s="335">
        <v>0</v>
      </c>
      <c r="F52" s="703">
        <f>+E52/$E$243</f>
        <v>0</v>
      </c>
      <c r="G52" s="703">
        <f>+D52-F52</f>
        <v>2.9896233693287723E-3</v>
      </c>
      <c r="H52" s="335">
        <v>0</v>
      </c>
      <c r="I52" s="703">
        <f>+H52/$H$243</f>
        <v>0</v>
      </c>
      <c r="J52" s="774">
        <f>+F52-I52</f>
        <v>0</v>
      </c>
      <c r="L52" s="909">
        <f>+C52*$L$12</f>
        <v>48199500</v>
      </c>
    </row>
    <row r="53" spans="1:12" ht="0.6" customHeight="1" outlineLevel="1">
      <c r="B53" s="312"/>
      <c r="C53" s="336"/>
      <c r="D53" s="703"/>
      <c r="E53" s="340"/>
      <c r="F53" s="703"/>
      <c r="G53" s="803"/>
      <c r="H53" s="340"/>
      <c r="I53" s="803"/>
      <c r="J53" s="774"/>
    </row>
    <row r="54" spans="1:12" s="982" customFormat="1" ht="15.9" customHeight="1" outlineLevel="1">
      <c r="B54" s="1131" t="s">
        <v>102</v>
      </c>
      <c r="C54" s="338">
        <f>SUM(C56:C60)</f>
        <v>138020380</v>
      </c>
      <c r="D54" s="702">
        <f>+C54/$C$243</f>
        <v>7.7047699279551391E-3</v>
      </c>
      <c r="E54" s="338">
        <f>SUM(E56:E60)</f>
        <v>118870920</v>
      </c>
      <c r="F54" s="801">
        <f>+E54/$E$243</f>
        <v>1.0540756030318777E-2</v>
      </c>
      <c r="G54" s="702">
        <f>+D54-F54</f>
        <v>-2.8359861023636379E-3</v>
      </c>
      <c r="H54" s="338">
        <f>SUM(H56:H60)</f>
        <v>89237698.560000002</v>
      </c>
      <c r="I54" s="702">
        <f>+H54/$H$243</f>
        <v>9.2973881826902294E-3</v>
      </c>
      <c r="J54" s="83">
        <f>+F54-I54</f>
        <v>1.2433678476285476E-3</v>
      </c>
    </row>
    <row r="55" spans="1:12" ht="7.95" customHeight="1" outlineLevel="1">
      <c r="B55" s="342"/>
      <c r="C55" s="343"/>
      <c r="D55" s="706"/>
      <c r="E55" s="341"/>
      <c r="F55" s="706"/>
      <c r="G55" s="804"/>
      <c r="H55" s="341"/>
      <c r="I55" s="804"/>
      <c r="J55" s="805"/>
    </row>
    <row r="56" spans="1:12" ht="15.9" customHeight="1" outlineLevel="1">
      <c r="A56" s="3" t="s">
        <v>103</v>
      </c>
      <c r="B56" s="312" t="s">
        <v>514</v>
      </c>
      <c r="C56" s="335">
        <f>SUMIF(EGRESOS!$A$17:$A$252,A56,EGRESOS!$C$17:$C$252)</f>
        <v>10512000</v>
      </c>
      <c r="D56" s="703">
        <f>+C56/$C$243</f>
        <v>5.8681581287244988E-4</v>
      </c>
      <c r="E56" s="335">
        <v>8668710</v>
      </c>
      <c r="F56" s="703">
        <f>+E56/$E$243</f>
        <v>7.686889039605708E-4</v>
      </c>
      <c r="G56" s="703">
        <f>+D56-F56</f>
        <v>-1.8187309108812092E-4</v>
      </c>
      <c r="H56" s="335">
        <v>6121776.5099999998</v>
      </c>
      <c r="I56" s="703">
        <f>+H56/$H$243</f>
        <v>6.3780816291307812E-4</v>
      </c>
      <c r="J56" s="774">
        <f>+F56-I56</f>
        <v>1.3088074104749268E-4</v>
      </c>
      <c r="L56" s="909">
        <f>+C56*$L$12</f>
        <v>9460800</v>
      </c>
    </row>
    <row r="57" spans="1:12" ht="15.9" customHeight="1" outlineLevel="1">
      <c r="A57" s="3" t="s">
        <v>105</v>
      </c>
      <c r="B57" s="87" t="s">
        <v>515</v>
      </c>
      <c r="C57" s="335">
        <f>SUMIF(EGRESOS!$A$17:$A$252,A57,EGRESOS!$C$17:$C$252)</f>
        <v>32922000</v>
      </c>
      <c r="D57" s="703">
        <f>+C57/$C$243</f>
        <v>1.8378187016159433E-3</v>
      </c>
      <c r="E57" s="335">
        <v>31836888</v>
      </c>
      <c r="F57" s="703">
        <f>+E57/$E$243</f>
        <v>2.8231031540143169E-3</v>
      </c>
      <c r="G57" s="703">
        <f>+D57-F57</f>
        <v>-9.8528445239837365E-4</v>
      </c>
      <c r="H57" s="335">
        <v>26673820.000000004</v>
      </c>
      <c r="I57" s="703">
        <f>+H57/$H$243</f>
        <v>2.7790593309447885E-3</v>
      </c>
      <c r="J57" s="774">
        <f>+F57-I57</f>
        <v>4.4043823069528452E-5</v>
      </c>
      <c r="L57" s="909">
        <f>+C57*$L$12</f>
        <v>29629800</v>
      </c>
    </row>
    <row r="58" spans="1:12" ht="15.9" customHeight="1" outlineLevel="1">
      <c r="A58" s="3" t="s">
        <v>107</v>
      </c>
      <c r="B58" s="312" t="s">
        <v>516</v>
      </c>
      <c r="C58" s="335">
        <f>SUMIF(EGRESOS!$A$17:$A$252,A58,EGRESOS!$C$17:$C$252)</f>
        <v>3500000</v>
      </c>
      <c r="D58" s="703">
        <f>+C58/$C$243</f>
        <v>1.9538197726917566E-4</v>
      </c>
      <c r="E58" s="335">
        <v>4500000</v>
      </c>
      <c r="F58" s="703">
        <f>+E58/$E$243</f>
        <v>3.9903285123421691E-4</v>
      </c>
      <c r="G58" s="703">
        <f>+D58-F58</f>
        <v>-2.0365087396504125E-4</v>
      </c>
      <c r="H58" s="335">
        <v>2002646.51</v>
      </c>
      <c r="I58" s="703">
        <f>+H58/$H$243</f>
        <v>2.0864928496179083E-4</v>
      </c>
      <c r="J58" s="774">
        <f>+F58-I58</f>
        <v>1.9038356627242608E-4</v>
      </c>
      <c r="L58" s="909">
        <f>+C58*$L$12</f>
        <v>3150000</v>
      </c>
    </row>
    <row r="59" spans="1:12" ht="15.9" customHeight="1" outlineLevel="1">
      <c r="A59" s="3" t="s">
        <v>286</v>
      </c>
      <c r="B59" s="312" t="s">
        <v>517</v>
      </c>
      <c r="C59" s="335">
        <f>SUMIF(EGRESOS!$A$17:$A$252,A59,EGRESOS!$C$17:$C$252)</f>
        <v>90305000</v>
      </c>
      <c r="D59" s="703">
        <f>+C59/$C$243</f>
        <v>5.041134130655117E-3</v>
      </c>
      <c r="E59" s="335">
        <v>73162080</v>
      </c>
      <c r="F59" s="703">
        <f>+E59/$E$243</f>
        <v>6.4875718632501946E-3</v>
      </c>
      <c r="G59" s="703">
        <f>+D59-F59</f>
        <v>-1.4464377325950776E-3</v>
      </c>
      <c r="H59" s="335">
        <v>54238880.539999999</v>
      </c>
      <c r="I59" s="703">
        <f>+H59/$H$243</f>
        <v>5.6509741411123974E-3</v>
      </c>
      <c r="J59" s="774">
        <f>+F59-I59</f>
        <v>8.3659772213779716E-4</v>
      </c>
      <c r="L59" s="909">
        <f>+C59*$L$12</f>
        <v>81274500</v>
      </c>
    </row>
    <row r="60" spans="1:12" ht="15.9" customHeight="1" outlineLevel="1">
      <c r="A60" s="3" t="s">
        <v>109</v>
      </c>
      <c r="B60" s="312" t="s">
        <v>518</v>
      </c>
      <c r="C60" s="335">
        <f>SUMIF(EGRESOS!$A$17:$A$252,A60,EGRESOS!$C$17:$C$252)</f>
        <v>781380</v>
      </c>
      <c r="D60" s="703">
        <f>+C60/$C$243</f>
        <v>4.361930554245385E-5</v>
      </c>
      <c r="E60" s="335">
        <v>703242</v>
      </c>
      <c r="F60" s="703">
        <f>+E60/$E$243</f>
        <v>6.2359257859478484E-5</v>
      </c>
      <c r="G60" s="703">
        <f>+D60-F60</f>
        <v>-1.8739952317024634E-5</v>
      </c>
      <c r="H60" s="335">
        <v>200575</v>
      </c>
      <c r="I60" s="703">
        <f>+H60/$H$243</f>
        <v>2.0897262758174529E-5</v>
      </c>
      <c r="J60" s="774">
        <f>+F60-I60</f>
        <v>4.1461995101303958E-5</v>
      </c>
      <c r="L60" s="909">
        <f>+C60*$L$12</f>
        <v>703242</v>
      </c>
    </row>
    <row r="61" spans="1:12" ht="3.6" customHeight="1" outlineLevel="1">
      <c r="B61" s="312"/>
      <c r="C61" s="336"/>
      <c r="D61" s="703"/>
      <c r="E61" s="340"/>
      <c r="F61" s="703"/>
      <c r="G61" s="803"/>
      <c r="H61" s="340"/>
      <c r="I61" s="803"/>
      <c r="J61" s="774"/>
    </row>
    <row r="62" spans="1:12" s="982" customFormat="1" ht="15.9" customHeight="1" outlineLevel="1">
      <c r="B62" s="1138" t="s">
        <v>112</v>
      </c>
      <c r="C62" s="1133">
        <f>SUM(C64:C70)</f>
        <v>155317908</v>
      </c>
      <c r="D62" s="1134">
        <f>+C62/$C$243</f>
        <v>8.6703771343862625E-3</v>
      </c>
      <c r="E62" s="1133">
        <f>SUM(E64:E70)</f>
        <v>176783317.19999999</v>
      </c>
      <c r="F62" s="1135">
        <f>+E62/$E$243</f>
        <v>1.5676078025101993E-2</v>
      </c>
      <c r="G62" s="1134">
        <f>+D62-F62</f>
        <v>-7.0057008907157305E-3</v>
      </c>
      <c r="H62" s="1133">
        <f>SUM(H64:H70)</f>
        <v>129015773.94</v>
      </c>
      <c r="I62" s="1134">
        <f>+H62/$H$243</f>
        <v>1.3441737644140226E-2</v>
      </c>
      <c r="J62" s="1136">
        <f>+F62-I62</f>
        <v>2.2343403809617669E-3</v>
      </c>
    </row>
    <row r="63" spans="1:12" ht="9.9" customHeight="1" outlineLevel="1">
      <c r="B63" s="312"/>
      <c r="C63" s="336"/>
      <c r="D63" s="703"/>
      <c r="E63" s="340"/>
      <c r="F63" s="703"/>
      <c r="G63" s="803"/>
      <c r="H63" s="340"/>
      <c r="I63" s="803"/>
      <c r="J63" s="774"/>
    </row>
    <row r="64" spans="1:12" ht="15.9" customHeight="1" outlineLevel="1">
      <c r="A64" s="3" t="s">
        <v>113</v>
      </c>
      <c r="B64" s="312" t="s">
        <v>519</v>
      </c>
      <c r="C64" s="335">
        <f>SUMIF(EGRESOS!$A$17:$A$252,A64,EGRESOS!$C$17:$C$252)</f>
        <v>1337000</v>
      </c>
      <c r="D64" s="703">
        <f t="shared" ref="D64:D70" si="8">+C64/$C$243</f>
        <v>7.4635915316825107E-5</v>
      </c>
      <c r="E64" s="335">
        <v>2160000</v>
      </c>
      <c r="F64" s="703">
        <f t="shared" ref="F64:F70" si="9">+E64/$E$243</f>
        <v>1.9153576859242411E-4</v>
      </c>
      <c r="G64" s="703">
        <f t="shared" ref="G64:G70" si="10">+D64-F64</f>
        <v>-1.16899853275599E-4</v>
      </c>
      <c r="H64" s="335">
        <v>945109.4</v>
      </c>
      <c r="I64" s="703">
        <f t="shared" ref="I64:I70" si="11">+H64/$H$243</f>
        <v>9.8467902116518386E-5</v>
      </c>
      <c r="J64" s="774">
        <f t="shared" ref="J64:J70" si="12">+F64-I64</f>
        <v>9.3067866475905723E-5</v>
      </c>
      <c r="L64" s="909">
        <f t="shared" ref="L64:L70" si="13">+C64*$L$12</f>
        <v>1203300</v>
      </c>
    </row>
    <row r="65" spans="1:12" ht="15.9" customHeight="1" outlineLevel="1">
      <c r="A65" s="3" t="s">
        <v>114</v>
      </c>
      <c r="B65" s="312" t="s">
        <v>520</v>
      </c>
      <c r="C65" s="335">
        <f>SUMIF(EGRESOS!$A$17:$A$252,A65,EGRESOS!$C$17:$C$252)</f>
        <v>40000000</v>
      </c>
      <c r="D65" s="703">
        <f t="shared" si="8"/>
        <v>2.2329368830762931E-3</v>
      </c>
      <c r="E65" s="335">
        <v>38115000</v>
      </c>
      <c r="F65" s="703">
        <f t="shared" si="9"/>
        <v>3.379808249953817E-3</v>
      </c>
      <c r="G65" s="703">
        <f t="shared" si="10"/>
        <v>-1.1468713668775238E-3</v>
      </c>
      <c r="H65" s="335">
        <v>0</v>
      </c>
      <c r="I65" s="703">
        <f t="shared" si="11"/>
        <v>0</v>
      </c>
      <c r="J65" s="774">
        <f t="shared" si="12"/>
        <v>3.379808249953817E-3</v>
      </c>
      <c r="L65" s="909">
        <f t="shared" si="13"/>
        <v>36000000</v>
      </c>
    </row>
    <row r="66" spans="1:12" ht="15.9" customHeight="1" outlineLevel="1">
      <c r="A66" s="3" t="s">
        <v>115</v>
      </c>
      <c r="B66" s="312" t="s">
        <v>521</v>
      </c>
      <c r="C66" s="335">
        <f>SUMIF(EGRESOS!$A$17:$A$252,A66,EGRESOS!$C$17:$C$252)</f>
        <v>12550000</v>
      </c>
      <c r="D66" s="703">
        <f t="shared" si="8"/>
        <v>7.0058394706518697E-4</v>
      </c>
      <c r="E66" s="335">
        <v>9571500</v>
      </c>
      <c r="F66" s="703">
        <f t="shared" si="9"/>
        <v>8.487428745751793E-4</v>
      </c>
      <c r="G66" s="703">
        <f t="shared" si="10"/>
        <v>-1.4815892750999233E-4</v>
      </c>
      <c r="H66" s="335">
        <v>21114056.219999999</v>
      </c>
      <c r="I66" s="703">
        <f t="shared" si="11"/>
        <v>2.1998054628952226E-3</v>
      </c>
      <c r="J66" s="774">
        <f t="shared" si="12"/>
        <v>-1.3510625883200434E-3</v>
      </c>
      <c r="L66" s="909">
        <f t="shared" si="13"/>
        <v>11295000</v>
      </c>
    </row>
    <row r="67" spans="1:12" ht="15.9" customHeight="1" outlineLevel="1">
      <c r="A67" s="3" t="s">
        <v>116</v>
      </c>
      <c r="B67" s="312" t="s">
        <v>522</v>
      </c>
      <c r="C67" s="335">
        <f>SUMIF(EGRESOS!$A$17:$A$252,A67,EGRESOS!$C$17:$C$252)</f>
        <v>650000</v>
      </c>
      <c r="D67" s="703">
        <f t="shared" si="8"/>
        <v>3.6285224349989767E-5</v>
      </c>
      <c r="E67" s="335">
        <v>8154000</v>
      </c>
      <c r="F67" s="703">
        <f t="shared" si="9"/>
        <v>7.2304752643640108E-4</v>
      </c>
      <c r="G67" s="703">
        <f t="shared" si="10"/>
        <v>-6.8676230208641127E-4</v>
      </c>
      <c r="H67" s="335">
        <v>20000</v>
      </c>
      <c r="I67" s="703">
        <f t="shared" si="11"/>
        <v>2.0837355361510186E-6</v>
      </c>
      <c r="J67" s="774">
        <f t="shared" si="12"/>
        <v>7.2096379090025005E-4</v>
      </c>
      <c r="L67" s="909">
        <f t="shared" si="13"/>
        <v>585000</v>
      </c>
    </row>
    <row r="68" spans="1:12" ht="15.9" hidden="1" customHeight="1" outlineLevel="1">
      <c r="A68" s="3" t="s">
        <v>117</v>
      </c>
      <c r="B68" s="312" t="s">
        <v>523</v>
      </c>
      <c r="C68" s="335">
        <f>SUMIF(EGRESOS!$A$17:$A$252,A68,EGRESOS!$C$17:$C$252)</f>
        <v>0</v>
      </c>
      <c r="D68" s="703">
        <f t="shared" si="8"/>
        <v>0</v>
      </c>
      <c r="E68" s="335">
        <v>0</v>
      </c>
      <c r="F68" s="703">
        <f t="shared" si="9"/>
        <v>0</v>
      </c>
      <c r="G68" s="703">
        <f>+D68-F68</f>
        <v>0</v>
      </c>
      <c r="H68" s="335">
        <v>0</v>
      </c>
      <c r="I68" s="703">
        <f t="shared" si="11"/>
        <v>0</v>
      </c>
      <c r="J68" s="774">
        <f t="shared" si="12"/>
        <v>0</v>
      </c>
      <c r="L68" s="909">
        <f t="shared" si="13"/>
        <v>0</v>
      </c>
    </row>
    <row r="69" spans="1:12" ht="15.9" customHeight="1" outlineLevel="1">
      <c r="A69" s="3" t="s">
        <v>118</v>
      </c>
      <c r="B69" s="312" t="s">
        <v>524</v>
      </c>
      <c r="C69" s="335">
        <f>SUMIF(EGRESOS!$A$17:$A$252,A69,EGRESOS!$C$17:$C$252)</f>
        <v>22300000</v>
      </c>
      <c r="D69" s="703">
        <f t="shared" si="8"/>
        <v>1.2448623123150334E-3</v>
      </c>
      <c r="E69" s="335">
        <v>32400000</v>
      </c>
      <c r="F69" s="703">
        <f t="shared" si="9"/>
        <v>2.8730365288863616E-3</v>
      </c>
      <c r="G69" s="703">
        <f t="shared" si="10"/>
        <v>-1.6281742165713282E-3</v>
      </c>
      <c r="H69" s="335">
        <v>13220239.91</v>
      </c>
      <c r="I69" s="703">
        <f t="shared" si="11"/>
        <v>1.3773741848454473E-3</v>
      </c>
      <c r="J69" s="774">
        <f t="shared" si="12"/>
        <v>1.4956623440409143E-3</v>
      </c>
      <c r="L69" s="909">
        <f t="shared" si="13"/>
        <v>20070000</v>
      </c>
    </row>
    <row r="70" spans="1:12" ht="15.9" customHeight="1" outlineLevel="1">
      <c r="A70" s="3" t="s">
        <v>339</v>
      </c>
      <c r="B70" s="312" t="s">
        <v>525</v>
      </c>
      <c r="C70" s="335">
        <f>SUMIF(EGRESOS!$A$17:$A$252,A70,EGRESOS!$C$17:$C$252)</f>
        <v>78480908</v>
      </c>
      <c r="D70" s="703">
        <f t="shared" si="8"/>
        <v>4.3810728522629336E-3</v>
      </c>
      <c r="E70" s="335">
        <v>86382817.200000003</v>
      </c>
      <c r="F70" s="703">
        <f t="shared" si="9"/>
        <v>7.6599070766578117E-3</v>
      </c>
      <c r="G70" s="703">
        <f t="shared" si="10"/>
        <v>-3.2788342243948781E-3</v>
      </c>
      <c r="H70" s="335">
        <v>93716368.409999996</v>
      </c>
      <c r="I70" s="703">
        <f t="shared" si="11"/>
        <v>9.7640063587468868E-3</v>
      </c>
      <c r="J70" s="774">
        <f t="shared" si="12"/>
        <v>-2.1040992820890751E-3</v>
      </c>
      <c r="L70" s="909">
        <f t="shared" si="13"/>
        <v>70632817.200000003</v>
      </c>
    </row>
    <row r="71" spans="1:12" ht="9.9" customHeight="1" outlineLevel="1">
      <c r="B71" s="312"/>
      <c r="C71" s="336"/>
      <c r="D71" s="703"/>
      <c r="E71" s="340"/>
      <c r="F71" s="703"/>
      <c r="G71" s="803"/>
      <c r="H71" s="340"/>
      <c r="I71" s="803"/>
      <c r="J71" s="774"/>
    </row>
    <row r="72" spans="1:12" s="982" customFormat="1" ht="15.9" customHeight="1" outlineLevel="1">
      <c r="B72" s="314" t="s">
        <v>120</v>
      </c>
      <c r="C72" s="338">
        <f>SUM(C74:C80)</f>
        <v>872980000</v>
      </c>
      <c r="D72" s="702">
        <f>+C72/$C$243</f>
        <v>4.8732731004698562E-2</v>
      </c>
      <c r="E72" s="338">
        <f>SUM(E74:E80)</f>
        <v>746567100</v>
      </c>
      <c r="F72" s="801">
        <f>+E72/$E$243</f>
        <v>6.6201066344591275E-2</v>
      </c>
      <c r="G72" s="702">
        <f>+D72-F72</f>
        <v>-1.7468335339892713E-2</v>
      </c>
      <c r="H72" s="338">
        <f>SUM(H74:H80)</f>
        <v>324461122.88999999</v>
      </c>
      <c r="I72" s="702">
        <f>+H72/$H$243</f>
        <v>3.3804558593267788E-2</v>
      </c>
      <c r="J72" s="83">
        <f>+F72-I72</f>
        <v>3.2396507751323488E-2</v>
      </c>
    </row>
    <row r="73" spans="1:12" ht="7.95" customHeight="1" outlineLevel="1">
      <c r="B73" s="312"/>
      <c r="C73" s="336"/>
      <c r="D73" s="703"/>
      <c r="E73" s="340"/>
      <c r="F73" s="703"/>
      <c r="G73" s="703"/>
      <c r="H73" s="340"/>
      <c r="I73" s="803"/>
      <c r="J73" s="774"/>
    </row>
    <row r="74" spans="1:12" ht="15.9" customHeight="1" outlineLevel="1">
      <c r="A74" s="3" t="s">
        <v>479</v>
      </c>
      <c r="B74" s="312" t="s">
        <v>480</v>
      </c>
      <c r="C74" s="335">
        <f>SUMIF(EGRESOS!$A$17:$A$252,A74,EGRESOS!$C$17:$C$252)</f>
        <v>0</v>
      </c>
      <c r="D74" s="703">
        <f t="shared" ref="D74:D80" si="14">+C74/$C$243</f>
        <v>0</v>
      </c>
      <c r="E74" s="335">
        <v>90000</v>
      </c>
      <c r="F74" s="703">
        <f t="shared" ref="F74:F80" si="15">+E74/$E$243</f>
        <v>7.9806570246843379E-6</v>
      </c>
      <c r="G74" s="703">
        <f t="shared" ref="G74:G80" si="16">+D74-F74</f>
        <v>-7.9806570246843379E-6</v>
      </c>
      <c r="H74" s="335">
        <v>62400</v>
      </c>
      <c r="I74" s="703">
        <f t="shared" ref="I74:I80" si="17">+H74/$H$243</f>
        <v>6.5012548727911784E-6</v>
      </c>
      <c r="J74" s="774">
        <f>+F74-I74</f>
        <v>1.4794021518931594E-6</v>
      </c>
      <c r="L74" s="909">
        <f t="shared" ref="L74:L80" si="18">+C74*$L$12</f>
        <v>0</v>
      </c>
    </row>
    <row r="75" spans="1:12" ht="15.9" customHeight="1" outlineLevel="1">
      <c r="A75" s="3" t="s">
        <v>341</v>
      </c>
      <c r="B75" s="312" t="s">
        <v>526</v>
      </c>
      <c r="C75" s="335">
        <f>SUMIF(EGRESOS!$A$17:$A$252,A75,EGRESOS!$C$17:$C$252)</f>
        <v>5500000</v>
      </c>
      <c r="D75" s="703">
        <f t="shared" si="14"/>
        <v>3.0702882142299032E-4</v>
      </c>
      <c r="E75" s="335">
        <v>11250000</v>
      </c>
      <c r="F75" s="703">
        <f t="shared" si="15"/>
        <v>9.9758212808554229E-4</v>
      </c>
      <c r="G75" s="703">
        <f t="shared" si="16"/>
        <v>-6.9055330666255191E-4</v>
      </c>
      <c r="H75" s="335">
        <v>5512140</v>
      </c>
      <c r="I75" s="703">
        <f t="shared" si="17"/>
        <v>5.7429209991197378E-4</v>
      </c>
      <c r="J75" s="774">
        <f t="shared" ref="J75:J80" si="19">+F75-I75</f>
        <v>4.2329002817356851E-4</v>
      </c>
      <c r="L75" s="909">
        <f t="shared" si="18"/>
        <v>4950000</v>
      </c>
    </row>
    <row r="76" spans="1:12" hidden="1" outlineLevel="1">
      <c r="A76" s="3" t="s">
        <v>293</v>
      </c>
      <c r="B76" s="312" t="s">
        <v>343</v>
      </c>
      <c r="C76" s="335">
        <f>SUMIF(EGRESOS!$A$17:$A$252,A76,EGRESOS!$C$17:$C$252)</f>
        <v>0</v>
      </c>
      <c r="D76" s="703">
        <f t="shared" si="14"/>
        <v>0</v>
      </c>
      <c r="E76" s="335">
        <v>0</v>
      </c>
      <c r="F76" s="703">
        <f t="shared" si="15"/>
        <v>0</v>
      </c>
      <c r="G76" s="703">
        <f t="shared" si="16"/>
        <v>0</v>
      </c>
      <c r="H76" s="335">
        <v>0</v>
      </c>
      <c r="I76" s="703">
        <f t="shared" si="17"/>
        <v>0</v>
      </c>
      <c r="J76" s="774">
        <f t="shared" si="19"/>
        <v>0</v>
      </c>
      <c r="L76" s="909">
        <f t="shared" si="18"/>
        <v>0</v>
      </c>
    </row>
    <row r="77" spans="1:12" outlineLevel="1">
      <c r="A77" s="3" t="s">
        <v>121</v>
      </c>
      <c r="B77" s="312" t="s">
        <v>527</v>
      </c>
      <c r="C77" s="335">
        <f>SUMIF(EGRESOS!$A$17:$A$252,A77,EGRESOS!$C$17:$C$252)</f>
        <v>45500000</v>
      </c>
      <c r="D77" s="703">
        <f t="shared" si="14"/>
        <v>2.5399657044992835E-3</v>
      </c>
      <c r="E77" s="335">
        <v>93600000</v>
      </c>
      <c r="F77" s="703">
        <f t="shared" si="15"/>
        <v>8.2998833056717111E-3</v>
      </c>
      <c r="G77" s="703">
        <f t="shared" si="16"/>
        <v>-5.7599176011724276E-3</v>
      </c>
      <c r="H77" s="335">
        <v>114347049.40000001</v>
      </c>
      <c r="I77" s="703">
        <f t="shared" si="17"/>
        <v>1.1913450514439802E-2</v>
      </c>
      <c r="J77" s="774">
        <f t="shared" si="19"/>
        <v>-3.6135672087680912E-3</v>
      </c>
      <c r="L77" s="909">
        <f t="shared" si="18"/>
        <v>40950000</v>
      </c>
    </row>
    <row r="78" spans="1:12" ht="15.9" customHeight="1" outlineLevel="1">
      <c r="A78" s="3" t="s">
        <v>123</v>
      </c>
      <c r="B78" s="312" t="s">
        <v>962</v>
      </c>
      <c r="C78" s="335">
        <f>SUMIF(EGRESOS!$A$17:$A$252,A78,EGRESOS!$C$17:$C$252)</f>
        <v>78000000</v>
      </c>
      <c r="D78" s="703">
        <f t="shared" si="14"/>
        <v>4.3542269219987717E-3</v>
      </c>
      <c r="E78" s="335">
        <v>0</v>
      </c>
      <c r="F78" s="703">
        <f t="shared" si="15"/>
        <v>0</v>
      </c>
      <c r="G78" s="703">
        <f t="shared" si="16"/>
        <v>4.3542269219987717E-3</v>
      </c>
      <c r="H78" s="335">
        <v>0</v>
      </c>
      <c r="I78" s="703">
        <f t="shared" si="17"/>
        <v>0</v>
      </c>
      <c r="J78" s="774">
        <f t="shared" si="19"/>
        <v>0</v>
      </c>
      <c r="L78" s="909">
        <f t="shared" si="18"/>
        <v>70200000</v>
      </c>
    </row>
    <row r="79" spans="1:12" ht="15.9" customHeight="1" outlineLevel="1">
      <c r="A79" s="3" t="s">
        <v>125</v>
      </c>
      <c r="B79" s="312" t="s">
        <v>529</v>
      </c>
      <c r="C79" s="335">
        <f>SUMIF(EGRESOS!$A$17:$A$252,A79,EGRESOS!$C$17:$C$252)</f>
        <v>97930000</v>
      </c>
      <c r="D79" s="703">
        <f t="shared" si="14"/>
        <v>5.466787723991535E-3</v>
      </c>
      <c r="E79" s="335">
        <v>79037100</v>
      </c>
      <c r="F79" s="703">
        <f t="shared" si="15"/>
        <v>7.0085331925075385E-3</v>
      </c>
      <c r="G79" s="703">
        <f t="shared" si="16"/>
        <v>-1.5417454685160035E-3</v>
      </c>
      <c r="H79" s="335">
        <v>73140756.329999998</v>
      </c>
      <c r="I79" s="703">
        <f t="shared" si="17"/>
        <v>7.6202996552891785E-3</v>
      </c>
      <c r="J79" s="774">
        <f t="shared" si="19"/>
        <v>-6.1176646278163997E-4</v>
      </c>
      <c r="L79" s="909">
        <f t="shared" si="18"/>
        <v>88137000</v>
      </c>
    </row>
    <row r="80" spans="1:12" ht="15.9" customHeight="1" outlineLevel="1">
      <c r="A80" s="3" t="s">
        <v>127</v>
      </c>
      <c r="B80" s="312" t="s">
        <v>530</v>
      </c>
      <c r="C80" s="335">
        <f>SUMIF(EGRESOS!$A$17:$A$252,A80,EGRESOS!$C$17:$C$252)</f>
        <v>646050000</v>
      </c>
      <c r="D80" s="703">
        <f t="shared" si="14"/>
        <v>3.606472183278598E-2</v>
      </c>
      <c r="E80" s="335">
        <v>562590000</v>
      </c>
      <c r="F80" s="703">
        <f t="shared" si="15"/>
        <v>4.9887087061301801E-2</v>
      </c>
      <c r="G80" s="703">
        <f t="shared" si="16"/>
        <v>-1.3822365228515821E-2</v>
      </c>
      <c r="H80" s="335">
        <v>131398777.16</v>
      </c>
      <c r="I80" s="703">
        <f t="shared" si="17"/>
        <v>1.369001506875404E-2</v>
      </c>
      <c r="J80" s="774">
        <f t="shared" si="19"/>
        <v>3.6197071992547764E-2</v>
      </c>
      <c r="L80" s="909">
        <f t="shared" si="18"/>
        <v>581445000</v>
      </c>
    </row>
    <row r="81" spans="1:12" ht="7.95" customHeight="1" outlineLevel="1">
      <c r="B81" s="312"/>
      <c r="C81" s="336"/>
      <c r="D81" s="703"/>
      <c r="E81" s="340"/>
      <c r="F81" s="703"/>
      <c r="G81" s="803"/>
      <c r="H81" s="340"/>
      <c r="I81" s="803"/>
      <c r="J81" s="774"/>
    </row>
    <row r="82" spans="1:12" s="982" customFormat="1" ht="15.9" customHeight="1" outlineLevel="1">
      <c r="B82" s="337" t="s">
        <v>130</v>
      </c>
      <c r="C82" s="338">
        <f>SUM(C84:C87)</f>
        <v>800223816</v>
      </c>
      <c r="D82" s="702">
        <f>+C82/$C$243</f>
        <v>4.467123183656143E-2</v>
      </c>
      <c r="E82" s="338">
        <f>SUM(E84:E87)</f>
        <v>688183470</v>
      </c>
      <c r="F82" s="801">
        <f>+E82/$E$243</f>
        <v>6.1023958268079374E-2</v>
      </c>
      <c r="G82" s="702">
        <f>+D82-F82</f>
        <v>-1.6352726431517944E-2</v>
      </c>
      <c r="H82" s="338">
        <f>SUM(H84:H87)</f>
        <v>481385615.71999997</v>
      </c>
      <c r="I82" s="702">
        <f>+H82/$H$243</f>
        <v>5.0154015703385117E-2</v>
      </c>
      <c r="J82" s="83">
        <f>+F82-I82</f>
        <v>1.0869942564694257E-2</v>
      </c>
    </row>
    <row r="83" spans="1:12" ht="7.95" customHeight="1" outlineLevel="1">
      <c r="B83" s="312"/>
      <c r="C83" s="336"/>
      <c r="D83" s="703"/>
      <c r="E83" s="340"/>
      <c r="F83" s="703"/>
      <c r="G83" s="803"/>
      <c r="H83" s="340"/>
      <c r="I83" s="803"/>
      <c r="J83" s="774"/>
    </row>
    <row r="84" spans="1:12" ht="15.9" customHeight="1" outlineLevel="1">
      <c r="A84" s="3" t="s">
        <v>131</v>
      </c>
      <c r="B84" s="312" t="s">
        <v>531</v>
      </c>
      <c r="C84" s="335">
        <f>SUMIF(EGRESOS!$A$17:$A$252,A84,EGRESOS!$C$17:$C$252)</f>
        <v>6535000</v>
      </c>
      <c r="D84" s="703">
        <f>+C84/$C$243</f>
        <v>3.6480606327258944E-4</v>
      </c>
      <c r="E84" s="335">
        <v>12939750</v>
      </c>
      <c r="F84" s="703">
        <f>+E84/$E$243</f>
        <v>1.1474189637239907E-3</v>
      </c>
      <c r="G84" s="703">
        <f>+D84-F84</f>
        <v>-7.8261290045140118E-4</v>
      </c>
      <c r="H84" s="335">
        <v>3367402</v>
      </c>
      <c r="I84" s="703">
        <f>+H84/$H$243</f>
        <v>3.5083876059530063E-4</v>
      </c>
      <c r="J84" s="774">
        <f>+F84-I84</f>
        <v>7.9658020312869005E-4</v>
      </c>
      <c r="L84" s="909">
        <f>+C84*$L$12</f>
        <v>5881500</v>
      </c>
    </row>
    <row r="85" spans="1:12" ht="15.9" customHeight="1" outlineLevel="1">
      <c r="A85" s="3" t="s">
        <v>133</v>
      </c>
      <c r="B85" s="312" t="s">
        <v>532</v>
      </c>
      <c r="C85" s="335">
        <f>SUMIF(EGRESOS!$A$17:$A$252,A85,EGRESOS!$C$17:$C$252)</f>
        <v>759088816</v>
      </c>
      <c r="D85" s="703">
        <f>+C85/$C$243</f>
        <v>4.2374935369427845E-2</v>
      </c>
      <c r="E85" s="335">
        <v>637146720</v>
      </c>
      <c r="F85" s="703">
        <f>+E85/$E$243</f>
        <v>5.6498327185806503E-2</v>
      </c>
      <c r="G85" s="703">
        <f>+D85-F85</f>
        <v>-1.4123391816378658E-2</v>
      </c>
      <c r="H85" s="335">
        <v>449437680</v>
      </c>
      <c r="I85" s="703">
        <f>+H85/$H$243</f>
        <v>4.6825463255063496E-2</v>
      </c>
      <c r="J85" s="774">
        <f>+F85-I85</f>
        <v>9.6728639307430073E-3</v>
      </c>
      <c r="L85" s="909">
        <f>+C85*$L$12</f>
        <v>683179934.39999998</v>
      </c>
    </row>
    <row r="86" spans="1:12" ht="15.9" customHeight="1" outlineLevel="1">
      <c r="A86" s="3" t="s">
        <v>134</v>
      </c>
      <c r="B86" s="312" t="s">
        <v>533</v>
      </c>
      <c r="C86" s="335">
        <f>SUMIF(EGRESOS!$A$17:$A$252,A86,EGRESOS!$C$17:$C$252)</f>
        <v>16000000</v>
      </c>
      <c r="D86" s="703">
        <f>+C86/$C$243</f>
        <v>8.9317475323051729E-4</v>
      </c>
      <c r="E86" s="335">
        <v>15075000</v>
      </c>
      <c r="F86" s="703">
        <f>+E86/$E$243</f>
        <v>1.3367600516346267E-3</v>
      </c>
      <c r="G86" s="703">
        <f>+D86-F86</f>
        <v>-4.4358529840410939E-4</v>
      </c>
      <c r="H86" s="335">
        <v>13358621.279999999</v>
      </c>
      <c r="I86" s="703">
        <f>+H86/$H$243</f>
        <v>1.3917916937559603E-3</v>
      </c>
      <c r="J86" s="774">
        <f>+F86-I86</f>
        <v>-5.5031642121333626E-5</v>
      </c>
      <c r="L86" s="909">
        <f>+C86*$L$12</f>
        <v>14400000</v>
      </c>
    </row>
    <row r="87" spans="1:12" ht="15.9" customHeight="1" outlineLevel="1">
      <c r="A87" s="3" t="s">
        <v>136</v>
      </c>
      <c r="B87" s="312" t="s">
        <v>534</v>
      </c>
      <c r="C87" s="335">
        <f>SUMIF(EGRESOS!$A$17:$A$252,A87,EGRESOS!$C$17:$C$252)</f>
        <v>18600000</v>
      </c>
      <c r="D87" s="703">
        <f>+C87/$C$243</f>
        <v>1.0383156506304763E-3</v>
      </c>
      <c r="E87" s="335">
        <v>23022000</v>
      </c>
      <c r="F87" s="703">
        <f>+E87/$E$243</f>
        <v>2.0414520669142537E-3</v>
      </c>
      <c r="G87" s="703">
        <f>+D87-F87</f>
        <v>-1.0031364162837774E-3</v>
      </c>
      <c r="H87" s="335">
        <v>15221912.439999999</v>
      </c>
      <c r="I87" s="703">
        <f>+H87/$H$243</f>
        <v>1.585921993970363E-3</v>
      </c>
      <c r="J87" s="774">
        <f>+F87-I87</f>
        <v>4.5553007294389073E-4</v>
      </c>
      <c r="L87" s="909">
        <f>+C87*$L$12</f>
        <v>16740000</v>
      </c>
    </row>
    <row r="88" spans="1:12" ht="7.2" customHeight="1" outlineLevel="1">
      <c r="B88" s="312"/>
      <c r="C88" s="336"/>
      <c r="D88" s="703"/>
      <c r="E88" s="340"/>
      <c r="F88" s="703"/>
      <c r="G88" s="803"/>
      <c r="H88" s="340"/>
      <c r="I88" s="803"/>
      <c r="J88" s="774"/>
    </row>
    <row r="89" spans="1:12" s="982" customFormat="1" ht="15.9" customHeight="1" outlineLevel="1">
      <c r="B89" s="306" t="s">
        <v>242</v>
      </c>
      <c r="C89" s="338">
        <f>SUM(C91:C93)</f>
        <v>154121476.19</v>
      </c>
      <c r="D89" s="702">
        <f>+C89/$C$243</f>
        <v>8.6035882164703942E-3</v>
      </c>
      <c r="E89" s="338">
        <f>SUM(E91:E93)</f>
        <v>93696210</v>
      </c>
      <c r="F89" s="801">
        <f>+E89/$E$243</f>
        <v>8.3084146280310994E-3</v>
      </c>
      <c r="G89" s="702">
        <f>+D89-F89</f>
        <v>2.9517358843929482E-4</v>
      </c>
      <c r="H89" s="338">
        <f>SUM(H91:H93)</f>
        <v>70660305.959999993</v>
      </c>
      <c r="I89" s="702">
        <f>+H89/$H$243</f>
        <v>7.3618695262077805E-3</v>
      </c>
      <c r="J89" s="83">
        <f>+F89-I89</f>
        <v>9.465451018233189E-4</v>
      </c>
    </row>
    <row r="90" spans="1:12" ht="5.4" customHeight="1">
      <c r="B90" s="312"/>
      <c r="C90" s="336"/>
      <c r="D90" s="703"/>
      <c r="E90" s="340"/>
      <c r="F90" s="703"/>
      <c r="G90" s="803"/>
      <c r="H90" s="340"/>
      <c r="I90" s="803"/>
      <c r="J90" s="774"/>
    </row>
    <row r="91" spans="1:12" ht="15.9" customHeight="1" outlineLevel="1">
      <c r="A91" s="3" t="s">
        <v>138</v>
      </c>
      <c r="B91" s="312" t="s">
        <v>139</v>
      </c>
      <c r="C91" s="335">
        <f>SUMIF(EGRESOS!$A$17:$A$252,A91,EGRESOS!$C$17:$C$252)</f>
        <v>154121476.19</v>
      </c>
      <c r="D91" s="703">
        <f>+C91/$C$243</f>
        <v>8.6035882164703942E-3</v>
      </c>
      <c r="E91" s="335">
        <v>93696210</v>
      </c>
      <c r="F91" s="703">
        <f>+E91/$E$243</f>
        <v>8.3084146280310994E-3</v>
      </c>
      <c r="G91" s="703">
        <f>+D91-F91</f>
        <v>2.9517358843929482E-4</v>
      </c>
      <c r="H91" s="335">
        <v>70660305.959999993</v>
      </c>
      <c r="I91" s="703">
        <f>+H91/$H$243</f>
        <v>7.3618695262077805E-3</v>
      </c>
      <c r="J91" s="774">
        <f>+F91-I91</f>
        <v>9.465451018233189E-4</v>
      </c>
      <c r="L91" s="909">
        <f>+C91*$L$12</f>
        <v>138709328.57100001</v>
      </c>
    </row>
    <row r="92" spans="1:12" ht="15.9" hidden="1" customHeight="1" outlineLevel="1">
      <c r="A92" s="3" t="s">
        <v>535</v>
      </c>
      <c r="B92" s="312" t="s">
        <v>536</v>
      </c>
      <c r="C92" s="335">
        <f>SUMIF(EGRESOS!$A$17:$A$252,A92,EGRESOS!$C$17:$C$252)</f>
        <v>0</v>
      </c>
      <c r="D92" s="703">
        <f>+C92/$C$243</f>
        <v>0</v>
      </c>
      <c r="E92" s="335">
        <v>0</v>
      </c>
      <c r="F92" s="703">
        <f>+E92/$E$243</f>
        <v>0</v>
      </c>
      <c r="G92" s="703">
        <f>+D92-F92</f>
        <v>0</v>
      </c>
      <c r="H92" s="335">
        <v>0</v>
      </c>
      <c r="I92" s="703">
        <f>+H92/$H$243</f>
        <v>0</v>
      </c>
      <c r="J92" s="774">
        <f>+F92-I92</f>
        <v>0</v>
      </c>
      <c r="L92" s="909">
        <f>+C92*$L$12</f>
        <v>0</v>
      </c>
    </row>
    <row r="93" spans="1:12" ht="15.9" hidden="1" customHeight="1" outlineLevel="1">
      <c r="A93" s="3" t="s">
        <v>537</v>
      </c>
      <c r="B93" s="312" t="s">
        <v>538</v>
      </c>
      <c r="C93" s="335">
        <f>SUMIF(EGRESOS!$A$17:$A$252,A93,EGRESOS!$C$17:$C$252)</f>
        <v>0</v>
      </c>
      <c r="D93" s="703">
        <f>+C93/$C$243</f>
        <v>0</v>
      </c>
      <c r="E93" s="335">
        <v>0</v>
      </c>
      <c r="F93" s="703">
        <f>+E93/$E$243</f>
        <v>0</v>
      </c>
      <c r="G93" s="703">
        <f>+D93-F93</f>
        <v>0</v>
      </c>
      <c r="H93" s="335">
        <v>0</v>
      </c>
      <c r="I93" s="703">
        <f>+H93/$H$243</f>
        <v>0</v>
      </c>
      <c r="J93" s="774">
        <f>+F93-I93</f>
        <v>0</v>
      </c>
      <c r="L93" s="909">
        <f>+C93*$L$12</f>
        <v>0</v>
      </c>
    </row>
    <row r="94" spans="1:12" ht="7.95" customHeight="1" outlineLevel="2">
      <c r="B94" s="312"/>
      <c r="C94" s="336"/>
      <c r="D94" s="703"/>
      <c r="E94" s="340"/>
      <c r="F94" s="703"/>
      <c r="G94" s="803"/>
      <c r="H94" s="340"/>
      <c r="I94" s="803"/>
      <c r="J94" s="774"/>
    </row>
    <row r="95" spans="1:12" s="982" customFormat="1" ht="15.9" customHeight="1" outlineLevel="2">
      <c r="B95" s="337" t="s">
        <v>141</v>
      </c>
      <c r="C95" s="338">
        <f>SUM(C97:C99)</f>
        <v>218725000</v>
      </c>
      <c r="D95" s="702">
        <f>+C95/$C$243</f>
        <v>1.2209977993771557E-2</v>
      </c>
      <c r="E95" s="338">
        <f>SUM(E97:E99)</f>
        <v>95508000</v>
      </c>
      <c r="F95" s="801">
        <f>+E95/$E$243</f>
        <v>8.4690732345950193E-3</v>
      </c>
      <c r="G95" s="702">
        <f>+D95-F95</f>
        <v>3.7409047591765374E-3</v>
      </c>
      <c r="H95" s="338">
        <f>SUM(H97:H99)</f>
        <v>78771730.849999994</v>
      </c>
      <c r="I95" s="702">
        <f>+H95/$H$243</f>
        <v>8.2069727408134244E-3</v>
      </c>
      <c r="J95" s="83">
        <f>+F95-I95</f>
        <v>2.6210049378159496E-4</v>
      </c>
    </row>
    <row r="96" spans="1:12" ht="9.9" customHeight="1" outlineLevel="2">
      <c r="B96" s="342"/>
      <c r="C96" s="343"/>
      <c r="D96" s="706"/>
      <c r="E96" s="341"/>
      <c r="F96" s="706"/>
      <c r="G96" s="804"/>
      <c r="H96" s="341"/>
      <c r="I96" s="804"/>
      <c r="J96" s="805"/>
    </row>
    <row r="97" spans="1:12" ht="15.9" customHeight="1" outlineLevel="2">
      <c r="A97" s="3" t="s">
        <v>142</v>
      </c>
      <c r="B97" s="312" t="s">
        <v>539</v>
      </c>
      <c r="C97" s="335">
        <f>SUMIF(EGRESOS!$A$17:$A$252,A97,EGRESOS!$C$17:$C$252)</f>
        <v>217575000</v>
      </c>
      <c r="D97" s="703">
        <f>+C97/$C$243</f>
        <v>1.2145781058383112E-2</v>
      </c>
      <c r="E97" s="335">
        <v>95373000</v>
      </c>
      <c r="F97" s="703">
        <f>+E97/$E$243</f>
        <v>8.4571022490579923E-3</v>
      </c>
      <c r="G97" s="703">
        <f>+D97-F97</f>
        <v>3.6886788093251199E-3</v>
      </c>
      <c r="H97" s="335">
        <v>78771730.849999994</v>
      </c>
      <c r="I97" s="703">
        <f>+H97/$H$243</f>
        <v>8.2069727408134244E-3</v>
      </c>
      <c r="J97" s="774">
        <f>+F97-I97</f>
        <v>2.5012950824456794E-4</v>
      </c>
      <c r="L97" s="909">
        <f>+C97*$L$12</f>
        <v>195817500</v>
      </c>
    </row>
    <row r="98" spans="1:12" ht="15.9" customHeight="1" outlineLevel="2">
      <c r="A98" s="3" t="s">
        <v>144</v>
      </c>
      <c r="B98" s="312" t="s">
        <v>540</v>
      </c>
      <c r="C98" s="335">
        <f>SUMIF(EGRESOS!$A$17:$A$252,A98,EGRESOS!$C$17:$C$252)</f>
        <v>1000000</v>
      </c>
      <c r="D98" s="703">
        <f>+C98/$C$243</f>
        <v>5.5823422076907331E-5</v>
      </c>
      <c r="E98" s="335">
        <v>0</v>
      </c>
      <c r="F98" s="703">
        <f>+E98/$E$243</f>
        <v>0</v>
      </c>
      <c r="G98" s="703">
        <f>+D98-F98</f>
        <v>5.5823422076907331E-5</v>
      </c>
      <c r="H98" s="335">
        <v>0</v>
      </c>
      <c r="I98" s="703">
        <f>+H98/$H$243</f>
        <v>0</v>
      </c>
      <c r="J98" s="774">
        <f>+F98-I98</f>
        <v>0</v>
      </c>
      <c r="L98" s="909">
        <f>+C98*$L$12</f>
        <v>900000</v>
      </c>
    </row>
    <row r="99" spans="1:12" ht="15.9" customHeight="1" outlineLevel="2">
      <c r="A99" s="3" t="s">
        <v>146</v>
      </c>
      <c r="B99" s="312" t="s">
        <v>541</v>
      </c>
      <c r="C99" s="335">
        <f>SUMIF(EGRESOS!$A$17:$A$252,A99,EGRESOS!$C$17:$C$252)</f>
        <v>150000</v>
      </c>
      <c r="D99" s="703">
        <f>+C99/$C$243</f>
        <v>8.3735133115360999E-6</v>
      </c>
      <c r="E99" s="335">
        <v>135000</v>
      </c>
      <c r="F99" s="703">
        <f>+E99/$E$243</f>
        <v>1.1970985537026507E-5</v>
      </c>
      <c r="G99" s="703">
        <f>+D99-F99</f>
        <v>-3.5974722254904069E-6</v>
      </c>
      <c r="H99" s="335">
        <v>0</v>
      </c>
      <c r="I99" s="703">
        <f>+H99/$H$243</f>
        <v>0</v>
      </c>
      <c r="J99" s="774">
        <f>+F99-I99</f>
        <v>1.1970985537026507E-5</v>
      </c>
      <c r="L99" s="909">
        <f>+C99*$L$12</f>
        <v>135000</v>
      </c>
    </row>
    <row r="100" spans="1:12" ht="9.9" customHeight="1" outlineLevel="2">
      <c r="B100" s="312"/>
      <c r="C100" s="336"/>
      <c r="D100" s="703"/>
      <c r="E100" s="340"/>
      <c r="F100" s="703"/>
      <c r="G100" s="803"/>
      <c r="H100" s="340"/>
      <c r="I100" s="803"/>
      <c r="J100" s="774"/>
    </row>
    <row r="101" spans="1:12" s="982" customFormat="1" ht="15.9" customHeight="1" outlineLevel="2">
      <c r="B101" s="337" t="s">
        <v>149</v>
      </c>
      <c r="C101" s="338">
        <f>SUM(C103:C111)</f>
        <v>168646000</v>
      </c>
      <c r="D101" s="702">
        <f>+C101/$C$243</f>
        <v>9.4143968395821141E-3</v>
      </c>
      <c r="E101" s="338">
        <f>SUM(E103:E111)</f>
        <v>147510000</v>
      </c>
      <c r="F101" s="801">
        <f>+E101/$E$243</f>
        <v>1.308029686345763E-2</v>
      </c>
      <c r="G101" s="702">
        <f>+D101-F101</f>
        <v>-3.6659000238755159E-3</v>
      </c>
      <c r="H101" s="338">
        <f>SUM(H103:H111)</f>
        <v>73248571.980000004</v>
      </c>
      <c r="I101" s="702">
        <f>+H101/$H$243</f>
        <v>7.6315326203520899E-3</v>
      </c>
      <c r="J101" s="83">
        <f>+F101-I101</f>
        <v>5.4487642431055401E-3</v>
      </c>
    </row>
    <row r="102" spans="1:12" ht="7.95" customHeight="1" outlineLevel="2">
      <c r="B102" s="312"/>
      <c r="C102" s="336"/>
      <c r="D102" s="703"/>
      <c r="E102" s="340"/>
      <c r="F102" s="703"/>
      <c r="G102" s="803"/>
      <c r="H102" s="340"/>
      <c r="I102" s="803"/>
      <c r="J102" s="774"/>
    </row>
    <row r="103" spans="1:12" ht="15.9" customHeight="1" outlineLevel="2">
      <c r="A103" s="3" t="s">
        <v>150</v>
      </c>
      <c r="B103" s="312" t="s">
        <v>542</v>
      </c>
      <c r="C103" s="335">
        <f>SUMIF(EGRESOS!$A$17:$A$252,A103,EGRESOS!$C$17:$C$252)</f>
        <v>500000</v>
      </c>
      <c r="D103" s="703">
        <f t="shared" ref="D103:D111" si="20">+C103/$C$243</f>
        <v>2.7911711038453665E-5</v>
      </c>
      <c r="E103" s="335">
        <v>450000</v>
      </c>
      <c r="F103" s="703">
        <f t="shared" ref="F103:F111" si="21">+E103/$E$243</f>
        <v>3.9903285123421693E-5</v>
      </c>
      <c r="G103" s="703">
        <f t="shared" ref="G103:G111" si="22">+D103-F103</f>
        <v>-1.1991574084968027E-5</v>
      </c>
      <c r="H103" s="335">
        <v>0</v>
      </c>
      <c r="I103" s="703">
        <f t="shared" ref="I103:I111" si="23">+H103/$H$243</f>
        <v>0</v>
      </c>
      <c r="J103" s="774">
        <f>+F103-I103</f>
        <v>3.9903285123421693E-5</v>
      </c>
      <c r="L103" s="909">
        <f t="shared" ref="L103:L111" si="24">+C103*$L$12</f>
        <v>450000</v>
      </c>
    </row>
    <row r="104" spans="1:12" ht="15.9" hidden="1" customHeight="1" outlineLevel="2">
      <c r="A104" s="3" t="s">
        <v>543</v>
      </c>
      <c r="B104" s="312" t="s">
        <v>544</v>
      </c>
      <c r="C104" s="335">
        <f>SUMIF(EGRESOS!$A$17:$A$252,A104,EGRESOS!$C$17:$C$252)</f>
        <v>0</v>
      </c>
      <c r="D104" s="703">
        <f t="shared" si="20"/>
        <v>0</v>
      </c>
      <c r="E104" s="806">
        <v>0</v>
      </c>
      <c r="F104" s="703">
        <f t="shared" si="21"/>
        <v>0</v>
      </c>
      <c r="G104" s="703">
        <f t="shared" si="22"/>
        <v>0</v>
      </c>
      <c r="H104" s="335">
        <v>0</v>
      </c>
      <c r="I104" s="703">
        <f t="shared" si="23"/>
        <v>0</v>
      </c>
      <c r="J104" s="774">
        <f t="shared" ref="J104:J111" si="25">+F104-I104</f>
        <v>0</v>
      </c>
      <c r="L104" s="909">
        <f t="shared" si="24"/>
        <v>0</v>
      </c>
    </row>
    <row r="105" spans="1:12" ht="15.9" customHeight="1" outlineLevel="2">
      <c r="A105" s="3" t="s">
        <v>151</v>
      </c>
      <c r="B105" s="312" t="s">
        <v>545</v>
      </c>
      <c r="C105" s="335">
        <f>SUMIF(EGRESOS!$A$17:$A$252,A105,EGRESOS!$C$17:$C$252)</f>
        <v>0</v>
      </c>
      <c r="D105" s="703">
        <f t="shared" si="20"/>
        <v>0</v>
      </c>
      <c r="E105" s="806">
        <v>0</v>
      </c>
      <c r="F105" s="703">
        <f t="shared" si="21"/>
        <v>0</v>
      </c>
      <c r="G105" s="703">
        <f t="shared" si="22"/>
        <v>0</v>
      </c>
      <c r="H105" s="335">
        <v>4915500</v>
      </c>
      <c r="I105" s="703">
        <f t="shared" si="23"/>
        <v>5.1213010139751665E-4</v>
      </c>
      <c r="J105" s="774">
        <f t="shared" si="25"/>
        <v>-5.1213010139751665E-4</v>
      </c>
      <c r="L105" s="909">
        <f t="shared" si="24"/>
        <v>0</v>
      </c>
    </row>
    <row r="106" spans="1:12" ht="15.9" hidden="1" customHeight="1" outlineLevel="2">
      <c r="A106" s="3" t="s">
        <v>344</v>
      </c>
      <c r="B106" s="312" t="s">
        <v>546</v>
      </c>
      <c r="C106" s="335">
        <f>SUMIF(EGRESOS!$A$17:$A$252,A106,EGRESOS!$C$17:$C$252)</f>
        <v>0</v>
      </c>
      <c r="D106" s="703">
        <f t="shared" si="20"/>
        <v>0</v>
      </c>
      <c r="E106" s="335">
        <v>0</v>
      </c>
      <c r="F106" s="703">
        <f t="shared" si="21"/>
        <v>0</v>
      </c>
      <c r="G106" s="703">
        <f t="shared" si="22"/>
        <v>0</v>
      </c>
      <c r="H106" s="335">
        <v>0</v>
      </c>
      <c r="I106" s="703">
        <f t="shared" si="23"/>
        <v>0</v>
      </c>
      <c r="J106" s="774">
        <f t="shared" si="25"/>
        <v>0</v>
      </c>
      <c r="L106" s="909">
        <f t="shared" si="24"/>
        <v>0</v>
      </c>
    </row>
    <row r="107" spans="1:12" ht="15.9" customHeight="1" outlineLevel="2">
      <c r="A107" s="3" t="s">
        <v>153</v>
      </c>
      <c r="B107" s="312" t="s">
        <v>547</v>
      </c>
      <c r="C107" s="335">
        <f>SUMIF(EGRESOS!$A$17:$A$252,A107,EGRESOS!$C$17:$C$252)</f>
        <v>121846000</v>
      </c>
      <c r="D107" s="703">
        <f t="shared" si="20"/>
        <v>6.8018606863828506E-3</v>
      </c>
      <c r="E107" s="335">
        <v>66780000</v>
      </c>
      <c r="F107" s="703">
        <f t="shared" si="21"/>
        <v>5.9216475123157787E-3</v>
      </c>
      <c r="G107" s="703">
        <f t="shared" si="22"/>
        <v>8.8021317406707187E-4</v>
      </c>
      <c r="H107" s="335">
        <v>51858405.609999999</v>
      </c>
      <c r="I107" s="703">
        <f t="shared" si="23"/>
        <v>5.4029601308845168E-3</v>
      </c>
      <c r="J107" s="774">
        <f t="shared" si="25"/>
        <v>5.1868738143126189E-4</v>
      </c>
      <c r="L107" s="909">
        <f t="shared" si="24"/>
        <v>109661400</v>
      </c>
    </row>
    <row r="108" spans="1:12" ht="15.9" customHeight="1" outlineLevel="2">
      <c r="A108" s="3" t="s">
        <v>154</v>
      </c>
      <c r="B108" s="312" t="s">
        <v>548</v>
      </c>
      <c r="C108" s="335">
        <f>SUMIF(EGRESOS!$A$17:$A$252,A108,EGRESOS!$C$17:$C$252)</f>
        <v>1900000</v>
      </c>
      <c r="D108" s="703">
        <f t="shared" si="20"/>
        <v>1.0606450194612393E-4</v>
      </c>
      <c r="E108" s="335">
        <v>39690000</v>
      </c>
      <c r="F108" s="703">
        <f t="shared" si="21"/>
        <v>3.5194697478857931E-3</v>
      </c>
      <c r="G108" s="703">
        <f t="shared" si="22"/>
        <v>-3.4134052459396692E-3</v>
      </c>
      <c r="H108" s="335">
        <v>1923494.14</v>
      </c>
      <c r="I108" s="703">
        <f t="shared" si="23"/>
        <v>2.0040265465481213E-4</v>
      </c>
      <c r="J108" s="774">
        <f t="shared" si="25"/>
        <v>3.3190670932309809E-3</v>
      </c>
      <c r="L108" s="909">
        <f t="shared" si="24"/>
        <v>1710000</v>
      </c>
    </row>
    <row r="109" spans="1:12" ht="15.9" customHeight="1" outlineLevel="2">
      <c r="A109" s="3" t="s">
        <v>155</v>
      </c>
      <c r="B109" s="312" t="s">
        <v>549</v>
      </c>
      <c r="C109" s="335">
        <f>SUMIF(EGRESOS!$A$17:$A$252,A109,EGRESOS!$C$17:$C$252)</f>
        <v>4100000</v>
      </c>
      <c r="D109" s="703">
        <f t="shared" si="20"/>
        <v>2.2887603051532007E-4</v>
      </c>
      <c r="E109" s="335">
        <v>5220000</v>
      </c>
      <c r="F109" s="703">
        <f t="shared" si="21"/>
        <v>4.6287810743169159E-4</v>
      </c>
      <c r="G109" s="703">
        <f t="shared" si="22"/>
        <v>-2.3400207691637152E-4</v>
      </c>
      <c r="H109" s="335">
        <v>1213596.71</v>
      </c>
      <c r="I109" s="703">
        <f t="shared" si="23"/>
        <v>1.2644072955914811E-4</v>
      </c>
      <c r="J109" s="774">
        <f t="shared" si="25"/>
        <v>3.3643737787254345E-4</v>
      </c>
      <c r="L109" s="909">
        <f t="shared" si="24"/>
        <v>3690000</v>
      </c>
    </row>
    <row r="110" spans="1:12" ht="15.9" customHeight="1" outlineLevel="2">
      <c r="A110" s="3" t="s">
        <v>156</v>
      </c>
      <c r="B110" s="312" t="s">
        <v>751</v>
      </c>
      <c r="C110" s="335">
        <f>SUMIF(EGRESOS!$A$17:$A$252,A110,EGRESOS!$C$17:$C$252)</f>
        <v>40000000</v>
      </c>
      <c r="D110" s="703">
        <f t="shared" si="20"/>
        <v>2.2329368830762931E-3</v>
      </c>
      <c r="E110" s="335">
        <v>35100000</v>
      </c>
      <c r="F110" s="703">
        <f t="shared" si="21"/>
        <v>3.1124562396268917E-3</v>
      </c>
      <c r="G110" s="703">
        <f t="shared" si="22"/>
        <v>-8.7951935655059856E-4</v>
      </c>
      <c r="H110" s="335">
        <v>11701083.82</v>
      </c>
      <c r="I110" s="703">
        <f t="shared" si="23"/>
        <v>1.2190982083607855E-3</v>
      </c>
      <c r="J110" s="774">
        <f t="shared" si="25"/>
        <v>1.8933580312661062E-3</v>
      </c>
      <c r="L110" s="909">
        <f t="shared" si="24"/>
        <v>36000000</v>
      </c>
    </row>
    <row r="111" spans="1:12" ht="15.6" customHeight="1" outlineLevel="2">
      <c r="A111" s="3" t="s">
        <v>157</v>
      </c>
      <c r="B111" s="312" t="s">
        <v>550</v>
      </c>
      <c r="C111" s="335">
        <f>SUMIF(EGRESOS!$A$17:$A$252,A111,EGRESOS!$C$17:$C$252)</f>
        <v>300000</v>
      </c>
      <c r="D111" s="703">
        <f t="shared" si="20"/>
        <v>1.67470266230722E-5</v>
      </c>
      <c r="E111" s="335">
        <v>270000</v>
      </c>
      <c r="F111" s="703">
        <f t="shared" si="21"/>
        <v>2.3941971074053014E-5</v>
      </c>
      <c r="G111" s="703">
        <f t="shared" si="22"/>
        <v>-7.1949444509808138E-6</v>
      </c>
      <c r="H111" s="335">
        <v>1636491.7</v>
      </c>
      <c r="I111" s="703">
        <f t="shared" si="23"/>
        <v>1.705007954953096E-4</v>
      </c>
      <c r="J111" s="774">
        <f t="shared" si="25"/>
        <v>-1.4655882442125658E-4</v>
      </c>
      <c r="L111" s="909">
        <f t="shared" si="24"/>
        <v>270000</v>
      </c>
    </row>
    <row r="112" spans="1:12" ht="3.6" customHeight="1" outlineLevel="2">
      <c r="B112" s="312"/>
      <c r="C112" s="336"/>
      <c r="D112" s="703"/>
      <c r="E112" s="806"/>
      <c r="F112" s="703"/>
      <c r="G112" s="703"/>
      <c r="H112" s="806"/>
      <c r="I112" s="703"/>
      <c r="J112" s="774"/>
    </row>
    <row r="113" spans="1:12" s="982" customFormat="1" ht="15.9" customHeight="1" outlineLevel="2">
      <c r="B113" s="1132" t="s">
        <v>346</v>
      </c>
      <c r="C113" s="1133">
        <f>SUM(C115:C118)</f>
        <v>2340000</v>
      </c>
      <c r="D113" s="1134">
        <f>+C113/$C$243</f>
        <v>1.3062680765996317E-4</v>
      </c>
      <c r="E113" s="1133">
        <f>SUM(E115:E118)</f>
        <v>1944000</v>
      </c>
      <c r="F113" s="1135">
        <f>+E113/$E$243</f>
        <v>1.7238219173318169E-4</v>
      </c>
      <c r="G113" s="1134">
        <f>+D113-F113</f>
        <v>-4.1755384073218524E-5</v>
      </c>
      <c r="H113" s="1133">
        <f>SUM(H115:H118)</f>
        <v>1414108.55</v>
      </c>
      <c r="I113" s="1134">
        <f>+H113/$H$243</f>
        <v>1.4733141188049949E-4</v>
      </c>
      <c r="J113" s="1136">
        <f>+F113-I113</f>
        <v>2.50507798526822E-5</v>
      </c>
    </row>
    <row r="114" spans="1:12" ht="7.95" customHeight="1" outlineLevel="2">
      <c r="B114" s="315"/>
      <c r="C114" s="336"/>
      <c r="D114" s="703"/>
      <c r="E114" s="806"/>
      <c r="F114" s="703"/>
      <c r="G114" s="703"/>
      <c r="H114" s="806"/>
      <c r="I114" s="703"/>
      <c r="J114" s="774"/>
    </row>
    <row r="115" spans="1:12" ht="15.9" hidden="1" customHeight="1" outlineLevel="2">
      <c r="A115" s="3" t="s">
        <v>604</v>
      </c>
      <c r="B115" s="312" t="s">
        <v>605</v>
      </c>
      <c r="C115" s="335">
        <f>SUMIF(EGRESOS!$A$17:$A$252,A115,EGRESOS!$C$17:$C$252)</f>
        <v>0</v>
      </c>
      <c r="D115" s="703">
        <f>+C115/$C$243</f>
        <v>0</v>
      </c>
      <c r="E115" s="806">
        <v>0</v>
      </c>
      <c r="F115" s="703">
        <f>+E115/$E$243</f>
        <v>0</v>
      </c>
      <c r="G115" s="703">
        <f>+D115-F115</f>
        <v>0</v>
      </c>
      <c r="H115" s="1137">
        <v>0</v>
      </c>
      <c r="I115" s="703">
        <f>+H115/$H$243</f>
        <v>0</v>
      </c>
      <c r="J115" s="774">
        <f>+F115-I115</f>
        <v>0</v>
      </c>
      <c r="L115" s="909">
        <f>+C115*$L$12</f>
        <v>0</v>
      </c>
    </row>
    <row r="116" spans="1:12" ht="15.9" hidden="1" customHeight="1" outlineLevel="2">
      <c r="A116" s="3" t="s">
        <v>606</v>
      </c>
      <c r="B116" s="312" t="s">
        <v>607</v>
      </c>
      <c r="C116" s="335">
        <f>SUMIF(EGRESOS!$A$17:$A$252,A116,EGRESOS!$C$17:$C$252)</f>
        <v>0</v>
      </c>
      <c r="D116" s="703">
        <f>+C116/$C$243</f>
        <v>0</v>
      </c>
      <c r="E116" s="806">
        <v>0</v>
      </c>
      <c r="F116" s="703">
        <f>+E116/$E$243</f>
        <v>0</v>
      </c>
      <c r="G116" s="703">
        <f>+D116-F116</f>
        <v>0</v>
      </c>
      <c r="H116" s="335">
        <v>0</v>
      </c>
      <c r="I116" s="703">
        <f>+H116/$H$243</f>
        <v>0</v>
      </c>
      <c r="J116" s="774">
        <f>+F116-I116</f>
        <v>0</v>
      </c>
      <c r="L116" s="909">
        <f>+C116*$L$12</f>
        <v>0</v>
      </c>
    </row>
    <row r="117" spans="1:12" ht="15.9" hidden="1" customHeight="1" outlineLevel="2">
      <c r="A117" s="3" t="s">
        <v>608</v>
      </c>
      <c r="B117" s="312" t="s">
        <v>609</v>
      </c>
      <c r="C117" s="335">
        <f>SUMIF(EGRESOS!$A$17:$A$252,A117,EGRESOS!$C$17:$C$252)</f>
        <v>0</v>
      </c>
      <c r="D117" s="703">
        <f>+C117/$C$243</f>
        <v>0</v>
      </c>
      <c r="E117" s="806">
        <v>0</v>
      </c>
      <c r="F117" s="703">
        <f>+E117/$E$243</f>
        <v>0</v>
      </c>
      <c r="G117" s="703">
        <f>+D117-F117</f>
        <v>0</v>
      </c>
      <c r="H117" s="335">
        <v>0</v>
      </c>
      <c r="I117" s="703">
        <f>+H117/$H$243</f>
        <v>0</v>
      </c>
      <c r="J117" s="774">
        <f>+F117-I117</f>
        <v>0</v>
      </c>
      <c r="L117" s="909">
        <f>+C117*$L$12</f>
        <v>0</v>
      </c>
    </row>
    <row r="118" spans="1:12" ht="15.9" customHeight="1" outlineLevel="2">
      <c r="A118" s="3" t="s">
        <v>347</v>
      </c>
      <c r="B118" s="312" t="s">
        <v>348</v>
      </c>
      <c r="C118" s="335">
        <f>SUMIF(EGRESOS!$A$17:$A$252,A118,EGRESOS!$C$17:$C$252)</f>
        <v>2340000</v>
      </c>
      <c r="D118" s="703">
        <f>+C118/$C$243</f>
        <v>1.3062680765996317E-4</v>
      </c>
      <c r="E118" s="335">
        <v>1944000</v>
      </c>
      <c r="F118" s="703">
        <f>+E118/$E$243</f>
        <v>1.7238219173318169E-4</v>
      </c>
      <c r="G118" s="703">
        <f>+D118-F118</f>
        <v>-4.1755384073218524E-5</v>
      </c>
      <c r="H118" s="335">
        <v>1414108.55</v>
      </c>
      <c r="I118" s="703">
        <f>+H118/$H$243</f>
        <v>1.4733141188049949E-4</v>
      </c>
      <c r="J118" s="774">
        <f>+F118-I118</f>
        <v>2.50507798526822E-5</v>
      </c>
      <c r="L118" s="909">
        <f>+C118*$L$12</f>
        <v>2106000</v>
      </c>
    </row>
    <row r="119" spans="1:12" ht="7.95" customHeight="1" outlineLevel="2" thickBot="1">
      <c r="B119" s="1157"/>
      <c r="C119" s="1149"/>
      <c r="D119" s="705"/>
      <c r="E119" s="1150"/>
      <c r="F119" s="705"/>
      <c r="G119" s="1151"/>
      <c r="H119" s="1150"/>
      <c r="I119" s="1151"/>
      <c r="J119" s="821"/>
    </row>
    <row r="120" spans="1:12" s="982" customFormat="1" ht="15.9" customHeight="1" outlineLevel="2">
      <c r="B120" s="1131" t="s">
        <v>159</v>
      </c>
      <c r="C120" s="1152">
        <f>SUM(C122:C127)</f>
        <v>4390000</v>
      </c>
      <c r="D120" s="1153">
        <f>+C120/$C$243</f>
        <v>2.4506482291762317E-4</v>
      </c>
      <c r="E120" s="1154">
        <f>SUM(E122:E127)</f>
        <v>3825000</v>
      </c>
      <c r="F120" s="1155">
        <f>+E120/$E$243</f>
        <v>3.3917792354908434E-4</v>
      </c>
      <c r="G120" s="1153">
        <f>+D120-F120</f>
        <v>-9.411310063146117E-5</v>
      </c>
      <c r="H120" s="1154">
        <f>SUM(H122:H127)</f>
        <v>3281690.12</v>
      </c>
      <c r="I120" s="1153">
        <f>+H120/$H$243</f>
        <v>3.4190871608398506E-4</v>
      </c>
      <c r="J120" s="1156">
        <f>+F120-I120</f>
        <v>-2.7307925349007124E-6</v>
      </c>
    </row>
    <row r="121" spans="1:12" ht="7.95" customHeight="1" outlineLevel="2">
      <c r="B121" s="312"/>
      <c r="C121" s="336"/>
      <c r="D121" s="703"/>
      <c r="E121" s="340"/>
      <c r="F121" s="703"/>
      <c r="G121" s="803"/>
      <c r="H121" s="340"/>
      <c r="I121" s="803"/>
      <c r="J121" s="774"/>
    </row>
    <row r="122" spans="1:12" ht="15.9" hidden="1" customHeight="1" outlineLevel="2">
      <c r="A122" s="3" t="s">
        <v>551</v>
      </c>
      <c r="B122" s="312" t="s">
        <v>552</v>
      </c>
      <c r="C122" s="335">
        <f>SUMIF(EGRESOS!$A$17:$A$252,A122,EGRESOS!$C$17:$C$252)</f>
        <v>0</v>
      </c>
      <c r="D122" s="703">
        <f t="shared" ref="D122:D127" si="26">+C122/$C$243</f>
        <v>0</v>
      </c>
      <c r="E122" s="806">
        <v>0</v>
      </c>
      <c r="F122" s="703">
        <f t="shared" ref="F122:F127" si="27">+E122/$E$243</f>
        <v>0</v>
      </c>
      <c r="G122" s="703">
        <f t="shared" ref="G122:G127" si="28">+D122-F122</f>
        <v>0</v>
      </c>
      <c r="H122" s="335">
        <v>0</v>
      </c>
      <c r="I122" s="703">
        <f t="shared" ref="I122:I127" si="29">+H122/$H$243</f>
        <v>0</v>
      </c>
      <c r="J122" s="774">
        <f t="shared" ref="J122:J127" si="30">+F122-I122</f>
        <v>0</v>
      </c>
      <c r="L122" s="909">
        <f t="shared" ref="L122:L127" si="31">+C122*$L$12</f>
        <v>0</v>
      </c>
    </row>
    <row r="123" spans="1:12" ht="15.9" customHeight="1" outlineLevel="2">
      <c r="A123" s="3" t="s">
        <v>349</v>
      </c>
      <c r="B123" s="312" t="s">
        <v>350</v>
      </c>
      <c r="C123" s="335">
        <f>SUMIF(EGRESOS!$A$17:$A$252,A123,EGRESOS!$C$17:$C$252)</f>
        <v>500000</v>
      </c>
      <c r="D123" s="703">
        <f t="shared" si="26"/>
        <v>2.7911711038453665E-5</v>
      </c>
      <c r="E123" s="806">
        <v>450000</v>
      </c>
      <c r="F123" s="703">
        <f t="shared" si="27"/>
        <v>3.9903285123421693E-5</v>
      </c>
      <c r="G123" s="703">
        <f t="shared" si="28"/>
        <v>-1.1991574084968027E-5</v>
      </c>
      <c r="H123" s="335">
        <v>124288.72</v>
      </c>
      <c r="I123" s="703">
        <f t="shared" si="29"/>
        <v>1.2949241130336192E-5</v>
      </c>
      <c r="J123" s="774">
        <f t="shared" si="30"/>
        <v>2.6954043993085501E-5</v>
      </c>
      <c r="L123" s="909">
        <f t="shared" si="31"/>
        <v>450000</v>
      </c>
    </row>
    <row r="124" spans="1:12" ht="15.9" hidden="1" customHeight="1" outlineLevel="2">
      <c r="A124" s="3" t="s">
        <v>553</v>
      </c>
      <c r="B124" s="312" t="s">
        <v>554</v>
      </c>
      <c r="C124" s="335">
        <f>SUMIF(EGRESOS!$A$17:$A$252,A124,EGRESOS!$C$17:$C$252)</f>
        <v>0</v>
      </c>
      <c r="D124" s="703">
        <f t="shared" si="26"/>
        <v>0</v>
      </c>
      <c r="E124" s="806">
        <v>0</v>
      </c>
      <c r="F124" s="703">
        <f t="shared" si="27"/>
        <v>0</v>
      </c>
      <c r="G124" s="703">
        <f t="shared" si="28"/>
        <v>0</v>
      </c>
      <c r="H124" s="335">
        <v>0</v>
      </c>
      <c r="I124" s="703">
        <f t="shared" si="29"/>
        <v>0</v>
      </c>
      <c r="J124" s="774">
        <f t="shared" si="30"/>
        <v>0</v>
      </c>
      <c r="L124" s="909">
        <f t="shared" si="31"/>
        <v>0</v>
      </c>
    </row>
    <row r="125" spans="1:12" ht="15.9" hidden="1" customHeight="1" outlineLevel="2">
      <c r="A125" s="3" t="s">
        <v>555</v>
      </c>
      <c r="B125" s="312" t="s">
        <v>556</v>
      </c>
      <c r="C125" s="335">
        <f>SUMIF(EGRESOS!$A$17:$A$252,A125,EGRESOS!$C$17:$C$252)</f>
        <v>0</v>
      </c>
      <c r="D125" s="703">
        <f t="shared" si="26"/>
        <v>0</v>
      </c>
      <c r="E125" s="806">
        <v>0</v>
      </c>
      <c r="F125" s="703">
        <f t="shared" si="27"/>
        <v>0</v>
      </c>
      <c r="G125" s="703">
        <f t="shared" si="28"/>
        <v>0</v>
      </c>
      <c r="H125" s="335">
        <v>0</v>
      </c>
      <c r="I125" s="703">
        <f t="shared" si="29"/>
        <v>0</v>
      </c>
      <c r="J125" s="774">
        <f t="shared" si="30"/>
        <v>0</v>
      </c>
      <c r="L125" s="909">
        <f t="shared" si="31"/>
        <v>0</v>
      </c>
    </row>
    <row r="126" spans="1:12" ht="15.9" customHeight="1" outlineLevel="2">
      <c r="A126" s="3" t="s">
        <v>160</v>
      </c>
      <c r="B126" s="312" t="s">
        <v>161</v>
      </c>
      <c r="C126" s="335">
        <f>SUMIF(EGRESOS!$A$17:$A$252,A126,EGRESOS!$C$17:$C$252)</f>
        <v>3600000</v>
      </c>
      <c r="D126" s="703">
        <f t="shared" si="26"/>
        <v>2.0096431947686638E-4</v>
      </c>
      <c r="E126" s="806">
        <v>3240000</v>
      </c>
      <c r="F126" s="703">
        <f t="shared" si="27"/>
        <v>2.8730365288863615E-4</v>
      </c>
      <c r="G126" s="703">
        <f t="shared" si="28"/>
        <v>-8.6339333411769765E-5</v>
      </c>
      <c r="H126" s="335">
        <v>3000000</v>
      </c>
      <c r="I126" s="703">
        <f t="shared" si="29"/>
        <v>3.1256033042265281E-4</v>
      </c>
      <c r="J126" s="774">
        <f t="shared" si="30"/>
        <v>-2.525667753401666E-5</v>
      </c>
      <c r="L126" s="909">
        <f t="shared" si="31"/>
        <v>3240000</v>
      </c>
    </row>
    <row r="127" spans="1:12" ht="15.9" customHeight="1" outlineLevel="2">
      <c r="A127" s="3" t="s">
        <v>162</v>
      </c>
      <c r="B127" s="312" t="s">
        <v>557</v>
      </c>
      <c r="C127" s="335">
        <f>SUMIF(EGRESOS!$A$17:$A$252,A127,EGRESOS!$C$17:$C$252)</f>
        <v>290000</v>
      </c>
      <c r="D127" s="703">
        <f t="shared" si="26"/>
        <v>1.6188792402303128E-5</v>
      </c>
      <c r="E127" s="806">
        <v>135000</v>
      </c>
      <c r="F127" s="703">
        <f t="shared" si="27"/>
        <v>1.1970985537026507E-5</v>
      </c>
      <c r="G127" s="703">
        <f t="shared" si="28"/>
        <v>4.217806865276621E-6</v>
      </c>
      <c r="H127" s="335">
        <v>157401.4</v>
      </c>
      <c r="I127" s="703">
        <f t="shared" si="29"/>
        <v>1.6399144530996048E-5</v>
      </c>
      <c r="J127" s="774">
        <f t="shared" si="30"/>
        <v>-4.428158993969541E-6</v>
      </c>
      <c r="L127" s="909">
        <f t="shared" si="31"/>
        <v>261000</v>
      </c>
    </row>
    <row r="128" spans="1:12" ht="7.95" customHeight="1" outlineLevel="1" thickBot="1">
      <c r="B128" s="1148"/>
      <c r="C128" s="1149"/>
      <c r="D128" s="705"/>
      <c r="E128" s="1150"/>
      <c r="F128" s="705"/>
      <c r="G128" s="1151"/>
      <c r="H128" s="1150"/>
      <c r="I128" s="1151"/>
      <c r="J128" s="821"/>
    </row>
    <row r="129" spans="1:12" ht="15.9" customHeight="1">
      <c r="B129" s="1144" t="s">
        <v>21</v>
      </c>
      <c r="C129" s="1145">
        <f>+C131+C143+C139+C153+C158</f>
        <v>287559424</v>
      </c>
      <c r="D129" s="1146">
        <f>+C129/$C$243</f>
        <v>1.6052551098144355E-2</v>
      </c>
      <c r="E129" s="1145">
        <f>+E131+E143+E139+E153+E158</f>
        <v>171529165.62</v>
      </c>
      <c r="F129" s="1141">
        <f>+E129/$E$243</f>
        <v>1.5210171561594403E-2</v>
      </c>
      <c r="G129" s="1146">
        <f>+D129-F129</f>
        <v>8.4237953654995278E-4</v>
      </c>
      <c r="H129" s="1145">
        <f>+H131+H143+H139+H153+H158</f>
        <v>139561927.03</v>
      </c>
      <c r="I129" s="1146">
        <f>+H129/$H$243</f>
        <v>1.454050734230632E-2</v>
      </c>
      <c r="J129" s="1147">
        <f>+F129-I129</f>
        <v>6.6966421928808285E-4</v>
      </c>
      <c r="K129" s="73"/>
    </row>
    <row r="130" spans="1:12" ht="7.95" customHeight="1" outlineLevel="1">
      <c r="B130" s="312"/>
      <c r="C130" s="806"/>
      <c r="D130" s="703"/>
      <c r="E130" s="806"/>
      <c r="F130" s="703"/>
      <c r="G130" s="803"/>
      <c r="H130" s="806"/>
      <c r="I130" s="803"/>
      <c r="J130" s="774"/>
    </row>
    <row r="131" spans="1:12" s="982" customFormat="1" ht="15.9" customHeight="1" outlineLevel="1">
      <c r="B131" s="337" t="s">
        <v>165</v>
      </c>
      <c r="C131" s="338">
        <f>SUM(C133:C137)</f>
        <v>209591444</v>
      </c>
      <c r="D131" s="702">
        <f>+C131/$C$243</f>
        <v>1.1700111642120486E-2</v>
      </c>
      <c r="E131" s="338">
        <f>SUM(E133:E137)</f>
        <v>121205898.72</v>
      </c>
      <c r="F131" s="801">
        <f>+E131/$E$243</f>
        <v>1.0747807856143848E-2</v>
      </c>
      <c r="G131" s="702">
        <f>+D131-F131</f>
        <v>9.5230378597663777E-4</v>
      </c>
      <c r="H131" s="338">
        <f>SUM(H133:H137)</f>
        <v>105657768.84</v>
      </c>
      <c r="I131" s="702">
        <f>+H131/$H$243</f>
        <v>1.100814238011689E-2</v>
      </c>
      <c r="J131" s="83">
        <f>+F131-I131</f>
        <v>-2.6033452397304126E-4</v>
      </c>
    </row>
    <row r="132" spans="1:12" ht="9.9" customHeight="1" outlineLevel="1">
      <c r="B132" s="312"/>
      <c r="C132" s="806"/>
      <c r="D132" s="703"/>
      <c r="E132" s="806"/>
      <c r="F132" s="703"/>
      <c r="G132" s="803"/>
      <c r="H132" s="806"/>
      <c r="I132" s="803"/>
      <c r="J132" s="774"/>
    </row>
    <row r="133" spans="1:12" ht="15.9" customHeight="1" outlineLevel="1">
      <c r="A133" s="3" t="s">
        <v>166</v>
      </c>
      <c r="B133" s="312" t="s">
        <v>558</v>
      </c>
      <c r="C133" s="335">
        <f>SUMIF(EGRESOS!$A$17:$A$252,A133,EGRESOS!$C$17:$C$252)</f>
        <v>193957414</v>
      </c>
      <c r="D133" s="703">
        <f>+C133/$C$243</f>
        <v>1.0827366586667456E-2</v>
      </c>
      <c r="E133" s="335">
        <v>111150738.72</v>
      </c>
      <c r="F133" s="703">
        <f>+E133/$E$243</f>
        <v>9.856176930718016E-3</v>
      </c>
      <c r="G133" s="703">
        <f>+D133-F133</f>
        <v>9.7118965594943964E-4</v>
      </c>
      <c r="H133" s="335">
        <v>96551414.959999993</v>
      </c>
      <c r="I133" s="703">
        <f>+H133/$H$243</f>
        <v>1.0059380720890753E-2</v>
      </c>
      <c r="J133" s="774">
        <f>+F133-I133</f>
        <v>-2.0320379017273703E-4</v>
      </c>
      <c r="L133" s="909">
        <f>+C133*$L$12</f>
        <v>174561672.59999999</v>
      </c>
    </row>
    <row r="134" spans="1:12" ht="15.9" customHeight="1" outlineLevel="1">
      <c r="A134" s="3" t="s">
        <v>168</v>
      </c>
      <c r="B134" s="312" t="s">
        <v>559</v>
      </c>
      <c r="C134" s="335">
        <f>SUMIF(EGRESOS!$A$17:$A$252,A134,EGRESOS!$C$17:$C$252)</f>
        <v>10333930</v>
      </c>
      <c r="D134" s="703">
        <f>+C134/$C$243</f>
        <v>5.7687533610321494E-4</v>
      </c>
      <c r="E134" s="335">
        <v>4102560</v>
      </c>
      <c r="F134" s="703">
        <f>+E134/$E$243</f>
        <v>3.6379026981321085E-4</v>
      </c>
      <c r="G134" s="703">
        <f>+D134-F134</f>
        <v>2.130850662900041E-4</v>
      </c>
      <c r="H134" s="335">
        <v>5503356.0099999998</v>
      </c>
      <c r="I134" s="703">
        <f>+H134/$H$243</f>
        <v>5.7337692430636399E-4</v>
      </c>
      <c r="J134" s="774">
        <f>+F134-I134</f>
        <v>-2.0958665449315314E-4</v>
      </c>
      <c r="L134" s="909">
        <f>+C134*$L$12</f>
        <v>9300537</v>
      </c>
    </row>
    <row r="135" spans="1:12" ht="15.9" hidden="1" customHeight="1" outlineLevel="1">
      <c r="A135" s="3" t="s">
        <v>560</v>
      </c>
      <c r="B135" s="312" t="s">
        <v>561</v>
      </c>
      <c r="C135" s="335">
        <f>SUMIF(EGRESOS!$A$17:$A$252,A135,EGRESOS!$C$17:$C$252)</f>
        <v>0</v>
      </c>
      <c r="D135" s="703">
        <f>+C135/$C$243</f>
        <v>0</v>
      </c>
      <c r="E135" s="335">
        <v>0</v>
      </c>
      <c r="F135" s="703">
        <f>+E135/$E$243</f>
        <v>0</v>
      </c>
      <c r="G135" s="703">
        <f>+D135-F135</f>
        <v>0</v>
      </c>
      <c r="H135" s="335">
        <v>0</v>
      </c>
      <c r="I135" s="703">
        <f>+H135/$H$243</f>
        <v>0</v>
      </c>
      <c r="J135" s="774">
        <f>+F135-I135</f>
        <v>0</v>
      </c>
      <c r="L135" s="909">
        <f>+C135*$L$12</f>
        <v>0</v>
      </c>
    </row>
    <row r="136" spans="1:12" ht="15.9" customHeight="1" outlineLevel="1">
      <c r="A136" s="3" t="s">
        <v>170</v>
      </c>
      <c r="B136" s="312" t="s">
        <v>562</v>
      </c>
      <c r="C136" s="335">
        <f>SUMIF(EGRESOS!$A$17:$A$252,A136,EGRESOS!$C$17:$C$252)</f>
        <v>5300100</v>
      </c>
      <c r="D136" s="703">
        <f>+C136/$C$243</f>
        <v>2.9586971934981657E-4</v>
      </c>
      <c r="E136" s="335">
        <v>5952600</v>
      </c>
      <c r="F136" s="703">
        <f>+E136/$E$243</f>
        <v>5.2784065561262215E-4</v>
      </c>
      <c r="G136" s="703">
        <f>+D136-F136</f>
        <v>-2.3197093626280558E-4</v>
      </c>
      <c r="H136" s="335">
        <v>3602997.87</v>
      </c>
      <c r="I136" s="703">
        <f>+H136/$H$243</f>
        <v>3.7538473491977145E-4</v>
      </c>
      <c r="J136" s="774">
        <f>+F136-I136</f>
        <v>1.524559206928507E-4</v>
      </c>
      <c r="L136" s="909">
        <f>+C136*$L$12</f>
        <v>4770090</v>
      </c>
    </row>
    <row r="137" spans="1:12" ht="15.9" hidden="1" customHeight="1" outlineLevel="1">
      <c r="A137" s="3" t="s">
        <v>172</v>
      </c>
      <c r="B137" s="312" t="s">
        <v>563</v>
      </c>
      <c r="C137" s="335">
        <f>SUMIF(EGRESOS!$A$17:$A$252,A137,EGRESOS!$C$17:$C$252)</f>
        <v>0</v>
      </c>
      <c r="D137" s="703">
        <f>+C137/$C$243</f>
        <v>0</v>
      </c>
      <c r="E137" s="335">
        <v>0</v>
      </c>
      <c r="F137" s="703">
        <f>+E137/$E$243</f>
        <v>0</v>
      </c>
      <c r="G137" s="703">
        <f>+D137-F137</f>
        <v>0</v>
      </c>
      <c r="H137" s="335">
        <v>0</v>
      </c>
      <c r="I137" s="703">
        <f>+H137/$H$243</f>
        <v>0</v>
      </c>
      <c r="J137" s="774">
        <f>+F137-I137</f>
        <v>0</v>
      </c>
      <c r="L137" s="909">
        <f>+C137*$L$12</f>
        <v>0</v>
      </c>
    </row>
    <row r="138" spans="1:12" ht="7.95" customHeight="1" outlineLevel="1">
      <c r="B138" s="312"/>
      <c r="C138" s="806"/>
      <c r="D138" s="703"/>
      <c r="E138" s="806"/>
      <c r="F138" s="703"/>
      <c r="G138" s="703"/>
      <c r="H138" s="806"/>
      <c r="I138" s="703"/>
      <c r="J138" s="774"/>
    </row>
    <row r="139" spans="1:12" s="982" customFormat="1" ht="15.9" hidden="1" customHeight="1" outlineLevel="1">
      <c r="B139" s="337" t="s">
        <v>299</v>
      </c>
      <c r="C139" s="338">
        <f>SUM(C141)</f>
        <v>0</v>
      </c>
      <c r="D139" s="702">
        <f>+C139/$C$243</f>
        <v>0</v>
      </c>
      <c r="E139" s="338">
        <f>SUM(E141)</f>
        <v>0</v>
      </c>
      <c r="F139" s="801">
        <f>+E139/$E$243</f>
        <v>0</v>
      </c>
      <c r="G139" s="702">
        <f>+D139-F139</f>
        <v>0</v>
      </c>
      <c r="H139" s="338">
        <f>SUM(H141)</f>
        <v>0</v>
      </c>
      <c r="I139" s="702">
        <f>+H139/$H$243</f>
        <v>0</v>
      </c>
      <c r="J139" s="83">
        <f>+F139-I139</f>
        <v>0</v>
      </c>
    </row>
    <row r="140" spans="1:12" ht="7.95" hidden="1" customHeight="1" outlineLevel="1">
      <c r="B140" s="312"/>
      <c r="C140" s="806"/>
      <c r="D140" s="703"/>
      <c r="E140" s="806"/>
      <c r="F140" s="703"/>
      <c r="G140" s="703"/>
      <c r="H140" s="806"/>
      <c r="I140" s="703"/>
      <c r="J140" s="774"/>
    </row>
    <row r="141" spans="1:12" ht="15.9" hidden="1" customHeight="1" outlineLevel="1">
      <c r="B141" s="312" t="s">
        <v>310</v>
      </c>
      <c r="C141" s="335">
        <f>SUMIF(EGRESOS!$A$17:$A$252,A141,EGRESOS!$C$17:$C$252)</f>
        <v>0</v>
      </c>
      <c r="D141" s="703">
        <f>+C141/$C$243</f>
        <v>0</v>
      </c>
      <c r="E141" s="335">
        <v>0</v>
      </c>
      <c r="F141" s="703">
        <f>+E141/$E$243</f>
        <v>0</v>
      </c>
      <c r="G141" s="703">
        <f>+D141-F141</f>
        <v>0</v>
      </c>
      <c r="H141" s="335">
        <v>0</v>
      </c>
      <c r="I141" s="703">
        <f>+H141/$H$243</f>
        <v>0</v>
      </c>
      <c r="J141" s="774">
        <f>+F141-I141</f>
        <v>0</v>
      </c>
      <c r="L141" s="909">
        <f>+C141*$L$12</f>
        <v>0</v>
      </c>
    </row>
    <row r="142" spans="1:12" ht="7.95" hidden="1" customHeight="1" outlineLevel="1">
      <c r="B142" s="339"/>
      <c r="C142" s="811"/>
      <c r="D142" s="704"/>
      <c r="E142" s="811"/>
      <c r="F142" s="704"/>
      <c r="G142" s="704"/>
      <c r="H142" s="811"/>
      <c r="I142" s="704"/>
      <c r="J142" s="812"/>
    </row>
    <row r="143" spans="1:12" s="982" customFormat="1" ht="15.9" customHeight="1" outlineLevel="1">
      <c r="B143" s="306" t="s">
        <v>570</v>
      </c>
      <c r="C143" s="338">
        <f>SUM(C145:C151)</f>
        <v>3830320</v>
      </c>
      <c r="D143" s="702">
        <f>+C143/$C$243</f>
        <v>2.138215700496197E-4</v>
      </c>
      <c r="E143" s="338">
        <f>SUM(E145:E151)</f>
        <v>7974000</v>
      </c>
      <c r="F143" s="801">
        <f>+E143/$E$243</f>
        <v>7.0708621238703233E-4</v>
      </c>
      <c r="G143" s="702">
        <f>+D143-F143</f>
        <v>-4.9326464233741263E-4</v>
      </c>
      <c r="H143" s="338">
        <f>SUM(H145:H151)</f>
        <v>4284740.28</v>
      </c>
      <c r="I143" s="702">
        <f>+H143/$H$243</f>
        <v>4.4641327923068333E-4</v>
      </c>
      <c r="J143" s="83">
        <f>+F143-I143</f>
        <v>2.60672933156349E-4</v>
      </c>
    </row>
    <row r="144" spans="1:12" ht="9.9" customHeight="1" outlineLevel="1">
      <c r="B144" s="312"/>
      <c r="C144" s="806"/>
      <c r="D144" s="703"/>
      <c r="E144" s="806"/>
      <c r="F144" s="703"/>
      <c r="G144" s="803"/>
      <c r="H144" s="806"/>
      <c r="I144" s="803"/>
      <c r="J144" s="774"/>
    </row>
    <row r="145" spans="1:12" hidden="1" outlineLevel="1">
      <c r="A145" s="3" t="s">
        <v>174</v>
      </c>
      <c r="B145" s="312" t="s">
        <v>571</v>
      </c>
      <c r="C145" s="335">
        <f>SUMIF(EGRESOS!$A$17:$A$252,A145,EGRESOS!$C$17:$C$252)</f>
        <v>0</v>
      </c>
      <c r="D145" s="703">
        <f>+C145/$C$243</f>
        <v>0</v>
      </c>
      <c r="E145" s="335">
        <v>0</v>
      </c>
      <c r="F145" s="703">
        <f>+E145/$E$243</f>
        <v>0</v>
      </c>
      <c r="G145" s="703">
        <f t="shared" ref="G145:G151" si="32">+D145-F145</f>
        <v>0</v>
      </c>
      <c r="H145" s="335">
        <v>0</v>
      </c>
      <c r="I145" s="703">
        <f>+H145/$H$243</f>
        <v>0</v>
      </c>
      <c r="J145" s="774">
        <f t="shared" ref="J145:J151" si="33">+F145-I145</f>
        <v>0</v>
      </c>
      <c r="L145" s="909">
        <f t="shared" ref="L145:L151" si="34">+C145*$L$12</f>
        <v>0</v>
      </c>
    </row>
    <row r="146" spans="1:12" hidden="1" outlineLevel="1">
      <c r="A146" s="3" t="s">
        <v>572</v>
      </c>
      <c r="B146" s="312" t="s">
        <v>573</v>
      </c>
      <c r="C146" s="335">
        <f>SUMIF(EGRESOS!$A$17:$A$252,A146,EGRESOS!$C$17:$C$252)</f>
        <v>0</v>
      </c>
      <c r="D146" s="703">
        <f t="shared" ref="D146:D151" si="35">+C146/$C$243</f>
        <v>0</v>
      </c>
      <c r="E146" s="335">
        <v>0</v>
      </c>
      <c r="F146" s="703">
        <f t="shared" ref="F146:F151" si="36">+E146/$E$243</f>
        <v>0</v>
      </c>
      <c r="G146" s="703">
        <f t="shared" si="32"/>
        <v>0</v>
      </c>
      <c r="H146" s="335">
        <v>0</v>
      </c>
      <c r="I146" s="703">
        <f t="shared" ref="I146:I151" si="37">+H146/$H$243</f>
        <v>0</v>
      </c>
      <c r="J146" s="774">
        <f t="shared" si="33"/>
        <v>0</v>
      </c>
      <c r="L146" s="909">
        <f t="shared" si="34"/>
        <v>0</v>
      </c>
    </row>
    <row r="147" spans="1:12" hidden="1" outlineLevel="1">
      <c r="A147" s="3" t="s">
        <v>176</v>
      </c>
      <c r="B147" s="312" t="s">
        <v>177</v>
      </c>
      <c r="C147" s="335">
        <f>SUMIF(EGRESOS!$A$17:$A$252,A147,EGRESOS!$C$17:$C$252)</f>
        <v>0</v>
      </c>
      <c r="D147" s="703">
        <f t="shared" si="35"/>
        <v>0</v>
      </c>
      <c r="E147" s="335">
        <v>0</v>
      </c>
      <c r="F147" s="703">
        <f t="shared" si="36"/>
        <v>0</v>
      </c>
      <c r="G147" s="703">
        <f t="shared" si="32"/>
        <v>0</v>
      </c>
      <c r="H147" s="335">
        <v>0</v>
      </c>
      <c r="I147" s="703">
        <f t="shared" si="37"/>
        <v>0</v>
      </c>
      <c r="J147" s="774">
        <f t="shared" si="33"/>
        <v>0</v>
      </c>
      <c r="L147" s="909">
        <f t="shared" si="34"/>
        <v>0</v>
      </c>
    </row>
    <row r="148" spans="1:12" outlineLevel="1">
      <c r="A148" s="3" t="s">
        <v>178</v>
      </c>
      <c r="B148" s="312" t="s">
        <v>574</v>
      </c>
      <c r="C148" s="335">
        <f>SUMIF(EGRESOS!$A$17:$A$252,A148,EGRESOS!$C$17:$C$252)</f>
        <v>3830320</v>
      </c>
      <c r="D148" s="703">
        <f t="shared" si="35"/>
        <v>2.138215700496197E-4</v>
      </c>
      <c r="E148" s="335">
        <v>7974000</v>
      </c>
      <c r="F148" s="703">
        <f t="shared" si="36"/>
        <v>7.0708621238703233E-4</v>
      </c>
      <c r="G148" s="703">
        <f t="shared" si="32"/>
        <v>-4.9326464233741263E-4</v>
      </c>
      <c r="H148" s="335">
        <v>4035010.2800000003</v>
      </c>
      <c r="I148" s="703">
        <f t="shared" si="37"/>
        <v>4.2039471545853366E-4</v>
      </c>
      <c r="J148" s="774">
        <f t="shared" si="33"/>
        <v>2.8669149692849867E-4</v>
      </c>
      <c r="L148" s="909">
        <f t="shared" si="34"/>
        <v>3447288</v>
      </c>
    </row>
    <row r="149" spans="1:12" hidden="1" outlineLevel="1">
      <c r="A149" s="3" t="s">
        <v>180</v>
      </c>
      <c r="B149" s="312" t="s">
        <v>575</v>
      </c>
      <c r="C149" s="335">
        <f>SUMIF(EGRESOS!$A$17:$A$252,A149,EGRESOS!$C$17:$C$252)</f>
        <v>0</v>
      </c>
      <c r="D149" s="703">
        <f t="shared" si="35"/>
        <v>0</v>
      </c>
      <c r="E149" s="335">
        <v>0</v>
      </c>
      <c r="F149" s="703">
        <f t="shared" si="36"/>
        <v>0</v>
      </c>
      <c r="G149" s="703">
        <f t="shared" si="32"/>
        <v>0</v>
      </c>
      <c r="H149" s="335">
        <v>0</v>
      </c>
      <c r="I149" s="703">
        <f t="shared" si="37"/>
        <v>0</v>
      </c>
      <c r="J149" s="774">
        <f t="shared" si="33"/>
        <v>0</v>
      </c>
      <c r="L149" s="909">
        <f t="shared" si="34"/>
        <v>0</v>
      </c>
    </row>
    <row r="150" spans="1:12" hidden="1" outlineLevel="1">
      <c r="A150" s="3" t="s">
        <v>182</v>
      </c>
      <c r="B150" s="312" t="s">
        <v>576</v>
      </c>
      <c r="C150" s="335">
        <f>SUMIF(EGRESOS!$A$17:$A$252,A150,EGRESOS!$C$17:$C$252)</f>
        <v>0</v>
      </c>
      <c r="D150" s="703">
        <f t="shared" si="35"/>
        <v>0</v>
      </c>
      <c r="E150" s="335">
        <v>0</v>
      </c>
      <c r="F150" s="703">
        <f t="shared" si="36"/>
        <v>0</v>
      </c>
      <c r="G150" s="703">
        <f t="shared" si="32"/>
        <v>0</v>
      </c>
      <c r="H150" s="335">
        <v>249730</v>
      </c>
      <c r="I150" s="703">
        <f t="shared" si="37"/>
        <v>2.6018563772149696E-5</v>
      </c>
      <c r="J150" s="774">
        <f t="shared" si="33"/>
        <v>-2.6018563772149696E-5</v>
      </c>
      <c r="L150" s="909">
        <f t="shared" si="34"/>
        <v>0</v>
      </c>
    </row>
    <row r="151" spans="1:12" hidden="1" outlineLevel="1">
      <c r="A151" s="3" t="s">
        <v>184</v>
      </c>
      <c r="B151" s="312" t="s">
        <v>577</v>
      </c>
      <c r="C151" s="335">
        <f>SUMIF(EGRESOS!$A$17:$A$252,A151,EGRESOS!$C$17:$C$252)</f>
        <v>0</v>
      </c>
      <c r="D151" s="703">
        <f t="shared" si="35"/>
        <v>0</v>
      </c>
      <c r="E151" s="335">
        <v>0</v>
      </c>
      <c r="F151" s="703">
        <f t="shared" si="36"/>
        <v>0</v>
      </c>
      <c r="G151" s="703">
        <f t="shared" si="32"/>
        <v>0</v>
      </c>
      <c r="H151" s="335">
        <v>0</v>
      </c>
      <c r="I151" s="703">
        <f t="shared" si="37"/>
        <v>0</v>
      </c>
      <c r="J151" s="774">
        <f t="shared" si="33"/>
        <v>0</v>
      </c>
      <c r="L151" s="909">
        <f t="shared" si="34"/>
        <v>0</v>
      </c>
    </row>
    <row r="152" spans="1:12" ht="9.9" customHeight="1" outlineLevel="1">
      <c r="B152" s="312"/>
      <c r="C152" s="806"/>
      <c r="D152" s="703"/>
      <c r="E152" s="806"/>
      <c r="F152" s="703"/>
      <c r="G152" s="803"/>
      <c r="H152" s="806"/>
      <c r="I152" s="803"/>
      <c r="J152" s="774"/>
    </row>
    <row r="153" spans="1:12" s="982" customFormat="1" ht="15.9" customHeight="1" outlineLevel="1">
      <c r="B153" s="306" t="s">
        <v>186</v>
      </c>
      <c r="C153" s="338">
        <f>SUM(C155:C156)</f>
        <v>19949275</v>
      </c>
      <c r="D153" s="702">
        <f>+C153/$C$243</f>
        <v>1.1136367984532955E-3</v>
      </c>
      <c r="E153" s="338">
        <f>SUM(E155:E156)</f>
        <v>16924050</v>
      </c>
      <c r="F153" s="801">
        <f>+E153/$E$243</f>
        <v>1.5007226502067664E-3</v>
      </c>
      <c r="G153" s="702">
        <f>+D153-F153</f>
        <v>-3.8708585175347083E-4</v>
      </c>
      <c r="H153" s="338">
        <f>SUM(H155:H156)</f>
        <v>9262291.4900000002</v>
      </c>
      <c r="I153" s="702">
        <f>+H153/$H$243</f>
        <v>9.6500829619510843E-4</v>
      </c>
      <c r="J153" s="83">
        <f>+F153-I153</f>
        <v>5.3571435401165795E-4</v>
      </c>
    </row>
    <row r="154" spans="1:12" ht="7.95" customHeight="1" outlineLevel="1">
      <c r="B154" s="312"/>
      <c r="C154" s="806"/>
      <c r="D154" s="703"/>
      <c r="E154" s="806"/>
      <c r="F154" s="703"/>
      <c r="G154" s="803"/>
      <c r="H154" s="806"/>
      <c r="I154" s="803"/>
      <c r="J154" s="774"/>
    </row>
    <row r="155" spans="1:12" ht="15.9" hidden="1" customHeight="1" outlineLevel="1">
      <c r="A155" s="3" t="s">
        <v>187</v>
      </c>
      <c r="B155" s="312" t="s">
        <v>578</v>
      </c>
      <c r="C155" s="335">
        <f>SUMIF(EGRESOS!$A$17:$A$252,A155,EGRESOS!$C$17:$C$252)</f>
        <v>0</v>
      </c>
      <c r="D155" s="703">
        <f>+C155/$C$243</f>
        <v>0</v>
      </c>
      <c r="E155" s="335">
        <v>0</v>
      </c>
      <c r="F155" s="703">
        <f>+E155/$E$243</f>
        <v>0</v>
      </c>
      <c r="G155" s="703">
        <f>+D155-F155</f>
        <v>0</v>
      </c>
      <c r="H155" s="335">
        <v>0</v>
      </c>
      <c r="I155" s="703">
        <f>+H155/$H$243</f>
        <v>0</v>
      </c>
      <c r="J155" s="774">
        <f>+F155-I155</f>
        <v>0</v>
      </c>
      <c r="L155" s="909">
        <f>+C155*$L$12</f>
        <v>0</v>
      </c>
    </row>
    <row r="156" spans="1:12" ht="15.9" customHeight="1" outlineLevel="1">
      <c r="A156" s="3" t="s">
        <v>189</v>
      </c>
      <c r="B156" s="312" t="s">
        <v>579</v>
      </c>
      <c r="C156" s="335">
        <f>SUMIF(EGRESOS!$A$17:$A$252,A156,EGRESOS!$C$17:$C$252)</f>
        <v>19949275</v>
      </c>
      <c r="D156" s="703">
        <f>+C156/$C$243</f>
        <v>1.1136367984532955E-3</v>
      </c>
      <c r="E156" s="335">
        <v>16924050</v>
      </c>
      <c r="F156" s="703">
        <f>+E156/$E$243</f>
        <v>1.5007226502067664E-3</v>
      </c>
      <c r="G156" s="703">
        <f>+D156-F156</f>
        <v>-3.8708585175347083E-4</v>
      </c>
      <c r="H156" s="335">
        <v>9262291.4900000002</v>
      </c>
      <c r="I156" s="703">
        <f>+H156/$H$243</f>
        <v>9.6500829619510843E-4</v>
      </c>
      <c r="J156" s="774">
        <f>+F156-I156</f>
        <v>5.3571435401165795E-4</v>
      </c>
      <c r="L156" s="909">
        <f>+C156*$L$12</f>
        <v>17954347.5</v>
      </c>
    </row>
    <row r="157" spans="1:12" ht="7.95" customHeight="1" outlineLevel="1">
      <c r="B157" s="312"/>
      <c r="C157" s="806"/>
      <c r="D157" s="703"/>
      <c r="E157" s="806"/>
      <c r="F157" s="703"/>
      <c r="G157" s="803"/>
      <c r="H157" s="806"/>
      <c r="I157" s="803"/>
      <c r="J157" s="774"/>
    </row>
    <row r="158" spans="1:12" s="982" customFormat="1" ht="15.9" customHeight="1" outlineLevel="1">
      <c r="B158" s="337" t="s">
        <v>580</v>
      </c>
      <c r="C158" s="338">
        <f>SUM(C160:C167)</f>
        <v>54188385</v>
      </c>
      <c r="D158" s="702">
        <f>+C158/$C$243</f>
        <v>3.024981087520954E-3</v>
      </c>
      <c r="E158" s="338">
        <f>SUM(E160:E167)</f>
        <v>25425216.900000002</v>
      </c>
      <c r="F158" s="801">
        <f>+E158/$E$243</f>
        <v>2.2545548428567551E-3</v>
      </c>
      <c r="G158" s="702">
        <f>+D158-F158</f>
        <v>7.7042624466419889E-4</v>
      </c>
      <c r="H158" s="338">
        <f>SUM(H160:H167)</f>
        <v>20357126.420000002</v>
      </c>
      <c r="I158" s="702">
        <f>+H158/$H$243</f>
        <v>2.1209433867636386E-3</v>
      </c>
      <c r="J158" s="83">
        <f>+F158-I158</f>
        <v>1.3361145609311646E-4</v>
      </c>
    </row>
    <row r="159" spans="1:12" ht="9.9" customHeight="1" outlineLevel="1">
      <c r="B159" s="312"/>
      <c r="C159" s="806"/>
      <c r="D159" s="703"/>
      <c r="E159" s="806"/>
      <c r="F159" s="703"/>
      <c r="G159" s="803"/>
      <c r="H159" s="806"/>
      <c r="I159" s="803"/>
      <c r="J159" s="774"/>
    </row>
    <row r="160" spans="1:12" ht="15.9" customHeight="1" outlineLevel="1">
      <c r="A160" s="3" t="s">
        <v>192</v>
      </c>
      <c r="B160" s="312" t="s">
        <v>581</v>
      </c>
      <c r="C160" s="335">
        <f>SUMIF(EGRESOS!$A$17:$A$252,A160,EGRESOS!$C$17:$C$252)</f>
        <v>5906628</v>
      </c>
      <c r="D160" s="703">
        <f>+C160/$C$243</f>
        <v>3.2972818789527898E-4</v>
      </c>
      <c r="E160" s="335">
        <v>3569671.8000000003</v>
      </c>
      <c r="F160" s="703">
        <f>+E160/$E$243</f>
        <v>3.165369591831954E-4</v>
      </c>
      <c r="G160" s="703">
        <f t="shared" ref="G160:G167" si="38">+D160-F160</f>
        <v>1.3191228712083577E-5</v>
      </c>
      <c r="H160" s="335">
        <v>2299453.7400000002</v>
      </c>
      <c r="I160" s="703">
        <f>+H160/$H$243</f>
        <v>2.3957267358866828E-4</v>
      </c>
      <c r="J160" s="774">
        <f>+F160-I160</f>
        <v>7.6964285594527116E-5</v>
      </c>
      <c r="L160" s="909">
        <f t="shared" ref="L160:L167" si="39">+C160*$L$12</f>
        <v>5315965.2</v>
      </c>
    </row>
    <row r="161" spans="1:12" ht="15.9" customHeight="1" outlineLevel="1">
      <c r="A161" s="3" t="s">
        <v>194</v>
      </c>
      <c r="B161" s="312" t="s">
        <v>582</v>
      </c>
      <c r="C161" s="335">
        <f>SUMIF(EGRESOS!$A$17:$A$252,A161,EGRESOS!$C$17:$C$252)</f>
        <v>929800</v>
      </c>
      <c r="D161" s="703">
        <f t="shared" ref="D161:D167" si="40">+C161/$C$243</f>
        <v>5.1904617847108439E-5</v>
      </c>
      <c r="E161" s="335">
        <v>934425</v>
      </c>
      <c r="F161" s="703">
        <f t="shared" ref="F161:F167" si="41">+E161/$E$243</f>
        <v>8.2859171558785137E-5</v>
      </c>
      <c r="G161" s="703">
        <f t="shared" si="38"/>
        <v>-3.0954553711676698E-5</v>
      </c>
      <c r="H161" s="335">
        <v>0</v>
      </c>
      <c r="I161" s="703">
        <f t="shared" ref="I161:I167" si="42">+H161/$H$243</f>
        <v>0</v>
      </c>
      <c r="J161" s="774">
        <f t="shared" ref="J161:J167" si="43">+F161-I161</f>
        <v>8.2859171558785137E-5</v>
      </c>
      <c r="L161" s="909">
        <f t="shared" si="39"/>
        <v>836820</v>
      </c>
    </row>
    <row r="162" spans="1:12" ht="15.9" customHeight="1" outlineLevel="1">
      <c r="A162" s="3" t="s">
        <v>195</v>
      </c>
      <c r="B162" s="312" t="s">
        <v>583</v>
      </c>
      <c r="C162" s="335">
        <f>SUMIF(EGRESOS!$A$17:$A$252,A162,EGRESOS!$C$17:$C$252)</f>
        <v>5285058</v>
      </c>
      <c r="D162" s="703">
        <f t="shared" si="40"/>
        <v>2.9503002343493569E-4</v>
      </c>
      <c r="E162" s="335">
        <v>3291066</v>
      </c>
      <c r="F162" s="703">
        <f t="shared" si="41"/>
        <v>2.9183187768444204E-4</v>
      </c>
      <c r="G162" s="703">
        <f t="shared" si="38"/>
        <v>3.1981457504936433E-6</v>
      </c>
      <c r="H162" s="335">
        <v>1538776.23</v>
      </c>
      <c r="I162" s="703">
        <f t="shared" si="42"/>
        <v>1.6032013563177467E-4</v>
      </c>
      <c r="J162" s="774">
        <f t="shared" si="43"/>
        <v>1.3151174205266737E-4</v>
      </c>
      <c r="L162" s="909">
        <f t="shared" si="39"/>
        <v>4756552.2</v>
      </c>
    </row>
    <row r="163" spans="1:12" ht="15.9" customHeight="1" outlineLevel="1">
      <c r="A163" s="3" t="s">
        <v>197</v>
      </c>
      <c r="B163" s="312" t="s">
        <v>584</v>
      </c>
      <c r="C163" s="335">
        <f>SUMIF(EGRESOS!$A$17:$A$252,A163,EGRESOS!$C$17:$C$252)</f>
        <v>36140243</v>
      </c>
      <c r="D163" s="703">
        <f t="shared" si="40"/>
        <v>2.0174720389509958E-3</v>
      </c>
      <c r="E163" s="335">
        <v>13887298.800000001</v>
      </c>
      <c r="F163" s="703">
        <f t="shared" si="41"/>
        <v>1.2314418746901155E-3</v>
      </c>
      <c r="G163" s="703">
        <f t="shared" si="38"/>
        <v>7.8603016426088035E-4</v>
      </c>
      <c r="H163" s="335">
        <v>14070968.27</v>
      </c>
      <c r="I163" s="703">
        <f t="shared" si="42"/>
        <v>1.466008830612621E-3</v>
      </c>
      <c r="J163" s="774">
        <f t="shared" si="43"/>
        <v>-2.345669559225055E-4</v>
      </c>
      <c r="L163" s="909">
        <f t="shared" si="39"/>
        <v>32526218.699999999</v>
      </c>
    </row>
    <row r="164" spans="1:12" ht="15.9" customHeight="1" outlineLevel="1">
      <c r="A164" s="3" t="s">
        <v>199</v>
      </c>
      <c r="B164" s="312" t="s">
        <v>585</v>
      </c>
      <c r="C164" s="335">
        <f>SUMIF(EGRESOS!$A$17:$A$252,A164,EGRESOS!$C$17:$C$252)</f>
        <v>3699556</v>
      </c>
      <c r="D164" s="703">
        <f t="shared" si="40"/>
        <v>2.0652187608515498E-4</v>
      </c>
      <c r="E164" s="335">
        <v>2621355.3000000003</v>
      </c>
      <c r="F164" s="703">
        <f t="shared" si="41"/>
        <v>2.3244597321265024E-4</v>
      </c>
      <c r="G164" s="703">
        <f t="shared" si="38"/>
        <v>-2.592409712749526E-5</v>
      </c>
      <c r="H164" s="335">
        <v>1594344.26</v>
      </c>
      <c r="I164" s="703">
        <f t="shared" si="42"/>
        <v>1.6610958957101997E-4</v>
      </c>
      <c r="J164" s="774">
        <f t="shared" si="43"/>
        <v>6.6336383641630274E-5</v>
      </c>
      <c r="L164" s="909">
        <f t="shared" si="39"/>
        <v>3329600.4</v>
      </c>
    </row>
    <row r="165" spans="1:12" outlineLevel="1">
      <c r="A165" s="3" t="s">
        <v>201</v>
      </c>
      <c r="B165" s="312" t="s">
        <v>586</v>
      </c>
      <c r="C165" s="335">
        <f>SUMIF(EGRESOS!$A$17:$A$252,A165,EGRESOS!$C$17:$C$252)</f>
        <v>82000</v>
      </c>
      <c r="D165" s="703">
        <f t="shared" si="40"/>
        <v>4.5775206103064013E-6</v>
      </c>
      <c r="E165" s="335">
        <v>67050</v>
      </c>
      <c r="F165" s="703">
        <f t="shared" si="41"/>
        <v>5.945589483389832E-6</v>
      </c>
      <c r="G165" s="703">
        <f t="shared" si="38"/>
        <v>-1.3680688730834308E-6</v>
      </c>
      <c r="H165" s="335">
        <v>0</v>
      </c>
      <c r="I165" s="703">
        <f t="shared" si="42"/>
        <v>0</v>
      </c>
      <c r="J165" s="774">
        <f t="shared" si="43"/>
        <v>5.945589483389832E-6</v>
      </c>
      <c r="L165" s="909">
        <f t="shared" si="39"/>
        <v>73800</v>
      </c>
    </row>
    <row r="166" spans="1:12" hidden="1" outlineLevel="1">
      <c r="A166" s="3" t="s">
        <v>314</v>
      </c>
      <c r="B166" s="312" t="s">
        <v>351</v>
      </c>
      <c r="C166" s="335">
        <f>SUMIF(EGRESOS!$A$17:$A$252,A166,EGRESOS!$C$17:$C$252)</f>
        <v>0</v>
      </c>
      <c r="D166" s="703">
        <f t="shared" si="40"/>
        <v>0</v>
      </c>
      <c r="E166" s="335">
        <v>0</v>
      </c>
      <c r="F166" s="703">
        <f t="shared" si="41"/>
        <v>0</v>
      </c>
      <c r="G166" s="703">
        <f t="shared" si="38"/>
        <v>0</v>
      </c>
      <c r="H166" s="335">
        <v>0</v>
      </c>
      <c r="I166" s="703">
        <f t="shared" si="42"/>
        <v>0</v>
      </c>
      <c r="J166" s="774">
        <f t="shared" si="43"/>
        <v>0</v>
      </c>
      <c r="L166" s="909">
        <f t="shared" si="39"/>
        <v>0</v>
      </c>
    </row>
    <row r="167" spans="1:12" outlineLevel="1">
      <c r="A167" s="3" t="s">
        <v>203</v>
      </c>
      <c r="B167" s="312" t="s">
        <v>587</v>
      </c>
      <c r="C167" s="335">
        <f>SUMIF(EGRESOS!$A$17:$A$252,A167,EGRESOS!$C$17:$C$252)</f>
        <v>2145100</v>
      </c>
      <c r="D167" s="703">
        <f t="shared" si="40"/>
        <v>1.1974682269717392E-4</v>
      </c>
      <c r="E167" s="335">
        <v>1054350</v>
      </c>
      <c r="F167" s="703">
        <f t="shared" si="41"/>
        <v>9.3493397044177017E-5</v>
      </c>
      <c r="G167" s="703">
        <f t="shared" si="38"/>
        <v>2.6253425652996906E-5</v>
      </c>
      <c r="H167" s="335">
        <v>853583.91999999993</v>
      </c>
      <c r="I167" s="703">
        <f t="shared" si="42"/>
        <v>8.8932157359554405E-5</v>
      </c>
      <c r="J167" s="774">
        <f t="shared" si="43"/>
        <v>4.5612396846226124E-6</v>
      </c>
      <c r="L167" s="909">
        <f t="shared" si="39"/>
        <v>1930590</v>
      </c>
    </row>
    <row r="168" spans="1:12" ht="7.95" customHeight="1" outlineLevel="1">
      <c r="B168" s="312"/>
      <c r="C168" s="335"/>
      <c r="D168" s="703"/>
      <c r="E168" s="806"/>
      <c r="F168" s="703"/>
      <c r="G168" s="703"/>
      <c r="H168" s="806"/>
      <c r="I168" s="703"/>
      <c r="J168" s="774"/>
    </row>
    <row r="169" spans="1:12">
      <c r="B169" s="807" t="s">
        <v>646</v>
      </c>
      <c r="C169" s="808">
        <f>+C171</f>
        <v>2196631825.3100014</v>
      </c>
      <c r="D169" s="809">
        <f>+C169/$C$243</f>
        <v>0.12262350553184759</v>
      </c>
      <c r="E169" s="808">
        <f>+E171</f>
        <v>0</v>
      </c>
      <c r="F169" s="792">
        <f>+E169/$E$243</f>
        <v>0</v>
      </c>
      <c r="G169" s="809">
        <f>+D169-F169</f>
        <v>0.12262350553184759</v>
      </c>
      <c r="H169" s="808">
        <f>+H171</f>
        <v>0</v>
      </c>
      <c r="I169" s="809">
        <f>+H169/$H$243</f>
        <v>0</v>
      </c>
      <c r="J169" s="810">
        <f>+F169-I169</f>
        <v>0</v>
      </c>
    </row>
    <row r="170" spans="1:12" ht="7.95" customHeight="1" outlineLevel="1">
      <c r="B170" s="312"/>
      <c r="C170" s="335"/>
      <c r="D170" s="703"/>
      <c r="E170" s="806"/>
      <c r="F170" s="703"/>
      <c r="G170" s="703"/>
      <c r="H170" s="806"/>
      <c r="I170" s="703"/>
      <c r="J170" s="774"/>
    </row>
    <row r="171" spans="1:12" outlineLevel="1">
      <c r="B171" s="337" t="s">
        <v>778</v>
      </c>
      <c r="C171" s="338">
        <f>+C173</f>
        <v>2196631825.3100014</v>
      </c>
      <c r="D171" s="709">
        <f>+C171/$C$243</f>
        <v>0.12262350553184759</v>
      </c>
      <c r="E171" s="338">
        <f>+E173</f>
        <v>0</v>
      </c>
      <c r="F171" s="801">
        <f>+E171/$E$243</f>
        <v>0</v>
      </c>
      <c r="G171" s="702">
        <f>+D171-F171</f>
        <v>0.12262350553184759</v>
      </c>
      <c r="H171" s="338">
        <f>+H173</f>
        <v>0</v>
      </c>
      <c r="I171" s="709">
        <f>+H171/$H$243</f>
        <v>0</v>
      </c>
      <c r="J171" s="83">
        <f>+F171-I171</f>
        <v>0</v>
      </c>
      <c r="K171" s="23"/>
    </row>
    <row r="172" spans="1:12" ht="7.95" customHeight="1" outlineLevel="1">
      <c r="B172" s="312"/>
      <c r="C172" s="335"/>
      <c r="D172" s="703"/>
      <c r="E172" s="806"/>
      <c r="F172" s="703"/>
      <c r="G172" s="703"/>
      <c r="H172" s="806"/>
      <c r="I172" s="703"/>
      <c r="J172" s="774"/>
    </row>
    <row r="173" spans="1:12" ht="15.9" customHeight="1" outlineLevel="1">
      <c r="A173" s="3" t="s">
        <v>648</v>
      </c>
      <c r="B173" s="312" t="s">
        <v>649</v>
      </c>
      <c r="C173" s="335">
        <f>SUMIF(EGRESOS!$A$17:$A$252,A173,EGRESOS!$C$17:$C$252)</f>
        <v>2196631825.3100014</v>
      </c>
      <c r="D173" s="703">
        <f>+C173/$C$243</f>
        <v>0.12262350553184759</v>
      </c>
      <c r="E173" s="335">
        <v>0</v>
      </c>
      <c r="F173" s="703">
        <f>+E173/$E$243</f>
        <v>0</v>
      </c>
      <c r="G173" s="703">
        <f>+D173-F173</f>
        <v>0.12262350553184759</v>
      </c>
      <c r="H173" s="335">
        <v>0</v>
      </c>
      <c r="I173" s="703">
        <f>+H173/$H$243</f>
        <v>0</v>
      </c>
      <c r="J173" s="774">
        <f>+F173-I173</f>
        <v>0</v>
      </c>
      <c r="L173" s="909"/>
    </row>
    <row r="174" spans="1:12" ht="7.2" customHeight="1">
      <c r="B174" s="312"/>
      <c r="C174" s="335"/>
      <c r="D174" s="703"/>
      <c r="E174" s="335"/>
      <c r="F174" s="703"/>
      <c r="G174" s="803"/>
      <c r="H174" s="335"/>
      <c r="I174" s="803"/>
      <c r="J174" s="774"/>
    </row>
    <row r="175" spans="1:12">
      <c r="B175" s="807" t="s">
        <v>53</v>
      </c>
      <c r="C175" s="808">
        <f>+C177+C188+C193</f>
        <v>1299287233.96</v>
      </c>
      <c r="D175" s="809">
        <f>+C175/$C$243</f>
        <v>7.2530659660486524E-2</v>
      </c>
      <c r="E175" s="808">
        <f>+E177+E188+E193</f>
        <v>623196433.79999995</v>
      </c>
      <c r="F175" s="792">
        <f>+E175/$E$243</f>
        <v>5.5261299968491086E-2</v>
      </c>
      <c r="G175" s="809">
        <f>+D175-F175</f>
        <v>1.7269359691995438E-2</v>
      </c>
      <c r="H175" s="808">
        <f>+H177+H188+H193</f>
        <v>822509528.18999994</v>
      </c>
      <c r="I175" s="809">
        <f>+H175/$H$243</f>
        <v>8.5694616635615548E-2</v>
      </c>
      <c r="J175" s="810">
        <f>+F175-I175</f>
        <v>-3.0433316667124462E-2</v>
      </c>
      <c r="K175" s="23"/>
    </row>
    <row r="176" spans="1:12" ht="7.95" customHeight="1">
      <c r="B176" s="87"/>
      <c r="C176" s="806"/>
      <c r="D176" s="703"/>
      <c r="E176" s="806"/>
      <c r="F176" s="703"/>
      <c r="G176" s="803"/>
      <c r="H176" s="806"/>
      <c r="I176" s="803"/>
      <c r="J176" s="774"/>
    </row>
    <row r="177" spans="1:12" s="982" customFormat="1" outlineLevel="1">
      <c r="B177" s="337" t="s">
        <v>205</v>
      </c>
      <c r="C177" s="338">
        <f>SUM(C178:C186)</f>
        <v>782803280.90999997</v>
      </c>
      <c r="D177" s="702">
        <f>+C177/$C$243</f>
        <v>4.3698757953426787E-2</v>
      </c>
      <c r="E177" s="338">
        <f>SUM(E178:E186)</f>
        <v>241872717.59999999</v>
      </c>
      <c r="F177" s="801">
        <f>+E177/$E$243</f>
        <v>2.1447813364377011E-2</v>
      </c>
      <c r="G177" s="702">
        <f>+D177-F177</f>
        <v>2.2250944589049776E-2</v>
      </c>
      <c r="H177" s="338">
        <f>SUM(H178:H186)</f>
        <v>658799731.69999993</v>
      </c>
      <c r="I177" s="702">
        <f>+H177/$H$243</f>
        <v>6.8638220607502326E-2</v>
      </c>
      <c r="J177" s="83">
        <f>+F177-I177</f>
        <v>-4.7190407243125315E-2</v>
      </c>
      <c r="K177" s="983"/>
    </row>
    <row r="178" spans="1:12" ht="7.95" customHeight="1" outlineLevel="1">
      <c r="B178" s="87"/>
      <c r="C178" s="806"/>
      <c r="D178" s="703"/>
      <c r="E178" s="806"/>
      <c r="F178" s="703"/>
      <c r="G178" s="803"/>
      <c r="H178" s="806"/>
      <c r="I178" s="803"/>
      <c r="J178" s="774"/>
    </row>
    <row r="179" spans="1:12" ht="15.9" hidden="1" customHeight="1" outlineLevel="1">
      <c r="A179" s="3" t="s">
        <v>356</v>
      </c>
      <c r="B179" s="312" t="s">
        <v>634</v>
      </c>
      <c r="C179" s="335">
        <f>SUMIF(EGRESOS!$A$17:$A$252,A179,EGRESOS!$C$17:$C$252)</f>
        <v>0</v>
      </c>
      <c r="D179" s="703">
        <f>+C179/$C$243</f>
        <v>0</v>
      </c>
      <c r="E179" s="806">
        <v>0</v>
      </c>
      <c r="F179" s="703">
        <f>+E179/$E$243</f>
        <v>0</v>
      </c>
      <c r="G179" s="703">
        <f t="shared" ref="G179:G186" si="44">+D179-F179</f>
        <v>0</v>
      </c>
      <c r="H179" s="335">
        <v>0</v>
      </c>
      <c r="I179" s="703">
        <f>+H179/$H$243</f>
        <v>0</v>
      </c>
      <c r="J179" s="774">
        <f t="shared" ref="J179:J186" si="45">+F179-I179</f>
        <v>0</v>
      </c>
      <c r="L179" s="909">
        <f t="shared" ref="L179:L186" si="46">+C179*$L$12</f>
        <v>0</v>
      </c>
    </row>
    <row r="180" spans="1:12" ht="15.9" customHeight="1" outlineLevel="1">
      <c r="A180" s="3" t="s">
        <v>206</v>
      </c>
      <c r="B180" s="312" t="s">
        <v>635</v>
      </c>
      <c r="C180" s="335">
        <f>SUMIF(EGRESOS!$A$17:$A$252,A180,EGRESOS!$C$17:$C$252)</f>
        <v>300000000</v>
      </c>
      <c r="D180" s="703">
        <f t="shared" ref="D180:D186" si="47">+C180/$C$243</f>
        <v>1.67470266230722E-2</v>
      </c>
      <c r="E180" s="335">
        <v>146562717.59999999</v>
      </c>
      <c r="F180" s="703">
        <f t="shared" ref="F180:F186" si="48">+E180/$E$243</f>
        <v>1.2996297575236298E-2</v>
      </c>
      <c r="G180" s="703">
        <f t="shared" si="44"/>
        <v>3.7507290478359014E-3</v>
      </c>
      <c r="H180" s="335">
        <v>247187053</v>
      </c>
      <c r="I180" s="703">
        <f t="shared" ref="I180:I186" si="49">+H180/$H$243</f>
        <v>2.5753622320627265E-2</v>
      </c>
      <c r="J180" s="774">
        <f t="shared" si="45"/>
        <v>-1.2757324745390966E-2</v>
      </c>
      <c r="L180" s="909">
        <f t="shared" si="46"/>
        <v>270000000</v>
      </c>
    </row>
    <row r="181" spans="1:12" ht="15.9" customHeight="1" outlineLevel="1">
      <c r="A181" s="3" t="s">
        <v>208</v>
      </c>
      <c r="B181" s="312" t="s">
        <v>636</v>
      </c>
      <c r="C181" s="335">
        <f>SUMIF(EGRESOS!$A$17:$A$252,A181,EGRESOS!$C$17:$C$252)</f>
        <v>53303999.659999996</v>
      </c>
      <c r="D181" s="703">
        <f t="shared" si="47"/>
        <v>2.9756116714075046E-3</v>
      </c>
      <c r="E181" s="335">
        <v>3060000</v>
      </c>
      <c r="F181" s="703">
        <f t="shared" si="48"/>
        <v>2.7134233883926751E-4</v>
      </c>
      <c r="G181" s="703">
        <f t="shared" si="44"/>
        <v>2.7042693325682373E-3</v>
      </c>
      <c r="H181" s="335">
        <v>14373250.810000001</v>
      </c>
      <c r="I181" s="703">
        <f t="shared" si="49"/>
        <v>1.4975026741404207E-3</v>
      </c>
      <c r="J181" s="774">
        <f t="shared" si="45"/>
        <v>-1.2261603353011532E-3</v>
      </c>
      <c r="L181" s="909">
        <f t="shared" si="46"/>
        <v>47973599.693999998</v>
      </c>
    </row>
    <row r="182" spans="1:12" ht="15.9" customHeight="1" outlineLevel="1">
      <c r="A182" s="3" t="s">
        <v>210</v>
      </c>
      <c r="B182" s="312" t="s">
        <v>637</v>
      </c>
      <c r="C182" s="335">
        <f>SUMIF(EGRESOS!$A$17:$A$252,A182,EGRESOS!$C$17:$C$252)</f>
        <v>0</v>
      </c>
      <c r="D182" s="703">
        <f t="shared" si="47"/>
        <v>0</v>
      </c>
      <c r="E182" s="335">
        <v>0</v>
      </c>
      <c r="F182" s="703">
        <f t="shared" si="48"/>
        <v>0</v>
      </c>
      <c r="G182" s="703">
        <f t="shared" si="44"/>
        <v>0</v>
      </c>
      <c r="H182" s="335">
        <v>556503.21</v>
      </c>
      <c r="I182" s="703">
        <f t="shared" si="49"/>
        <v>5.7980275732955644E-5</v>
      </c>
      <c r="J182" s="774">
        <f t="shared" si="45"/>
        <v>-5.7980275732955644E-5</v>
      </c>
      <c r="L182" s="909">
        <f t="shared" si="46"/>
        <v>0</v>
      </c>
    </row>
    <row r="183" spans="1:12" ht="15.9" customHeight="1" outlineLevel="1">
      <c r="A183" s="3" t="s">
        <v>212</v>
      </c>
      <c r="B183" s="312" t="s">
        <v>638</v>
      </c>
      <c r="C183" s="335">
        <f>SUMIF(EGRESOS!$A$17:$A$252,A183,EGRESOS!$C$17:$C$252)</f>
        <v>429499281.25</v>
      </c>
      <c r="D183" s="703">
        <f t="shared" si="47"/>
        <v>2.3976119658947082E-2</v>
      </c>
      <c r="E183" s="335">
        <v>90000000</v>
      </c>
      <c r="F183" s="703">
        <f t="shared" si="48"/>
        <v>7.9806570246843383E-3</v>
      </c>
      <c r="G183" s="703">
        <f t="shared" si="44"/>
        <v>1.5995462634262742E-2</v>
      </c>
      <c r="H183" s="335">
        <v>396117924.67999995</v>
      </c>
      <c r="I183" s="703">
        <f t="shared" si="49"/>
        <v>4.1270249808105425E-2</v>
      </c>
      <c r="J183" s="774">
        <f t="shared" si="45"/>
        <v>-3.3289592783421085E-2</v>
      </c>
      <c r="L183" s="909">
        <f t="shared" si="46"/>
        <v>386549353.125</v>
      </c>
    </row>
    <row r="184" spans="1:12" ht="15.9" customHeight="1" outlineLevel="1">
      <c r="A184" s="3" t="s">
        <v>214</v>
      </c>
      <c r="B184" s="312" t="s">
        <v>639</v>
      </c>
      <c r="C184" s="335">
        <f>SUMIF(EGRESOS!$A$17:$A$252,A184,EGRESOS!$C$17:$C$252)</f>
        <v>0</v>
      </c>
      <c r="D184" s="703">
        <f t="shared" si="47"/>
        <v>0</v>
      </c>
      <c r="E184" s="335">
        <v>2250000</v>
      </c>
      <c r="F184" s="703">
        <f t="shared" si="48"/>
        <v>1.9951642561710846E-4</v>
      </c>
      <c r="G184" s="703">
        <f t="shared" si="44"/>
        <v>-1.9951642561710846E-4</v>
      </c>
      <c r="H184" s="335">
        <v>0</v>
      </c>
      <c r="I184" s="703">
        <f t="shared" si="49"/>
        <v>0</v>
      </c>
      <c r="J184" s="774">
        <f t="shared" si="45"/>
        <v>1.9951642561710846E-4</v>
      </c>
      <c r="L184" s="909">
        <f t="shared" si="46"/>
        <v>0</v>
      </c>
    </row>
    <row r="185" spans="1:12" ht="15.9" hidden="1" customHeight="1" outlineLevel="1">
      <c r="A185" s="3" t="s">
        <v>216</v>
      </c>
      <c r="B185" s="312" t="s">
        <v>640</v>
      </c>
      <c r="C185" s="335">
        <f>SUMIF(EGRESOS!$A$17:$A$252,A185,EGRESOS!$C$17:$C$252)</f>
        <v>0</v>
      </c>
      <c r="D185" s="703">
        <f t="shared" si="47"/>
        <v>0</v>
      </c>
      <c r="E185" s="335">
        <v>0</v>
      </c>
      <c r="F185" s="703">
        <f t="shared" si="48"/>
        <v>0</v>
      </c>
      <c r="G185" s="703">
        <f t="shared" si="44"/>
        <v>0</v>
      </c>
      <c r="H185" s="335">
        <v>0</v>
      </c>
      <c r="I185" s="703">
        <f t="shared" si="49"/>
        <v>0</v>
      </c>
      <c r="J185" s="774">
        <f t="shared" si="45"/>
        <v>0</v>
      </c>
      <c r="L185" s="909">
        <f t="shared" si="46"/>
        <v>0</v>
      </c>
    </row>
    <row r="186" spans="1:12" ht="15.9" customHeight="1" outlineLevel="1">
      <c r="A186" s="3" t="s">
        <v>218</v>
      </c>
      <c r="B186" s="312" t="s">
        <v>641</v>
      </c>
      <c r="C186" s="335">
        <f>SUMIF(EGRESOS!$A$17:$A$252,A186,EGRESOS!$C$17:$C$252)</f>
        <v>0</v>
      </c>
      <c r="D186" s="703">
        <f t="shared" si="47"/>
        <v>0</v>
      </c>
      <c r="E186" s="335">
        <v>0</v>
      </c>
      <c r="F186" s="703">
        <f t="shared" si="48"/>
        <v>0</v>
      </c>
      <c r="G186" s="703">
        <f t="shared" si="44"/>
        <v>0</v>
      </c>
      <c r="H186" s="335">
        <v>565000</v>
      </c>
      <c r="I186" s="703">
        <f t="shared" si="49"/>
        <v>5.8865528896266281E-5</v>
      </c>
      <c r="J186" s="774">
        <f t="shared" si="45"/>
        <v>-5.8865528896266281E-5</v>
      </c>
      <c r="L186" s="909">
        <f t="shared" si="46"/>
        <v>0</v>
      </c>
    </row>
    <row r="187" spans="1:12" ht="7.95" hidden="1" customHeight="1" outlineLevel="1">
      <c r="B187" s="321"/>
      <c r="C187" s="806"/>
      <c r="D187" s="703"/>
      <c r="E187" s="806"/>
      <c r="F187" s="703"/>
      <c r="G187" s="803"/>
      <c r="H187" s="806"/>
      <c r="I187" s="803"/>
      <c r="J187" s="774"/>
    </row>
    <row r="188" spans="1:12" s="982" customFormat="1" ht="15.9" hidden="1" customHeight="1" outlineLevel="1">
      <c r="B188" s="337" t="s">
        <v>288</v>
      </c>
      <c r="C188" s="338">
        <f>SUM(C190:C191)</f>
        <v>0</v>
      </c>
      <c r="D188" s="702">
        <f>+C188/$C$243</f>
        <v>0</v>
      </c>
      <c r="E188" s="338">
        <f>SUM(E190:E191)</f>
        <v>0</v>
      </c>
      <c r="F188" s="801">
        <f>+E188/$E$243</f>
        <v>0</v>
      </c>
      <c r="G188" s="702">
        <f>+D188-F188</f>
        <v>0</v>
      </c>
      <c r="H188" s="338">
        <f>SUM(H190:H191)</f>
        <v>0</v>
      </c>
      <c r="I188" s="702">
        <f>+H188/$H$243</f>
        <v>0</v>
      </c>
      <c r="J188" s="83">
        <f>+F188-I188</f>
        <v>0</v>
      </c>
    </row>
    <row r="189" spans="1:12" ht="7.95" hidden="1" customHeight="1" outlineLevel="1">
      <c r="B189" s="321"/>
      <c r="C189" s="806"/>
      <c r="D189" s="703"/>
      <c r="E189" s="806"/>
      <c r="F189" s="703"/>
      <c r="G189" s="803"/>
      <c r="H189" s="806"/>
      <c r="I189" s="803"/>
      <c r="J189" s="774"/>
    </row>
    <row r="190" spans="1:12" ht="15.9" hidden="1" customHeight="1" outlineLevel="1">
      <c r="B190" s="312" t="s">
        <v>222</v>
      </c>
      <c r="C190" s="335">
        <f>SUMIF(EGRESOS!$A$17:$A$252,A190,EGRESOS!$C$17:$C$252)</f>
        <v>0</v>
      </c>
      <c r="D190" s="703">
        <f>+C190/$C$243</f>
        <v>0</v>
      </c>
      <c r="E190" s="806">
        <v>0</v>
      </c>
      <c r="F190" s="703">
        <f>+E190/$E$243</f>
        <v>0</v>
      </c>
      <c r="G190" s="703">
        <f>+D190-F190</f>
        <v>0</v>
      </c>
      <c r="H190" s="335">
        <v>0</v>
      </c>
      <c r="I190" s="703">
        <f>+H190/$H$243</f>
        <v>0</v>
      </c>
      <c r="J190" s="774">
        <f>+F190-I190</f>
        <v>0</v>
      </c>
      <c r="L190" s="909">
        <f>+C190*$L$12</f>
        <v>0</v>
      </c>
    </row>
    <row r="191" spans="1:12" ht="15.9" hidden="1" customHeight="1" outlineLevel="1">
      <c r="B191" s="312" t="s">
        <v>224</v>
      </c>
      <c r="C191" s="335">
        <f>SUMIF(EGRESOS!$A$17:$A$252,A191,EGRESOS!$C$17:$C$252)</f>
        <v>0</v>
      </c>
      <c r="D191" s="703">
        <f>+C191/$C$243</f>
        <v>0</v>
      </c>
      <c r="E191" s="806">
        <v>0</v>
      </c>
      <c r="F191" s="703">
        <f>+E191/$E$243</f>
        <v>0</v>
      </c>
      <c r="G191" s="703">
        <f>+D191-F191</f>
        <v>0</v>
      </c>
      <c r="H191" s="335">
        <v>0</v>
      </c>
      <c r="I191" s="703">
        <f>+H191/$H$243</f>
        <v>0</v>
      </c>
      <c r="J191" s="774">
        <f>+F191-I191</f>
        <v>0</v>
      </c>
      <c r="L191" s="909">
        <f>+C191*$L$12</f>
        <v>0</v>
      </c>
    </row>
    <row r="192" spans="1:12" ht="7.95" customHeight="1" outlineLevel="1">
      <c r="B192" s="339"/>
      <c r="C192" s="811"/>
      <c r="D192" s="704"/>
      <c r="E192" s="811"/>
      <c r="F192" s="704"/>
      <c r="G192" s="813"/>
      <c r="H192" s="811"/>
      <c r="I192" s="813"/>
      <c r="J192" s="812"/>
    </row>
    <row r="193" spans="1:12" s="982" customFormat="1" outlineLevel="1">
      <c r="B193" s="337" t="s">
        <v>642</v>
      </c>
      <c r="C193" s="338">
        <f>SUM(C195:C197)</f>
        <v>516483953.05000001</v>
      </c>
      <c r="D193" s="702">
        <f>+C193/$C$243</f>
        <v>2.8831901707059741E-2</v>
      </c>
      <c r="E193" s="338">
        <f>SUM(E195:E197)</f>
        <v>381323716.19999999</v>
      </c>
      <c r="F193" s="801">
        <f>+E193/$E$243</f>
        <v>3.3813486604114075E-2</v>
      </c>
      <c r="G193" s="702">
        <f>+D193-F193</f>
        <v>-4.9815848970543343E-3</v>
      </c>
      <c r="H193" s="338">
        <f>SUM(H195:H197)</f>
        <v>163709796.48999998</v>
      </c>
      <c r="I193" s="702">
        <f>+H193/$H$243</f>
        <v>1.7056396028113215E-2</v>
      </c>
      <c r="J193" s="83">
        <f>+F193-I193</f>
        <v>1.675709057600086E-2</v>
      </c>
    </row>
    <row r="194" spans="1:12" ht="7.95" customHeight="1" outlineLevel="1">
      <c r="B194" s="312"/>
      <c r="C194" s="806"/>
      <c r="D194" s="703"/>
      <c r="E194" s="806"/>
      <c r="F194" s="703"/>
      <c r="G194" s="803"/>
      <c r="H194" s="806"/>
      <c r="I194" s="803"/>
      <c r="J194" s="774"/>
    </row>
    <row r="195" spans="1:12" ht="15.9" customHeight="1" outlineLevel="1">
      <c r="A195" s="3" t="s">
        <v>352</v>
      </c>
      <c r="B195" s="312" t="s">
        <v>353</v>
      </c>
      <c r="C195" s="335">
        <f>SUMIF(EGRESOS!$A$17:$A$252,A195,EGRESOS!$C$17:$C$252)</f>
        <v>516483953.05000001</v>
      </c>
      <c r="D195" s="703">
        <f>+C195/$C$243</f>
        <v>2.8831901707059741E-2</v>
      </c>
      <c r="E195" s="335">
        <v>381323716.19999999</v>
      </c>
      <c r="F195" s="703">
        <f>+E195/$E$243</f>
        <v>3.3813486604114075E-2</v>
      </c>
      <c r="G195" s="703">
        <f>+D195-F195</f>
        <v>-4.9815848970543343E-3</v>
      </c>
      <c r="H195" s="335">
        <v>163709796.48999998</v>
      </c>
      <c r="I195" s="703">
        <f>+H195/$H$243</f>
        <v>1.7056396028113215E-2</v>
      </c>
      <c r="J195" s="774">
        <f>+F195-I195</f>
        <v>1.675709057600086E-2</v>
      </c>
      <c r="L195" s="909">
        <f>+C195*$L$12</f>
        <v>464835557.745</v>
      </c>
    </row>
    <row r="196" spans="1:12" ht="15.9" hidden="1" customHeight="1" outlineLevel="1">
      <c r="A196" s="3" t="s">
        <v>643</v>
      </c>
      <c r="B196" s="312" t="s">
        <v>644</v>
      </c>
      <c r="C196" s="335">
        <f>SUMIF(EGRESOS!$A$17:$A$252,A196,EGRESOS!$C$17:$C$252)</f>
        <v>0</v>
      </c>
      <c r="D196" s="703">
        <f>+C196/$C$243</f>
        <v>0</v>
      </c>
      <c r="E196" s="335">
        <v>0</v>
      </c>
      <c r="F196" s="703">
        <f>+E196/$E$243</f>
        <v>0</v>
      </c>
      <c r="G196" s="703">
        <f>+D196-F196</f>
        <v>0</v>
      </c>
      <c r="H196" s="335">
        <v>0</v>
      </c>
      <c r="I196" s="703">
        <f>+H196/$H$243</f>
        <v>0</v>
      </c>
      <c r="J196" s="774">
        <f>+F196-I196</f>
        <v>0</v>
      </c>
      <c r="L196" s="909">
        <f>+C196*$L$12</f>
        <v>0</v>
      </c>
    </row>
    <row r="197" spans="1:12" ht="15.9" hidden="1" customHeight="1" outlineLevel="1">
      <c r="A197" s="3" t="s">
        <v>227</v>
      </c>
      <c r="B197" s="312" t="s">
        <v>645</v>
      </c>
      <c r="C197" s="335">
        <f>SUMIF(EGRESOS!$A$17:$A$252,A197,EGRESOS!$C$17:$C$252)</f>
        <v>0</v>
      </c>
      <c r="D197" s="703">
        <f>+C197/$C$243</f>
        <v>0</v>
      </c>
      <c r="E197" s="806">
        <v>0</v>
      </c>
      <c r="F197" s="703">
        <f>+E197/$E$243</f>
        <v>0</v>
      </c>
      <c r="G197" s="703">
        <f>+D197-F197</f>
        <v>0</v>
      </c>
      <c r="H197" s="335">
        <v>0</v>
      </c>
      <c r="I197" s="703">
        <f>+H197/$H$243</f>
        <v>0</v>
      </c>
      <c r="J197" s="774">
        <f>+F197-I197</f>
        <v>0</v>
      </c>
      <c r="L197" s="909">
        <f>+C197*$L$12</f>
        <v>0</v>
      </c>
    </row>
    <row r="198" spans="1:12" ht="7.95" customHeight="1" outlineLevel="1">
      <c r="B198" s="87"/>
      <c r="C198" s="806"/>
      <c r="D198" s="703"/>
      <c r="E198" s="806"/>
      <c r="F198" s="703"/>
      <c r="G198" s="803"/>
      <c r="H198" s="806"/>
      <c r="I198" s="803"/>
      <c r="J198" s="774"/>
    </row>
    <row r="199" spans="1:12">
      <c r="B199" s="807" t="s">
        <v>229</v>
      </c>
      <c r="C199" s="808">
        <f>+C201+C220+C233+C228+C213</f>
        <v>654919272</v>
      </c>
      <c r="D199" s="809">
        <f>+C199/$C$243</f>
        <v>3.655983494715688E-2</v>
      </c>
      <c r="E199" s="808">
        <f>+E201+E220+E233+E228+E213</f>
        <v>508123818.5</v>
      </c>
      <c r="F199" s="792">
        <f>+E199/$E$243</f>
        <v>4.5057354683571721E-2</v>
      </c>
      <c r="G199" s="809">
        <f>+D199-F199</f>
        <v>-8.4975197364148408E-3</v>
      </c>
      <c r="H199" s="808">
        <f>+H201+H220+H233+H228+H213</f>
        <v>715408777.60000002</v>
      </c>
      <c r="I199" s="809">
        <f>+H199/$H$243</f>
        <v>7.4536134637974052E-2</v>
      </c>
      <c r="J199" s="810">
        <f>+F199-I199</f>
        <v>-2.9478779954402332E-2</v>
      </c>
      <c r="K199" s="23"/>
    </row>
    <row r="200" spans="1:12" ht="9.9" customHeight="1">
      <c r="B200" s="87"/>
      <c r="C200" s="806"/>
      <c r="D200" s="703"/>
      <c r="E200" s="806"/>
      <c r="F200" s="703"/>
      <c r="G200" s="803"/>
      <c r="H200" s="806"/>
      <c r="I200" s="803"/>
      <c r="J200" s="774"/>
    </row>
    <row r="201" spans="1:12" s="982" customFormat="1" ht="17.399999999999999" customHeight="1" outlineLevel="1">
      <c r="B201" s="337" t="s">
        <v>588</v>
      </c>
      <c r="C201" s="338">
        <f>SUM(C203:C211)</f>
        <v>471894272</v>
      </c>
      <c r="D201" s="702">
        <f>+C201/$C$243</f>
        <v>2.6342753121530914E-2</v>
      </c>
      <c r="E201" s="338">
        <f>SUM(E203:E211)</f>
        <v>453149118.5</v>
      </c>
      <c r="F201" s="801">
        <f>+E201/$E$243</f>
        <v>4.0182529953183783E-2</v>
      </c>
      <c r="G201" s="702">
        <f>+D201-F201</f>
        <v>-1.383977683165287E-2</v>
      </c>
      <c r="H201" s="338">
        <f>SUM(H203:H211)</f>
        <v>419416687</v>
      </c>
      <c r="I201" s="702">
        <f>+H201/$H$243</f>
        <v>4.369767275783145E-2</v>
      </c>
      <c r="J201" s="83">
        <f>+F201-I201</f>
        <v>-3.5151428046476668E-3</v>
      </c>
    </row>
    <row r="202" spans="1:12" ht="7.95" customHeight="1" outlineLevel="1">
      <c r="B202" s="87"/>
      <c r="C202" s="806"/>
      <c r="D202" s="703"/>
      <c r="E202" s="806"/>
      <c r="F202" s="703"/>
      <c r="G202" s="803"/>
      <c r="H202" s="806"/>
      <c r="I202" s="803"/>
      <c r="J202" s="774"/>
    </row>
    <row r="203" spans="1:12" ht="15.9" customHeight="1" outlineLevel="1">
      <c r="A203" s="3" t="s">
        <v>302</v>
      </c>
      <c r="B203" s="87" t="s">
        <v>354</v>
      </c>
      <c r="C203" s="335">
        <f>SUMIF(EGRESOS!$A$17:$A$252,A203,EGRESOS!$C$17:$C$252)</f>
        <v>471894272</v>
      </c>
      <c r="D203" s="703">
        <f>+C203/$C$243</f>
        <v>2.6342753121530914E-2</v>
      </c>
      <c r="E203" s="335">
        <v>453149118.5</v>
      </c>
      <c r="F203" s="703">
        <f>+E203/$E$243</f>
        <v>4.0182529953183783E-2</v>
      </c>
      <c r="G203" s="703">
        <f>+D203-F203</f>
        <v>-1.383977683165287E-2</v>
      </c>
      <c r="H203" s="335">
        <v>419416687</v>
      </c>
      <c r="I203" s="703">
        <f>+H203/$H$243</f>
        <v>4.369767275783145E-2</v>
      </c>
      <c r="J203" s="774">
        <f>+F203-I203</f>
        <v>-3.5151428046476668E-3</v>
      </c>
      <c r="L203" s="909">
        <f t="shared" ref="L203:L211" si="50">+C203*$L$12</f>
        <v>424704844.80000001</v>
      </c>
    </row>
    <row r="204" spans="1:12" ht="15.9" hidden="1" customHeight="1" outlineLevel="1">
      <c r="A204" s="3" t="s">
        <v>231</v>
      </c>
      <c r="B204" s="87" t="s">
        <v>589</v>
      </c>
      <c r="C204" s="335">
        <f>SUMIF(EGRESOS!$A$17:$A$252,A204,EGRESOS!$C$17:$C$252)</f>
        <v>0</v>
      </c>
      <c r="D204" s="703">
        <f t="shared" ref="D204:D211" si="51">+C204/$C$243</f>
        <v>0</v>
      </c>
      <c r="E204" s="335">
        <v>0</v>
      </c>
      <c r="F204" s="703">
        <f t="shared" ref="F204:F211" si="52">+E204/$E$243</f>
        <v>0</v>
      </c>
      <c r="G204" s="703">
        <f t="shared" ref="G204:G211" si="53">+D204-F204</f>
        <v>0</v>
      </c>
      <c r="H204" s="335">
        <v>0</v>
      </c>
      <c r="I204" s="703">
        <f t="shared" ref="I204:I211" si="54">+H204/$H$243</f>
        <v>0</v>
      </c>
      <c r="J204" s="774">
        <f t="shared" ref="J204:J211" si="55">+F204-I204</f>
        <v>0</v>
      </c>
      <c r="L204" s="909">
        <f t="shared" si="50"/>
        <v>0</v>
      </c>
    </row>
    <row r="205" spans="1:12" ht="15.9" hidden="1" customHeight="1" outlineLevel="1">
      <c r="A205" s="3" t="s">
        <v>590</v>
      </c>
      <c r="B205" s="87" t="s">
        <v>591</v>
      </c>
      <c r="C205" s="335">
        <f>SUMIF(EGRESOS!$A$17:$A$252,A205,EGRESOS!$C$17:$C$252)</f>
        <v>0</v>
      </c>
      <c r="D205" s="703">
        <f t="shared" si="51"/>
        <v>0</v>
      </c>
      <c r="E205" s="335">
        <v>0</v>
      </c>
      <c r="F205" s="703">
        <f t="shared" si="52"/>
        <v>0</v>
      </c>
      <c r="G205" s="703">
        <f t="shared" si="53"/>
        <v>0</v>
      </c>
      <c r="H205" s="335">
        <v>0</v>
      </c>
      <c r="I205" s="703">
        <f t="shared" si="54"/>
        <v>0</v>
      </c>
      <c r="J205" s="774">
        <f t="shared" si="55"/>
        <v>0</v>
      </c>
      <c r="L205" s="909">
        <f t="shared" si="50"/>
        <v>0</v>
      </c>
    </row>
    <row r="206" spans="1:12" ht="15.9" hidden="1" customHeight="1" outlineLevel="1">
      <c r="A206" s="3" t="s">
        <v>592</v>
      </c>
      <c r="B206" s="87" t="s">
        <v>593</v>
      </c>
      <c r="C206" s="335">
        <f>SUMIF(EGRESOS!$A$17:$A$252,A206,EGRESOS!$C$17:$C$252)</f>
        <v>0</v>
      </c>
      <c r="D206" s="703">
        <f t="shared" si="51"/>
        <v>0</v>
      </c>
      <c r="E206" s="335">
        <v>0</v>
      </c>
      <c r="F206" s="703">
        <f t="shared" si="52"/>
        <v>0</v>
      </c>
      <c r="G206" s="703">
        <f t="shared" si="53"/>
        <v>0</v>
      </c>
      <c r="H206" s="335">
        <v>0</v>
      </c>
      <c r="I206" s="703">
        <f t="shared" si="54"/>
        <v>0</v>
      </c>
      <c r="J206" s="774">
        <f t="shared" si="55"/>
        <v>0</v>
      </c>
      <c r="L206" s="909">
        <f t="shared" si="50"/>
        <v>0</v>
      </c>
    </row>
    <row r="207" spans="1:12" ht="15.9" hidden="1" customHeight="1" outlineLevel="1">
      <c r="A207" s="3" t="s">
        <v>594</v>
      </c>
      <c r="B207" s="87" t="s">
        <v>595</v>
      </c>
      <c r="C207" s="335">
        <f>SUMIF(EGRESOS!$A$17:$A$252,A207,EGRESOS!$C$17:$C$252)</f>
        <v>0</v>
      </c>
      <c r="D207" s="703">
        <f t="shared" si="51"/>
        <v>0</v>
      </c>
      <c r="E207" s="335">
        <v>0</v>
      </c>
      <c r="F207" s="703">
        <f t="shared" si="52"/>
        <v>0</v>
      </c>
      <c r="G207" s="703">
        <f t="shared" si="53"/>
        <v>0</v>
      </c>
      <c r="H207" s="335">
        <v>0</v>
      </c>
      <c r="I207" s="703">
        <f t="shared" si="54"/>
        <v>0</v>
      </c>
      <c r="J207" s="774">
        <f t="shared" si="55"/>
        <v>0</v>
      </c>
      <c r="L207" s="909">
        <f t="shared" si="50"/>
        <v>0</v>
      </c>
    </row>
    <row r="208" spans="1:12" ht="15.9" hidden="1" customHeight="1" outlineLevel="1">
      <c r="A208" s="3" t="s">
        <v>596</v>
      </c>
      <c r="B208" s="87" t="s">
        <v>597</v>
      </c>
      <c r="C208" s="335">
        <f>SUMIF(EGRESOS!$A$17:$A$252,A208,EGRESOS!$C$17:$C$252)</f>
        <v>0</v>
      </c>
      <c r="D208" s="703">
        <f t="shared" si="51"/>
        <v>0</v>
      </c>
      <c r="E208" s="335">
        <v>0</v>
      </c>
      <c r="F208" s="703">
        <f t="shared" si="52"/>
        <v>0</v>
      </c>
      <c r="G208" s="703">
        <f t="shared" si="53"/>
        <v>0</v>
      </c>
      <c r="H208" s="335">
        <v>0</v>
      </c>
      <c r="I208" s="703">
        <f t="shared" si="54"/>
        <v>0</v>
      </c>
      <c r="J208" s="774">
        <f t="shared" si="55"/>
        <v>0</v>
      </c>
      <c r="L208" s="909">
        <f t="shared" si="50"/>
        <v>0</v>
      </c>
    </row>
    <row r="209" spans="1:12" ht="15.9" hidden="1" customHeight="1" outlineLevel="1">
      <c r="A209" s="3" t="s">
        <v>598</v>
      </c>
      <c r="B209" s="87" t="s">
        <v>599</v>
      </c>
      <c r="C209" s="335">
        <f>SUMIF(EGRESOS!$A$17:$A$252,A209,EGRESOS!$C$17:$C$252)</f>
        <v>0</v>
      </c>
      <c r="D209" s="703">
        <f t="shared" si="51"/>
        <v>0</v>
      </c>
      <c r="E209" s="335">
        <v>0</v>
      </c>
      <c r="F209" s="703">
        <f t="shared" si="52"/>
        <v>0</v>
      </c>
      <c r="G209" s="703">
        <f t="shared" si="53"/>
        <v>0</v>
      </c>
      <c r="H209" s="335">
        <v>0</v>
      </c>
      <c r="I209" s="703">
        <f t="shared" si="54"/>
        <v>0</v>
      </c>
      <c r="J209" s="774">
        <f t="shared" si="55"/>
        <v>0</v>
      </c>
      <c r="L209" s="909">
        <f t="shared" si="50"/>
        <v>0</v>
      </c>
    </row>
    <row r="210" spans="1:12" ht="15.9" hidden="1" customHeight="1" outlineLevel="1">
      <c r="A210" s="3" t="s">
        <v>600</v>
      </c>
      <c r="B210" s="87" t="s">
        <v>601</v>
      </c>
      <c r="C210" s="335">
        <f>SUMIF(EGRESOS!$A$17:$A$252,A210,EGRESOS!$C$17:$C$252)</f>
        <v>0</v>
      </c>
      <c r="D210" s="703">
        <f t="shared" si="51"/>
        <v>0</v>
      </c>
      <c r="E210" s="335">
        <v>0</v>
      </c>
      <c r="F210" s="703">
        <f t="shared" si="52"/>
        <v>0</v>
      </c>
      <c r="G210" s="703">
        <f t="shared" si="53"/>
        <v>0</v>
      </c>
      <c r="H210" s="335">
        <v>0</v>
      </c>
      <c r="I210" s="703">
        <f t="shared" si="54"/>
        <v>0</v>
      </c>
      <c r="J210" s="774">
        <f t="shared" si="55"/>
        <v>0</v>
      </c>
      <c r="L210" s="909">
        <f t="shared" si="50"/>
        <v>0</v>
      </c>
    </row>
    <row r="211" spans="1:12" ht="15.9" hidden="1" customHeight="1" outlineLevel="1">
      <c r="A211" s="3" t="s">
        <v>602</v>
      </c>
      <c r="B211" s="87" t="s">
        <v>603</v>
      </c>
      <c r="C211" s="335">
        <f>SUMIF(EGRESOS!$A$17:$A$252,A211,EGRESOS!$C$17:$C$252)</f>
        <v>0</v>
      </c>
      <c r="D211" s="703">
        <f t="shared" si="51"/>
        <v>0</v>
      </c>
      <c r="E211" s="335">
        <v>0</v>
      </c>
      <c r="F211" s="703">
        <f t="shared" si="52"/>
        <v>0</v>
      </c>
      <c r="G211" s="703">
        <f t="shared" si="53"/>
        <v>0</v>
      </c>
      <c r="H211" s="335">
        <v>0</v>
      </c>
      <c r="I211" s="703">
        <f t="shared" si="54"/>
        <v>0</v>
      </c>
      <c r="J211" s="774">
        <f t="shared" si="55"/>
        <v>0</v>
      </c>
      <c r="L211" s="909">
        <f t="shared" si="50"/>
        <v>0</v>
      </c>
    </row>
    <row r="212" spans="1:12" ht="7.95" customHeight="1" outlineLevel="1">
      <c r="B212" s="87"/>
      <c r="C212" s="806"/>
      <c r="D212" s="703"/>
      <c r="E212" s="806"/>
      <c r="F212" s="703"/>
      <c r="G212" s="803"/>
      <c r="H212" s="806"/>
      <c r="I212" s="803"/>
      <c r="J212" s="774"/>
    </row>
    <row r="213" spans="1:12" s="982" customFormat="1" ht="15.9" customHeight="1" outlineLevel="1">
      <c r="B213" s="337" t="s">
        <v>611</v>
      </c>
      <c r="C213" s="338">
        <f>SUM(C215:C218)</f>
        <v>7000000</v>
      </c>
      <c r="D213" s="702">
        <f>+C213/$C$243</f>
        <v>3.9076395453835133E-4</v>
      </c>
      <c r="E213" s="338">
        <f>SUM(E215:E218)</f>
        <v>7002000</v>
      </c>
      <c r="F213" s="801">
        <f>+E213/$E$243</f>
        <v>6.2089511652044151E-4</v>
      </c>
      <c r="G213" s="702">
        <f>+D213-F213</f>
        <v>-2.3013116198209019E-4</v>
      </c>
      <c r="H213" s="338">
        <f>SUM(H215:H218)</f>
        <v>1781000</v>
      </c>
      <c r="I213" s="702">
        <f>+H213/$H$243</f>
        <v>1.855566494942482E-4</v>
      </c>
      <c r="J213" s="83">
        <f>+F213-I213</f>
        <v>4.3533846702619328E-4</v>
      </c>
    </row>
    <row r="214" spans="1:12" ht="7.95" customHeight="1" outlineLevel="1">
      <c r="B214" s="87"/>
      <c r="C214" s="806"/>
      <c r="D214" s="703"/>
      <c r="E214" s="806"/>
      <c r="F214" s="703"/>
      <c r="G214" s="803"/>
      <c r="H214" s="806"/>
      <c r="I214" s="803"/>
      <c r="J214" s="774"/>
    </row>
    <row r="215" spans="1:12" ht="15.9" hidden="1" customHeight="1" outlineLevel="1">
      <c r="A215" s="3" t="s">
        <v>612</v>
      </c>
      <c r="B215" s="87" t="s">
        <v>613</v>
      </c>
      <c r="C215" s="335">
        <f>SUMIF(EGRESOS!$A$17:$A$252,A215,EGRESOS!$C$17:$C$252)</f>
        <v>0</v>
      </c>
      <c r="D215" s="703">
        <f>+C215/$C$243</f>
        <v>0</v>
      </c>
      <c r="E215" s="335">
        <v>0</v>
      </c>
      <c r="F215" s="703">
        <f>+E215/$E$243</f>
        <v>0</v>
      </c>
      <c r="G215" s="703">
        <f>+D215-F215</f>
        <v>0</v>
      </c>
      <c r="H215" s="335">
        <v>0</v>
      </c>
      <c r="I215" s="703">
        <f>+H215/$H$243</f>
        <v>0</v>
      </c>
      <c r="J215" s="774">
        <f>+F215-I215</f>
        <v>0</v>
      </c>
      <c r="L215" s="909">
        <f>+C215*$L$12</f>
        <v>0</v>
      </c>
    </row>
    <row r="216" spans="1:12" ht="15.9" customHeight="1" outlineLevel="1">
      <c r="A216" s="3" t="s">
        <v>614</v>
      </c>
      <c r="B216" s="87" t="s">
        <v>615</v>
      </c>
      <c r="C216" s="335">
        <f>SUMIF(EGRESOS!$A$17:$A$252,A216,EGRESOS!$C$17:$C$252)</f>
        <v>7000000</v>
      </c>
      <c r="D216" s="703">
        <f>+C216/$C$243</f>
        <v>3.9076395453835133E-4</v>
      </c>
      <c r="E216" s="335">
        <v>7002000</v>
      </c>
      <c r="F216" s="703">
        <f>+E216/$E$243</f>
        <v>6.2089511652044151E-4</v>
      </c>
      <c r="G216" s="703">
        <f>+D216-F216</f>
        <v>-2.3013116198209019E-4</v>
      </c>
      <c r="H216" s="335">
        <v>1781000</v>
      </c>
      <c r="I216" s="703">
        <f>+H216/$H$243</f>
        <v>1.855566494942482E-4</v>
      </c>
      <c r="J216" s="774">
        <f>+F216-I216</f>
        <v>4.3533846702619328E-4</v>
      </c>
      <c r="L216" s="909">
        <f>+C216*$L$12</f>
        <v>6300000</v>
      </c>
    </row>
    <row r="217" spans="1:12" ht="15.9" hidden="1" customHeight="1" outlineLevel="1">
      <c r="A217" s="3" t="s">
        <v>616</v>
      </c>
      <c r="B217" s="87" t="s">
        <v>617</v>
      </c>
      <c r="C217" s="335">
        <f>SUMIF(EGRESOS!$A$17:$A$252,A217,EGRESOS!$C$17:$C$252)</f>
        <v>0</v>
      </c>
      <c r="D217" s="703">
        <f>+C217/$C$243</f>
        <v>0</v>
      </c>
      <c r="E217" s="335">
        <v>0</v>
      </c>
      <c r="F217" s="703">
        <f>+E217/$E$243</f>
        <v>0</v>
      </c>
      <c r="G217" s="703">
        <f>+D217-F217</f>
        <v>0</v>
      </c>
      <c r="H217" s="335">
        <v>0</v>
      </c>
      <c r="I217" s="703">
        <f>+H217/$H$243</f>
        <v>0</v>
      </c>
      <c r="J217" s="774">
        <f>+F217-I217</f>
        <v>0</v>
      </c>
      <c r="L217" s="909">
        <f>+C217*$L$12</f>
        <v>0</v>
      </c>
    </row>
    <row r="218" spans="1:12" ht="15.9" hidden="1" customHeight="1" outlineLevel="1">
      <c r="A218" s="3" t="s">
        <v>618</v>
      </c>
      <c r="B218" s="87" t="s">
        <v>619</v>
      </c>
      <c r="C218" s="335">
        <f>SUMIF(EGRESOS!$A$17:$A$252,A218,EGRESOS!$C$17:$C$252)</f>
        <v>0</v>
      </c>
      <c r="D218" s="703">
        <f>+C218/$C$243</f>
        <v>0</v>
      </c>
      <c r="E218" s="335">
        <v>0</v>
      </c>
      <c r="F218" s="703">
        <f>+E218/$E$243</f>
        <v>0</v>
      </c>
      <c r="G218" s="703">
        <f>+D218-F218</f>
        <v>0</v>
      </c>
      <c r="H218" s="335">
        <v>0</v>
      </c>
      <c r="I218" s="703">
        <f>+H218/$H$243</f>
        <v>0</v>
      </c>
      <c r="J218" s="774">
        <f>+F218-I218</f>
        <v>0</v>
      </c>
      <c r="L218" s="909">
        <f>+C218*$L$12</f>
        <v>0</v>
      </c>
    </row>
    <row r="219" spans="1:12" ht="7.95" customHeight="1" outlineLevel="1">
      <c r="B219" s="87"/>
      <c r="C219" s="806"/>
      <c r="D219" s="703"/>
      <c r="E219" s="806"/>
      <c r="F219" s="703"/>
      <c r="G219" s="803"/>
      <c r="H219" s="806"/>
      <c r="I219" s="803"/>
      <c r="J219" s="774"/>
    </row>
    <row r="220" spans="1:12" s="982" customFormat="1" ht="15.9" customHeight="1" outlineLevel="1">
      <c r="B220" s="337" t="s">
        <v>233</v>
      </c>
      <c r="C220" s="338">
        <f>SUM(C222:C226)</f>
        <v>134825000</v>
      </c>
      <c r="D220" s="702">
        <f>+C220/$C$243</f>
        <v>7.5263928815190312E-3</v>
      </c>
      <c r="E220" s="338">
        <f>SUM(E222:E226)</f>
        <v>46892700</v>
      </c>
      <c r="F220" s="801">
        <f>+E220/$E$243</f>
        <v>4.1581617295712806E-3</v>
      </c>
      <c r="G220" s="702">
        <f>+D220-F220</f>
        <v>3.3682311519477506E-3</v>
      </c>
      <c r="H220" s="338">
        <f>SUM(H222:H226)</f>
        <v>121639370.47</v>
      </c>
      <c r="I220" s="702">
        <f>+H220/$H$243</f>
        <v>1.2673213942168892E-2</v>
      </c>
      <c r="J220" s="83">
        <f>+F220-I220</f>
        <v>-8.5150522125976118E-3</v>
      </c>
    </row>
    <row r="221" spans="1:12" ht="7.95" customHeight="1" outlineLevel="1">
      <c r="B221" s="87"/>
      <c r="C221" s="806"/>
      <c r="D221" s="703"/>
      <c r="E221" s="806"/>
      <c r="F221" s="703"/>
      <c r="G221" s="803"/>
      <c r="H221" s="806"/>
      <c r="I221" s="803"/>
      <c r="J221" s="774"/>
    </row>
    <row r="222" spans="1:12" ht="15.9" customHeight="1" outlineLevel="1">
      <c r="A222" s="3" t="s">
        <v>294</v>
      </c>
      <c r="B222" s="87" t="s">
        <v>620</v>
      </c>
      <c r="C222" s="335">
        <f>SUMIF(EGRESOS!$A$17:$A$252,A222,EGRESOS!$C$17:$C$252)</f>
        <v>134825000</v>
      </c>
      <c r="D222" s="703">
        <f>+C222/$C$243</f>
        <v>7.5263928815190312E-3</v>
      </c>
      <c r="E222" s="335">
        <v>46892700</v>
      </c>
      <c r="F222" s="703">
        <f>+E222/$E$243</f>
        <v>4.1581617295712806E-3</v>
      </c>
      <c r="G222" s="703">
        <f>+D222-F222</f>
        <v>3.3682311519477506E-3</v>
      </c>
      <c r="H222" s="335">
        <v>121639370.47</v>
      </c>
      <c r="I222" s="703">
        <f>+H222/$H$243</f>
        <v>1.2673213942168892E-2</v>
      </c>
      <c r="J222" s="774">
        <f>+F222-I222</f>
        <v>-8.5150522125976118E-3</v>
      </c>
      <c r="L222" s="909">
        <f>+C222*$L$12</f>
        <v>121342500</v>
      </c>
    </row>
    <row r="223" spans="1:12" ht="15.9" hidden="1" customHeight="1" outlineLevel="1">
      <c r="A223" s="3" t="s">
        <v>621</v>
      </c>
      <c r="B223" s="87" t="s">
        <v>622</v>
      </c>
      <c r="C223" s="335">
        <f>SUMIF(EGRESOS!$A$17:$A$252,A223,EGRESOS!$C$17:$C$252)</f>
        <v>0</v>
      </c>
      <c r="D223" s="703">
        <f>+C223/$C$243</f>
        <v>0</v>
      </c>
      <c r="E223" s="335">
        <v>0</v>
      </c>
      <c r="F223" s="703">
        <f>+E223/$E$243</f>
        <v>0</v>
      </c>
      <c r="G223" s="703">
        <f>+D223-F223</f>
        <v>0</v>
      </c>
      <c r="H223" s="335">
        <v>0</v>
      </c>
      <c r="I223" s="703">
        <f>+H223/$H$243</f>
        <v>0</v>
      </c>
      <c r="J223" s="774">
        <f>+F223-I223</f>
        <v>0</v>
      </c>
      <c r="L223" s="909">
        <f>+C223*$L$12</f>
        <v>0</v>
      </c>
    </row>
    <row r="224" spans="1:12" ht="15.9" hidden="1" customHeight="1" outlineLevel="1">
      <c r="A224" s="3" t="s">
        <v>623</v>
      </c>
      <c r="B224" s="87" t="s">
        <v>624</v>
      </c>
      <c r="C224" s="335">
        <f>SUMIF(EGRESOS!$A$17:$A$252,A224,EGRESOS!$C$17:$C$252)</f>
        <v>0</v>
      </c>
      <c r="D224" s="703">
        <f>+C224/$C$243</f>
        <v>0</v>
      </c>
      <c r="E224" s="335">
        <v>0</v>
      </c>
      <c r="F224" s="703">
        <f>+E224/$E$243</f>
        <v>0</v>
      </c>
      <c r="G224" s="703">
        <f>+D224-F224</f>
        <v>0</v>
      </c>
      <c r="H224" s="335">
        <v>0</v>
      </c>
      <c r="I224" s="703">
        <f>+H224/$H$243</f>
        <v>0</v>
      </c>
      <c r="J224" s="774">
        <f>+F224-I224</f>
        <v>0</v>
      </c>
      <c r="L224" s="909">
        <f>+C224*$L$12</f>
        <v>0</v>
      </c>
    </row>
    <row r="225" spans="1:12" ht="15.9" hidden="1" customHeight="1" outlineLevel="1">
      <c r="A225" s="3" t="s">
        <v>625</v>
      </c>
      <c r="B225" s="87" t="s">
        <v>626</v>
      </c>
      <c r="C225" s="335">
        <f>SUMIF(EGRESOS!$A$17:$A$252,A225,EGRESOS!$C$17:$C$252)</f>
        <v>0</v>
      </c>
      <c r="D225" s="703">
        <f>+C225/$C$243</f>
        <v>0</v>
      </c>
      <c r="E225" s="335">
        <v>0</v>
      </c>
      <c r="F225" s="703">
        <f>+E225/$E$243</f>
        <v>0</v>
      </c>
      <c r="G225" s="703">
        <f>+D225-F225</f>
        <v>0</v>
      </c>
      <c r="H225" s="335">
        <v>0</v>
      </c>
      <c r="I225" s="703">
        <f>+H225/$H$243</f>
        <v>0</v>
      </c>
      <c r="J225" s="774">
        <f>+F225-I225</f>
        <v>0</v>
      </c>
      <c r="L225" s="909">
        <f>+C225*$L$12</f>
        <v>0</v>
      </c>
    </row>
    <row r="226" spans="1:12" ht="15.9" hidden="1" customHeight="1" outlineLevel="1">
      <c r="A226" s="3" t="s">
        <v>627</v>
      </c>
      <c r="B226" s="87" t="s">
        <v>628</v>
      </c>
      <c r="C226" s="335">
        <f>SUMIF(EGRESOS!$A$17:$A$252,A226,EGRESOS!$C$17:$C$252)</f>
        <v>0</v>
      </c>
      <c r="D226" s="703">
        <f>+C226/$C$243</f>
        <v>0</v>
      </c>
      <c r="E226" s="335">
        <v>0</v>
      </c>
      <c r="F226" s="703">
        <f>+E226/$E$243</f>
        <v>0</v>
      </c>
      <c r="G226" s="703">
        <f>+D226-F226</f>
        <v>0</v>
      </c>
      <c r="H226" s="335">
        <v>0</v>
      </c>
      <c r="I226" s="703">
        <f>+H226/$H$243</f>
        <v>0</v>
      </c>
      <c r="J226" s="774">
        <f>+F226-I226</f>
        <v>0</v>
      </c>
      <c r="L226" s="909">
        <f>+C226*$L$12</f>
        <v>0</v>
      </c>
    </row>
    <row r="227" spans="1:12" ht="7.95" customHeight="1" outlineLevel="1">
      <c r="B227" s="87"/>
      <c r="C227" s="806"/>
      <c r="D227" s="703"/>
      <c r="E227" s="806"/>
      <c r="F227" s="703"/>
      <c r="G227" s="803"/>
      <c r="H227" s="806"/>
      <c r="I227" s="803"/>
      <c r="J227" s="774"/>
    </row>
    <row r="228" spans="1:12" s="982" customFormat="1" ht="15.9" customHeight="1" outlineLevel="1">
      <c r="B228" s="337" t="s">
        <v>629</v>
      </c>
      <c r="C228" s="338">
        <f>SUM(C230:C231)</f>
        <v>0</v>
      </c>
      <c r="D228" s="702">
        <f>+C228/$C$243</f>
        <v>0</v>
      </c>
      <c r="E228" s="338">
        <f>SUM(E230:E231)</f>
        <v>0</v>
      </c>
      <c r="F228" s="801">
        <f>+E228/$E$243</f>
        <v>0</v>
      </c>
      <c r="G228" s="702">
        <f>+D228-F228</f>
        <v>0</v>
      </c>
      <c r="H228" s="338">
        <f>SUM(H230:H231)</f>
        <v>18944893.420000002</v>
      </c>
      <c r="I228" s="702">
        <f>+H228/$H$243</f>
        <v>1.9738073823923805E-3</v>
      </c>
      <c r="J228" s="83">
        <f>+F228-I228</f>
        <v>-1.9738073823923805E-3</v>
      </c>
    </row>
    <row r="229" spans="1:12" ht="9.9" customHeight="1" outlineLevel="1">
      <c r="B229" s="87"/>
      <c r="C229" s="806"/>
      <c r="D229" s="703"/>
      <c r="E229" s="806"/>
      <c r="F229" s="703"/>
      <c r="G229" s="803"/>
      <c r="H229" s="806"/>
      <c r="I229" s="803"/>
      <c r="J229" s="774"/>
    </row>
    <row r="230" spans="1:12" ht="15.9" customHeight="1" outlineLevel="1">
      <c r="A230" s="3" t="s">
        <v>323</v>
      </c>
      <c r="B230" s="79" t="s">
        <v>324</v>
      </c>
      <c r="C230" s="335">
        <f>SUMIF(EGRESOS!$A$17:$A$252,A230,EGRESOS!$C$17:$C$252)</f>
        <v>0</v>
      </c>
      <c r="D230" s="703">
        <f>+C230/$C$243</f>
        <v>0</v>
      </c>
      <c r="E230" s="335">
        <v>0</v>
      </c>
      <c r="F230" s="703">
        <f>+E230/$E$243</f>
        <v>0</v>
      </c>
      <c r="G230" s="703">
        <f>+D230-F230</f>
        <v>0</v>
      </c>
      <c r="H230" s="335">
        <v>113000</v>
      </c>
      <c r="I230" s="703">
        <f>+H230/$H$243</f>
        <v>1.1773105779253255E-5</v>
      </c>
      <c r="J230" s="774">
        <f>+F230-I230</f>
        <v>-1.1773105779253255E-5</v>
      </c>
      <c r="L230" s="909">
        <f>+C230*$L$12</f>
        <v>0</v>
      </c>
    </row>
    <row r="231" spans="1:12" ht="15.9" customHeight="1" outlineLevel="1">
      <c r="A231" s="3" t="s">
        <v>630</v>
      </c>
      <c r="B231" s="79" t="s">
        <v>631</v>
      </c>
      <c r="C231" s="335">
        <f>SUMIF(EGRESOS!$A$17:$A$252,A231,EGRESOS!$C$17:$C$252)</f>
        <v>0</v>
      </c>
      <c r="D231" s="703">
        <f>+C231/$C$243</f>
        <v>0</v>
      </c>
      <c r="E231" s="335">
        <v>0</v>
      </c>
      <c r="F231" s="703">
        <f>+E231/$E$243</f>
        <v>0</v>
      </c>
      <c r="G231" s="703">
        <f>+D231-F231</f>
        <v>0</v>
      </c>
      <c r="H231" s="335">
        <v>18831893.420000002</v>
      </c>
      <c r="I231" s="703">
        <f>+H231/$H$243</f>
        <v>1.9620342766131275E-3</v>
      </c>
      <c r="J231" s="774">
        <f>+F231-I231</f>
        <v>-1.9620342766131275E-3</v>
      </c>
      <c r="L231" s="909">
        <f>+C231*$L$12</f>
        <v>0</v>
      </c>
    </row>
    <row r="232" spans="1:12" ht="7.95" customHeight="1" outlineLevel="1">
      <c r="B232" s="87"/>
      <c r="C232" s="806"/>
      <c r="D232" s="703"/>
      <c r="E232" s="806"/>
      <c r="F232" s="703"/>
      <c r="G232" s="803"/>
      <c r="H232" s="806"/>
      <c r="I232" s="803"/>
      <c r="J232" s="774"/>
    </row>
    <row r="233" spans="1:12" s="982" customFormat="1" ht="15.9" customHeight="1" outlineLevel="1">
      <c r="B233" s="337" t="s">
        <v>247</v>
      </c>
      <c r="C233" s="338">
        <f>SUM(C235:C236)</f>
        <v>41200000</v>
      </c>
      <c r="D233" s="702">
        <f>+C233/$C$243</f>
        <v>2.2999249895685821E-3</v>
      </c>
      <c r="E233" s="338">
        <f>SUM(E235:E236)</f>
        <v>1080000</v>
      </c>
      <c r="F233" s="801">
        <f>+E233/$E$243</f>
        <v>9.5767884296212055E-5</v>
      </c>
      <c r="G233" s="702">
        <f>+D233-F233</f>
        <v>2.2041571052723702E-3</v>
      </c>
      <c r="H233" s="338">
        <f>SUM(H235:H236)</f>
        <v>153626826.71000001</v>
      </c>
      <c r="I233" s="702">
        <f>+H233/$H$243</f>
        <v>1.6005883906087075E-2</v>
      </c>
      <c r="J233" s="83">
        <f>+F233-I233</f>
        <v>-1.5910116021790863E-2</v>
      </c>
    </row>
    <row r="234" spans="1:12" ht="9.9" customHeight="1" outlineLevel="1">
      <c r="B234" s="87"/>
      <c r="C234" s="806"/>
      <c r="D234" s="703"/>
      <c r="E234" s="806"/>
      <c r="F234" s="703"/>
      <c r="G234" s="803"/>
      <c r="H234" s="806"/>
      <c r="I234" s="803"/>
      <c r="J234" s="774"/>
    </row>
    <row r="235" spans="1:12" ht="15.9" customHeight="1" outlineLevel="1">
      <c r="A235" s="3" t="s">
        <v>235</v>
      </c>
      <c r="B235" s="79" t="s">
        <v>632</v>
      </c>
      <c r="C235" s="335">
        <f>SUMIF(EGRESOS!$A$17:$A$252,A235,EGRESOS!$C$17:$C$252)</f>
        <v>40000000</v>
      </c>
      <c r="D235" s="703">
        <f>+C235/$C$243</f>
        <v>2.2329368830762931E-3</v>
      </c>
      <c r="E235" s="335">
        <v>0</v>
      </c>
      <c r="F235" s="703">
        <f>+E235/$E$243</f>
        <v>0</v>
      </c>
      <c r="G235" s="703">
        <f>+D235-F235</f>
        <v>2.2329368830762931E-3</v>
      </c>
      <c r="H235" s="335">
        <v>152864127.47</v>
      </c>
      <c r="I235" s="703">
        <f>+H235/$H$243</f>
        <v>1.5926420730597905E-2</v>
      </c>
      <c r="J235" s="774">
        <f>+F235-I235</f>
        <v>-1.5926420730597905E-2</v>
      </c>
      <c r="L235" s="909">
        <f>+C235*$L$12</f>
        <v>36000000</v>
      </c>
    </row>
    <row r="236" spans="1:12" ht="15.9" customHeight="1" outlineLevel="1">
      <c r="A236" s="3" t="s">
        <v>307</v>
      </c>
      <c r="B236" s="79" t="s">
        <v>633</v>
      </c>
      <c r="C236" s="335">
        <f>SUMIF(EGRESOS!$A$17:$A$252,A236,EGRESOS!$C$17:$C$252)</f>
        <v>1200000</v>
      </c>
      <c r="D236" s="703">
        <f>+C236/$C$243</f>
        <v>6.6988106492288799E-5</v>
      </c>
      <c r="E236" s="335">
        <v>1080000</v>
      </c>
      <c r="F236" s="703">
        <f>+E236/$E$243</f>
        <v>9.5767884296212055E-5</v>
      </c>
      <c r="G236" s="703">
        <f>+D236-F236</f>
        <v>-2.8779777803923255E-5</v>
      </c>
      <c r="H236" s="335">
        <v>762699.24</v>
      </c>
      <c r="I236" s="703">
        <f>+H236/$H$243</f>
        <v>7.9463175489168723E-5</v>
      </c>
      <c r="J236" s="774">
        <f>+F236-I236</f>
        <v>1.6304708807043331E-5</v>
      </c>
      <c r="L236" s="909">
        <f>+C236*$L$12</f>
        <v>1080000</v>
      </c>
    </row>
    <row r="237" spans="1:12" ht="12.75" hidden="1" customHeight="1" outlineLevel="1">
      <c r="B237" s="87"/>
      <c r="C237" s="806"/>
      <c r="D237" s="703"/>
      <c r="E237" s="806"/>
      <c r="F237" s="703"/>
      <c r="G237" s="803"/>
      <c r="H237" s="806"/>
      <c r="I237" s="803"/>
      <c r="J237" s="774"/>
      <c r="L237" s="909">
        <f>+C237*$L$12</f>
        <v>0</v>
      </c>
    </row>
    <row r="238" spans="1:12" hidden="1">
      <c r="B238" s="814" t="s">
        <v>54</v>
      </c>
      <c r="C238" s="815">
        <f>SUM(C240:C241)</f>
        <v>0</v>
      </c>
      <c r="D238" s="792">
        <f>+C238/$C$243</f>
        <v>0</v>
      </c>
      <c r="E238" s="815">
        <f>SUM(E240:E241)</f>
        <v>0</v>
      </c>
      <c r="F238" s="792">
        <f>+E238/$E$243</f>
        <v>0</v>
      </c>
      <c r="G238" s="792">
        <f>+D238-F238</f>
        <v>0</v>
      </c>
      <c r="H238" s="815">
        <f>SUM(H240:H241)</f>
        <v>0</v>
      </c>
      <c r="I238" s="792">
        <f>+H238/$H$243</f>
        <v>0</v>
      </c>
      <c r="J238" s="793">
        <f>+F238-I238</f>
        <v>0</v>
      </c>
    </row>
    <row r="239" spans="1:12" ht="10.5" hidden="1" customHeight="1">
      <c r="B239" s="79"/>
      <c r="C239" s="335"/>
      <c r="D239" s="703"/>
      <c r="E239" s="335"/>
      <c r="F239" s="703"/>
      <c r="G239" s="707"/>
      <c r="H239" s="335"/>
      <c r="I239" s="707"/>
      <c r="J239" s="795"/>
    </row>
    <row r="240" spans="1:12" hidden="1" outlineLevel="1">
      <c r="B240" s="79" t="s">
        <v>55</v>
      </c>
      <c r="C240" s="335">
        <f>SUMIF(EGRESOS!$A$17:$A$252,A240,EGRESOS!$C$17:$C$252)</f>
        <v>0</v>
      </c>
      <c r="D240" s="703">
        <f>+C240/$C$243</f>
        <v>0</v>
      </c>
      <c r="E240" s="335">
        <v>0</v>
      </c>
      <c r="F240" s="703">
        <f>+E240/$E$243</f>
        <v>0</v>
      </c>
      <c r="G240" s="703">
        <f>+D240-F240</f>
        <v>0</v>
      </c>
      <c r="H240" s="335">
        <v>0</v>
      </c>
      <c r="I240" s="703">
        <f>+H240/$H$243</f>
        <v>0</v>
      </c>
      <c r="J240" s="774">
        <f>+F240-I240</f>
        <v>0</v>
      </c>
      <c r="L240" s="909">
        <f>+C240*$L$12</f>
        <v>0</v>
      </c>
    </row>
    <row r="241" spans="2:12" hidden="1" outlineLevel="1">
      <c r="B241" s="79" t="s">
        <v>59</v>
      </c>
      <c r="C241" s="335">
        <f>SUMIF(EGRESOS!$A$17:$A$252,A241,EGRESOS!$C$17:$C$252)</f>
        <v>0</v>
      </c>
      <c r="D241" s="703">
        <f>+C241/$C$243</f>
        <v>0</v>
      </c>
      <c r="E241" s="335">
        <v>0</v>
      </c>
      <c r="F241" s="703">
        <f>+E241/$E$243</f>
        <v>0</v>
      </c>
      <c r="G241" s="703">
        <f>+D241-F241</f>
        <v>0</v>
      </c>
      <c r="H241" s="335">
        <v>0</v>
      </c>
      <c r="I241" s="703">
        <f>+H241/$H$243</f>
        <v>0</v>
      </c>
      <c r="J241" s="774">
        <f>+F241-I241</f>
        <v>0</v>
      </c>
      <c r="L241" s="909">
        <f>+C241*$L$12</f>
        <v>0</v>
      </c>
    </row>
    <row r="242" spans="2:12" ht="6" customHeight="1" outlineLevel="1">
      <c r="B242" s="79"/>
      <c r="C242" s="335"/>
      <c r="D242" s="703"/>
      <c r="E242" s="335"/>
      <c r="F242" s="703"/>
      <c r="G242" s="707"/>
      <c r="H242" s="335"/>
      <c r="I242" s="703"/>
      <c r="J242" s="795"/>
      <c r="L242" s="909">
        <f>+C242*$L$12</f>
        <v>0</v>
      </c>
    </row>
    <row r="243" spans="2:12" ht="22.5" customHeight="1">
      <c r="B243" s="816" t="s">
        <v>20</v>
      </c>
      <c r="C243" s="817">
        <f>+C238+C199+C175+C129+C44+C12+C169</f>
        <v>17913627699.540001</v>
      </c>
      <c r="D243" s="818">
        <f>+D238+D199+D175+D129+D44+D12+D169</f>
        <v>1</v>
      </c>
      <c r="E243" s="817">
        <f>+E238+E199+E175+E129+E44+E12+E169</f>
        <v>11277266987.119999</v>
      </c>
      <c r="F243" s="818">
        <f>+F238+F199+F175+F129+F44+F12+F169</f>
        <v>1</v>
      </c>
      <c r="G243" s="818">
        <f>+D243-F243</f>
        <v>0</v>
      </c>
      <c r="H243" s="817">
        <f>+H238+H199+H175+H129+H44+H12+H169</f>
        <v>9598147007.1499996</v>
      </c>
      <c r="I243" s="818">
        <f>+I238+I199+I175+I129+I44+I12</f>
        <v>1</v>
      </c>
      <c r="J243" s="819">
        <f>+F243-I243</f>
        <v>0</v>
      </c>
      <c r="L243" s="981">
        <f>SUM(L15:L241)</f>
        <v>14145296286.807003</v>
      </c>
    </row>
    <row r="244" spans="2:12" ht="10.5" customHeight="1" thickBot="1">
      <c r="B244" s="135"/>
      <c r="C244" s="344"/>
      <c r="D244" s="705"/>
      <c r="E244" s="344"/>
      <c r="F244" s="705"/>
      <c r="G244" s="820"/>
      <c r="H244" s="344"/>
      <c r="I244" s="705"/>
      <c r="J244" s="821"/>
    </row>
    <row r="245" spans="2:12" ht="12" customHeight="1"/>
    <row r="246" spans="2:12" ht="25.95" hidden="1" customHeight="1" thickTop="1">
      <c r="B246" s="824"/>
      <c r="C246" s="825"/>
      <c r="D246" s="826"/>
      <c r="E246" s="993"/>
      <c r="F246" s="827"/>
      <c r="G246" s="828"/>
      <c r="H246" s="825"/>
      <c r="I246" s="827"/>
      <c r="J246" s="827"/>
    </row>
    <row r="247" spans="2:12" hidden="1">
      <c r="B247" s="3" t="s">
        <v>949</v>
      </c>
      <c r="C247" s="24">
        <v>2025</v>
      </c>
      <c r="E247" s="24">
        <v>2024</v>
      </c>
      <c r="H247" s="24">
        <v>2023</v>
      </c>
    </row>
    <row r="248" spans="2:12" hidden="1">
      <c r="E248" s="24" t="s">
        <v>950</v>
      </c>
    </row>
    <row r="249" spans="2:12" hidden="1">
      <c r="C249" s="24">
        <f>+'Distribución OyA Detalle'!G1056</f>
        <v>0</v>
      </c>
    </row>
    <row r="250" spans="2:12" hidden="1">
      <c r="C250" s="24">
        <f>+C249-C243</f>
        <v>-17913627699.540001</v>
      </c>
    </row>
    <row r="251" spans="2:12" hidden="1"/>
    <row r="253" spans="2:12">
      <c r="H253" s="1129"/>
    </row>
    <row r="254" spans="2:12">
      <c r="H254" s="1129"/>
    </row>
    <row r="255" spans="2:12">
      <c r="H255" s="1129"/>
    </row>
    <row r="256" spans="2:12">
      <c r="H256" s="1129"/>
    </row>
  </sheetData>
  <mergeCells count="4">
    <mergeCell ref="B2:J2"/>
    <mergeCell ref="B5:J5"/>
    <mergeCell ref="B6:J6"/>
    <mergeCell ref="B3:J3"/>
  </mergeCells>
  <phoneticPr fontId="0" type="noConversion"/>
  <printOptions horizontalCentered="1"/>
  <pageMargins left="0.59055118110236227" right="0.59055118110236227" top="0.78740157480314965" bottom="0.78740157480314965" header="0.59055118110236227" footer="0.59055118110236227"/>
  <pageSetup scale="51" firstPageNumber="14" fitToHeight="2" orientation="portrait" useFirstPageNumber="1" r:id="rId1"/>
  <headerFooter alignWithMargins="0">
    <oddFooter>&amp;C&amp;"Tw Cen MT,Normal"&amp;P</oddFooter>
  </headerFooter>
  <rowBreaks count="1" manualBreakCount="1">
    <brk id="119" max="9" man="1"/>
  </rowBreaks>
  <ignoredErrors>
    <ignoredError sqref="D43:D44 D53:D55 D61:D63 D88:D90 D94:D96 D100:D102 D119:D121 D128:D132 D138:D140 D142:D144 D152:D154 D157:D159 D174:D178 D187:D189 D198:D202 D212:D213 D233:D234 J15 I32:J41 J74 J84 J97:J99 J133 J141 J145 J155:J156 J160 J195 J203 D112:D114 D220:D221 D72:D73 J115 J103 D12:D14 D253:G253 D251 F251:J251 D237:D239 D81:D83 I72:J73 F43:G47 F53:G55 F61:G63 F89:G90 F94:G96 F100:G102 F112:G114 F119:G121 F128:G132 F138:G140 F142:G144 F152:G154 F157:G159 F174:G176 F187:G189 F198:G202 F212:G212 F233:G234 F237:G239 D242 F244:J245 F220:G221 F72:G73 F12:G12 F81:G83 J235:J236 J240:J241 J197 I12:J12 I43:J48 I53:J56 I81:J83 I88:J91 I94:J96 I100:J102 I112:J114 I119:J121 I128:J132 I138:J140 I142:J144 I152:J154 I157:J159 I174:J178 I187:J189 I198:J202 I212:J212 I233:J234 I237:J239 F242:G242 I242:J242 I220:J221 D244:D245 I243 J122 I192:J194 J190:J191 F192:G194 D192:D194 G88 D169:D171 I227:J227 F227:G227 D227:D228 F14:G14 I14:J14 D45:D47 I61:J64 F178:G178 G177 G243 D252:G252 I252:J252 D257:J263 D254:G254 I254:J254 I253:J253 D255:G256 I255:J256"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tabColor theme="9" tint="-0.499984740745262"/>
  </sheetPr>
  <dimension ref="A1:Q280"/>
  <sheetViews>
    <sheetView showGridLines="0" zoomScaleNormal="100" workbookViewId="0">
      <selection activeCell="L28" sqref="L28"/>
    </sheetView>
  </sheetViews>
  <sheetFormatPr baseColWidth="10" defaultColWidth="11.44140625" defaultRowHeight="16.2" outlineLevelRow="2"/>
  <cols>
    <col min="1" max="1" width="8.6640625" style="3" customWidth="1"/>
    <col min="2" max="2" width="64.5546875" style="3" customWidth="1"/>
    <col min="3" max="3" width="14.88671875" style="492" bestFit="1" customWidth="1"/>
    <col min="4" max="4" width="13.44140625" style="24" bestFit="1" customWidth="1"/>
    <col min="5" max="5" width="15.88671875" style="24" bestFit="1" customWidth="1"/>
    <col min="6" max="6" width="13.44140625" style="24" bestFit="1" customWidth="1"/>
    <col min="7" max="7" width="17.6640625" style="24" customWidth="1"/>
    <col min="8" max="8" width="9" style="3" hidden="1" customWidth="1"/>
    <col min="9" max="9" width="15.33203125" style="3" hidden="1" customWidth="1"/>
    <col min="10" max="10" width="13.88671875" style="3" hidden="1" customWidth="1"/>
    <col min="11" max="11" width="12.5546875" style="3" hidden="1" customWidth="1"/>
    <col min="12" max="13" width="13.33203125" style="3" hidden="1" customWidth="1"/>
    <col min="14" max="14" width="14.109375" style="3" hidden="1" customWidth="1"/>
    <col min="15" max="15" width="14.33203125" style="3" hidden="1" customWidth="1"/>
    <col min="16" max="16" width="0" style="3" hidden="1" customWidth="1"/>
    <col min="17" max="17" width="13.5546875" style="3" hidden="1" customWidth="1"/>
    <col min="18" max="16384" width="11.44140625" style="3"/>
  </cols>
  <sheetData>
    <row r="1" spans="1:14" ht="8.25" customHeight="1">
      <c r="A1" s="74"/>
      <c r="B1" s="355"/>
      <c r="C1" s="356"/>
      <c r="D1" s="357"/>
      <c r="E1" s="358"/>
      <c r="F1" s="358"/>
      <c r="G1" s="358"/>
    </row>
    <row r="2" spans="1:14">
      <c r="A2" s="1173" t="s">
        <v>0</v>
      </c>
      <c r="B2" s="1173"/>
      <c r="C2" s="1173"/>
      <c r="D2" s="1173"/>
      <c r="E2" s="1173"/>
      <c r="F2" s="1173"/>
      <c r="G2" s="1173"/>
    </row>
    <row r="3" spans="1:14">
      <c r="A3" s="1173" t="s">
        <v>269</v>
      </c>
      <c r="B3" s="1173"/>
      <c r="C3" s="1173"/>
      <c r="D3" s="1173"/>
      <c r="E3" s="1173"/>
      <c r="F3" s="1173"/>
      <c r="G3" s="1173"/>
    </row>
    <row r="4" spans="1:14">
      <c r="A4" s="1173" t="s">
        <v>955</v>
      </c>
      <c r="B4" s="1173"/>
      <c r="C4" s="1173"/>
      <c r="D4" s="1173"/>
      <c r="E4" s="1173"/>
      <c r="F4" s="1173"/>
      <c r="G4" s="1173"/>
    </row>
    <row r="5" spans="1:14" ht="16.8" thickBot="1">
      <c r="A5" s="1175" t="s">
        <v>270</v>
      </c>
      <c r="B5" s="1175"/>
      <c r="C5" s="1175"/>
      <c r="D5" s="1175"/>
      <c r="E5" s="1175"/>
      <c r="F5" s="1175"/>
      <c r="G5" s="1175"/>
    </row>
    <row r="6" spans="1:14" ht="9.75" customHeight="1" thickTop="1" thickBot="1">
      <c r="A6" s="2"/>
      <c r="B6" s="2"/>
      <c r="C6" s="359" t="s">
        <v>325</v>
      </c>
      <c r="D6" s="359"/>
      <c r="E6" s="359"/>
      <c r="F6" s="359"/>
      <c r="G6" s="359"/>
    </row>
    <row r="7" spans="1:14" ht="20.100000000000001" customHeight="1" thickBot="1">
      <c r="A7" s="360"/>
      <c r="B7" s="361"/>
      <c r="C7" s="362" t="s">
        <v>61</v>
      </c>
      <c r="D7" s="363" t="s">
        <v>62</v>
      </c>
      <c r="E7" s="363" t="s">
        <v>63</v>
      </c>
      <c r="F7" s="363" t="s">
        <v>304</v>
      </c>
      <c r="G7" s="364" t="s">
        <v>29</v>
      </c>
      <c r="J7" s="362" t="s">
        <v>61</v>
      </c>
      <c r="K7" s="363" t="s">
        <v>62</v>
      </c>
      <c r="L7" s="363" t="s">
        <v>63</v>
      </c>
      <c r="M7" s="363" t="s">
        <v>304</v>
      </c>
    </row>
    <row r="8" spans="1:14" ht="7.5" customHeight="1" thickBot="1">
      <c r="A8" s="365"/>
      <c r="B8" s="366"/>
      <c r="C8" s="367"/>
      <c r="D8" s="367"/>
      <c r="E8" s="367"/>
      <c r="F8" s="367"/>
      <c r="G8" s="377"/>
    </row>
    <row r="9" spans="1:14" ht="15.9" customHeight="1" thickBot="1">
      <c r="A9" s="1224" t="s">
        <v>271</v>
      </c>
      <c r="B9" s="1225"/>
      <c r="C9" s="369">
        <f>+C15+C34</f>
        <v>6424442149.0400009</v>
      </c>
      <c r="D9" s="369">
        <f>+D15+D34</f>
        <v>569125000</v>
      </c>
      <c r="E9" s="369">
        <f>+E15+E34</f>
        <v>10268184550.5</v>
      </c>
      <c r="F9" s="369">
        <f>+F15+F34</f>
        <v>651876000</v>
      </c>
      <c r="G9" s="370">
        <f>+G11+G15+G25+G29+G34</f>
        <v>17913627699.540001</v>
      </c>
      <c r="H9" s="23">
        <f>+I41-G9</f>
        <v>-17913627699.540001</v>
      </c>
      <c r="I9" s="23"/>
      <c r="J9" s="23">
        <f>+EGRESOS!E250</f>
        <v>6424442149.0400009</v>
      </c>
      <c r="K9" s="23">
        <f>+EGRESOS!G250</f>
        <v>569125000</v>
      </c>
      <c r="L9" s="23">
        <f>+EGRESOS!I250</f>
        <v>10268184550.5</v>
      </c>
      <c r="M9" s="23">
        <f>+EGRESOS!K250</f>
        <v>651876000</v>
      </c>
      <c r="N9" s="24">
        <f>SUM(J9:M9)</f>
        <v>17913627699.540001</v>
      </c>
    </row>
    <row r="10" spans="1:14" ht="15.9" hidden="1" customHeight="1">
      <c r="A10" s="371"/>
      <c r="B10" s="366"/>
      <c r="C10" s="367"/>
      <c r="D10" s="367"/>
      <c r="E10" s="367"/>
      <c r="F10" s="367"/>
      <c r="G10" s="372"/>
    </row>
    <row r="11" spans="1:14" ht="15.9" hidden="1" customHeight="1">
      <c r="A11" s="373" t="s">
        <v>254</v>
      </c>
      <c r="B11" s="374"/>
      <c r="C11" s="375">
        <f>SUM(C13)</f>
        <v>0</v>
      </c>
      <c r="D11" s="375">
        <f>SUM(D13)</f>
        <v>0</v>
      </c>
      <c r="E11" s="375">
        <f>SUM(E13)</f>
        <v>0</v>
      </c>
      <c r="F11" s="375">
        <f>SUM(F13)</f>
        <v>0</v>
      </c>
      <c r="G11" s="376">
        <f>SUM(G13)</f>
        <v>0</v>
      </c>
    </row>
    <row r="12" spans="1:14" ht="15.9" hidden="1" customHeight="1">
      <c r="A12" s="371"/>
      <c r="B12" s="366"/>
      <c r="C12" s="367"/>
      <c r="D12" s="367"/>
      <c r="E12" s="367"/>
      <c r="F12" s="367"/>
      <c r="G12" s="377"/>
    </row>
    <row r="13" spans="1:14" ht="15.9" hidden="1" customHeight="1">
      <c r="A13" s="1222" t="s">
        <v>305</v>
      </c>
      <c r="B13" s="1223"/>
      <c r="C13" s="378">
        <v>0</v>
      </c>
      <c r="D13" s="378">
        <v>0</v>
      </c>
      <c r="E13" s="378">
        <v>0</v>
      </c>
      <c r="F13" s="378">
        <v>0</v>
      </c>
      <c r="G13" s="379">
        <f>SUM(C13:F13)</f>
        <v>0</v>
      </c>
    </row>
    <row r="14" spans="1:14" ht="9.9" customHeight="1">
      <c r="A14" s="371"/>
      <c r="B14" s="366"/>
      <c r="C14" s="367"/>
      <c r="D14" s="367"/>
      <c r="E14" s="367"/>
      <c r="F14" s="367"/>
      <c r="G14" s="377"/>
    </row>
    <row r="15" spans="1:14" ht="15.9" customHeight="1">
      <c r="A15" s="373" t="s">
        <v>272</v>
      </c>
      <c r="B15" s="374"/>
      <c r="C15" s="375">
        <f>+C17+C22</f>
        <v>6424442149.0400009</v>
      </c>
      <c r="D15" s="375">
        <f>+D17+D22</f>
        <v>569125000</v>
      </c>
      <c r="E15" s="375">
        <f>+E17+E22</f>
        <v>5700768720.75</v>
      </c>
      <c r="F15" s="375">
        <f>+F17+F22</f>
        <v>651876000</v>
      </c>
      <c r="G15" s="376">
        <f>SUM(C15:F15)</f>
        <v>13346211869.790001</v>
      </c>
      <c r="J15" s="24">
        <f>+C15</f>
        <v>6424442149.0400009</v>
      </c>
      <c r="K15" s="24">
        <f>+D15</f>
        <v>569125000</v>
      </c>
      <c r="L15" s="24">
        <f>+E15</f>
        <v>5700768720.75</v>
      </c>
      <c r="M15" s="24">
        <f>+F15</f>
        <v>651876000</v>
      </c>
      <c r="N15" s="24">
        <f>SUM(J15:M15)</f>
        <v>13346211869.790001</v>
      </c>
    </row>
    <row r="16" spans="1:14" ht="9.9" customHeight="1">
      <c r="A16" s="380"/>
      <c r="B16" s="108"/>
      <c r="C16" s="378"/>
      <c r="D16" s="378"/>
      <c r="E16" s="378"/>
      <c r="F16" s="378"/>
      <c r="G16" s="381"/>
    </row>
    <row r="17" spans="1:17" ht="15.9" customHeight="1">
      <c r="A17" s="1081" t="s">
        <v>273</v>
      </c>
      <c r="B17" s="108"/>
      <c r="C17" s="335">
        <f>+C18+C19+C20</f>
        <v>2439557000</v>
      </c>
      <c r="D17" s="335">
        <f>+D18+D19+D20</f>
        <v>498199000</v>
      </c>
      <c r="E17" s="335">
        <f>+E18+E19+E20</f>
        <v>4297834000</v>
      </c>
      <c r="F17" s="335">
        <f>+F18+F19+F20</f>
        <v>109410000</v>
      </c>
      <c r="G17" s="382">
        <f>+G18+G19+G20</f>
        <v>7345000000</v>
      </c>
      <c r="H17" s="23"/>
      <c r="I17" s="23"/>
      <c r="J17" s="23">
        <f>+J8-J14</f>
        <v>0</v>
      </c>
      <c r="K17" s="23">
        <f t="shared" ref="K17:N18" si="0">+K8-K14</f>
        <v>0</v>
      </c>
      <c r="L17" s="23">
        <f t="shared" si="0"/>
        <v>0</v>
      </c>
      <c r="M17" s="23">
        <f t="shared" si="0"/>
        <v>0</v>
      </c>
      <c r="N17" s="23">
        <f t="shared" si="0"/>
        <v>0</v>
      </c>
      <c r="Q17" s="24">
        <f>+G17-'CLASIFICACION DE INGRESOS 2025'!G23-'CLASIFICACION DE INGRESOS 2025'!G24</f>
        <v>0</v>
      </c>
    </row>
    <row r="18" spans="1:17" ht="15.9" hidden="1" customHeight="1">
      <c r="A18" s="1081" t="s">
        <v>273</v>
      </c>
      <c r="B18" s="108"/>
      <c r="C18" s="335">
        <f>SUMIFS('Distribución OyA Detalle'!$G:$G,'Distribución OyA Detalle'!$A:$A,1,'Distribución OyA Detalle'!$H:$H,"TRANF. CTES")</f>
        <v>0</v>
      </c>
      <c r="D18" s="335">
        <f>SUMIFS('Distribución OyA Detalle'!$G:$G,'Distribución OyA Detalle'!$A:$A,2,'Distribución OyA Detalle'!$H:$H,"TRANF. CTES")</f>
        <v>0</v>
      </c>
      <c r="E18" s="335">
        <f>SUMIFS('Distribución OyA Detalle'!$G:$G,'Distribución OyA Detalle'!$A:$A,3,'Distribución OyA Detalle'!$H:$H,"TRANF. CTES")</f>
        <v>3200000000</v>
      </c>
      <c r="F18" s="335">
        <f>SUMIFS('Distribución OyA Detalle'!$G:$G,'Distribución OyA Detalle'!$A:$A,4,'Distribución OyA Detalle'!$H:$H,"TRANF. CTES")</f>
        <v>0</v>
      </c>
      <c r="G18" s="382">
        <f>+C18+D18+E18+F18</f>
        <v>3200000000</v>
      </c>
      <c r="H18" s="23"/>
      <c r="I18" s="23"/>
      <c r="J18" s="23">
        <f>+J9-J15</f>
        <v>0</v>
      </c>
      <c r="K18" s="23">
        <f t="shared" si="0"/>
        <v>0</v>
      </c>
      <c r="L18" s="23">
        <f t="shared" si="0"/>
        <v>4567415829.75</v>
      </c>
      <c r="M18" s="23">
        <f t="shared" si="0"/>
        <v>0</v>
      </c>
    </row>
    <row r="19" spans="1:17" ht="15.9" hidden="1" customHeight="1">
      <c r="A19" s="1081" t="s">
        <v>674</v>
      </c>
      <c r="B19" s="108"/>
      <c r="C19" s="335">
        <f>SUMIFS('Distribución OyA Detalle'!$G:$G,'Distribución OyA Detalle'!$A:$A,1,'Distribución OyA Detalle'!$H:$H,"PRIMAS")</f>
        <v>2439557000</v>
      </c>
      <c r="D19" s="335">
        <f>SUMIFS('Distribución OyA Detalle'!$G:$G,'Distribución OyA Detalle'!$A:$A,2,'Distribución OyA Detalle'!$H:$H,"PRIMAS")</f>
        <v>498199000</v>
      </c>
      <c r="E19" s="335">
        <f>SUMIFS('Distribución OyA Detalle'!$G:$G,'Distribución OyA Detalle'!$A:$A,3,'Distribución OyA Detalle'!$H:$H,"PRIMAS")</f>
        <v>697834000</v>
      </c>
      <c r="F19" s="335">
        <f>SUMIFS('Distribución OyA Detalle'!$G:$G,'Distribución OyA Detalle'!$A:$A,4,'Distribución OyA Detalle'!$H:$H,"PRIMAS")</f>
        <v>109410000</v>
      </c>
      <c r="G19" s="382">
        <f>+C19+D19+E19+F19</f>
        <v>3745000000</v>
      </c>
      <c r="H19" s="23"/>
    </row>
    <row r="20" spans="1:17" ht="15.9" hidden="1" customHeight="1">
      <c r="A20" s="1081" t="s">
        <v>708</v>
      </c>
      <c r="B20" s="108"/>
      <c r="C20" s="335">
        <f>SUMIFS('Distribución OyA Detalle'!$G:$G,'Distribución OyA Detalle'!$A:$A,1,'Distribución OyA Detalle'!$H:$H,"TRANF. CTES_1")</f>
        <v>0</v>
      </c>
      <c r="D20" s="335">
        <f>SUMIFS('Distribución OyA Detalle'!$G:$G,'Distribución OyA Detalle'!$A:$A,2,'Distribución OyA Detalle'!$H:$H,"TRANF. CTES_1")</f>
        <v>0</v>
      </c>
      <c r="E20" s="335">
        <f>SUMIFS('Distribución OyA Detalle'!$G:$G,'Distribución OyA Detalle'!$A:$A,3,'Distribución OyA Detalle'!$H:$H,"TRANF. CTES_1")</f>
        <v>400000000</v>
      </c>
      <c r="F20" s="335">
        <f>SUMIFS('Distribución OyA Detalle'!$G:$G,'Distribución OyA Detalle'!$A:$A,4,'Distribución OyA Detalle'!$H:$H,"TRANF. CTES_1")</f>
        <v>0</v>
      </c>
      <c r="G20" s="382">
        <f>+C20+D20+E20+F20</f>
        <v>400000000</v>
      </c>
      <c r="H20" s="383"/>
    </row>
    <row r="21" spans="1:17" ht="15.9" hidden="1" customHeight="1" outlineLevel="1">
      <c r="A21" s="1081" t="s">
        <v>449</v>
      </c>
      <c r="B21" s="366"/>
      <c r="C21" s="335"/>
      <c r="D21" s="335"/>
      <c r="E21" s="335"/>
      <c r="F21" s="335"/>
      <c r="G21" s="379"/>
    </row>
    <row r="22" spans="1:17" ht="15.9" customHeight="1" collapsed="1">
      <c r="A22" s="1081" t="s">
        <v>274</v>
      </c>
      <c r="B22" s="366"/>
      <c r="C22" s="335">
        <f>SUMIFS('Distribución OyA Detalle'!$G:$G,'Distribución OyA Detalle'!$A:$A,1,'Distribución OyA Detalle'!$H:$H,"bccr")</f>
        <v>3984885149.0400014</v>
      </c>
      <c r="D22" s="335">
        <f>SUMIFS('Distribución OyA Detalle'!$G:$G,'Distribución OyA Detalle'!$A:$A,2,'Distribución OyA Detalle'!$H:$H,"BCCR")</f>
        <v>70926000</v>
      </c>
      <c r="E22" s="335">
        <f>SUMIFS('Distribución OyA Detalle'!$G:$G,'Distribución OyA Detalle'!$A:$A,3,'Distribución OyA Detalle'!$H:$H,"BCCR")</f>
        <v>1402934720.75</v>
      </c>
      <c r="F22" s="335">
        <f>SUMIFS('Distribución OyA Detalle'!$G:$G,'Distribución OyA Detalle'!$A:$A,4,'Distribución OyA Detalle'!$H:$H,"BCCR")</f>
        <v>542466000</v>
      </c>
      <c r="G22" s="382">
        <f>+C22+D22+E22+F22</f>
        <v>6001211869.7900009</v>
      </c>
      <c r="H22" s="384"/>
      <c r="I22" s="384"/>
      <c r="J22" s="384"/>
      <c r="K22" s="384"/>
      <c r="L22" s="23"/>
      <c r="O22" s="909"/>
      <c r="Q22" s="24">
        <f>+G22-'CLASIFICACION DE INGRESOS 2025'!G26</f>
        <v>0</v>
      </c>
    </row>
    <row r="23" spans="1:17" ht="15.9" hidden="1" customHeight="1">
      <c r="A23" s="1081" t="s">
        <v>460</v>
      </c>
      <c r="B23" s="366"/>
      <c r="C23" s="378"/>
      <c r="D23" s="378"/>
      <c r="E23" s="378">
        <v>0</v>
      </c>
      <c r="F23" s="378"/>
      <c r="G23" s="379">
        <f>SUM(C23:F23)</f>
        <v>0</v>
      </c>
    </row>
    <row r="24" spans="1:17" ht="15.9" hidden="1" customHeight="1">
      <c r="A24" s="385"/>
      <c r="B24" s="366"/>
      <c r="C24" s="378"/>
      <c r="D24" s="378"/>
      <c r="E24" s="378"/>
      <c r="F24" s="378"/>
      <c r="G24" s="386"/>
    </row>
    <row r="25" spans="1:17" ht="15.9" hidden="1" customHeight="1" outlineLevel="2">
      <c r="A25" s="387" t="s">
        <v>450</v>
      </c>
      <c r="B25" s="388"/>
      <c r="C25" s="389">
        <f>+C27+C30</f>
        <v>0</v>
      </c>
      <c r="D25" s="389">
        <f>+D27+D30</f>
        <v>0</v>
      </c>
      <c r="E25" s="389">
        <f>+E27+E30</f>
        <v>0</v>
      </c>
      <c r="F25" s="389"/>
      <c r="G25" s="390">
        <f>+G27+G30</f>
        <v>0</v>
      </c>
    </row>
    <row r="26" spans="1:17" ht="15.9" hidden="1" customHeight="1" outlineLevel="2">
      <c r="A26" s="380"/>
      <c r="B26" s="108"/>
      <c r="C26" s="391"/>
      <c r="D26" s="391"/>
      <c r="E26" s="391"/>
      <c r="F26" s="391"/>
      <c r="G26" s="392"/>
    </row>
    <row r="27" spans="1:17" ht="15.9" hidden="1" customHeight="1" outlineLevel="2">
      <c r="A27" s="385" t="s">
        <v>451</v>
      </c>
      <c r="B27" s="366"/>
      <c r="C27" s="378"/>
      <c r="D27" s="378">
        <v>0</v>
      </c>
      <c r="E27" s="378">
        <v>0</v>
      </c>
      <c r="F27" s="378"/>
      <c r="G27" s="379">
        <f>SUM(C27:E27)</f>
        <v>0</v>
      </c>
    </row>
    <row r="28" spans="1:17" ht="15.9" hidden="1" customHeight="1" outlineLevel="2">
      <c r="A28" s="385"/>
      <c r="B28" s="366"/>
      <c r="C28" s="378"/>
      <c r="D28" s="378"/>
      <c r="E28" s="378"/>
      <c r="F28" s="378"/>
      <c r="G28" s="392"/>
    </row>
    <row r="29" spans="1:17" ht="15.9" hidden="1" customHeight="1" outlineLevel="1" collapsed="1">
      <c r="A29" s="373" t="s">
        <v>276</v>
      </c>
      <c r="B29" s="374"/>
      <c r="C29" s="375">
        <f>+C31</f>
        <v>0</v>
      </c>
      <c r="D29" s="375">
        <f>+D31</f>
        <v>0</v>
      </c>
      <c r="E29" s="375">
        <f>+E31+E32</f>
        <v>0</v>
      </c>
      <c r="F29" s="375">
        <f>+F31</f>
        <v>0</v>
      </c>
      <c r="G29" s="376">
        <f>+G32+G31</f>
        <v>0</v>
      </c>
    </row>
    <row r="30" spans="1:17" ht="15.9" hidden="1" customHeight="1" outlineLevel="1">
      <c r="A30" s="380"/>
      <c r="B30" s="108"/>
      <c r="C30" s="391"/>
      <c r="D30" s="391"/>
      <c r="E30" s="391"/>
      <c r="F30" s="391"/>
      <c r="G30" s="392"/>
    </row>
    <row r="31" spans="1:17" ht="15.9" hidden="1" customHeight="1" outlineLevel="1">
      <c r="A31" s="385" t="s">
        <v>433</v>
      </c>
      <c r="B31" s="366"/>
      <c r="C31" s="378">
        <v>0</v>
      </c>
      <c r="D31" s="378">
        <v>0</v>
      </c>
      <c r="E31" s="378">
        <v>0</v>
      </c>
      <c r="F31" s="378">
        <v>0</v>
      </c>
      <c r="G31" s="393">
        <f>SUM(C31:F31)</f>
        <v>0</v>
      </c>
    </row>
    <row r="32" spans="1:17" ht="15.9" hidden="1" customHeight="1" outlineLevel="1">
      <c r="A32" s="385" t="s">
        <v>452</v>
      </c>
      <c r="B32" s="366"/>
      <c r="C32" s="378"/>
      <c r="D32" s="378"/>
      <c r="E32" s="378">
        <v>0</v>
      </c>
      <c r="F32" s="378"/>
      <c r="G32" s="393">
        <f>SUM(C32:F32)</f>
        <v>0</v>
      </c>
    </row>
    <row r="33" spans="1:17" ht="9.9" customHeight="1" outlineLevel="1">
      <c r="A33" s="385"/>
      <c r="B33" s="366"/>
      <c r="C33" s="378"/>
      <c r="D33" s="378"/>
      <c r="E33" s="378"/>
      <c r="F33" s="378"/>
      <c r="G33" s="392"/>
      <c r="N33" s="24">
        <f>+N9-N15</f>
        <v>4567415829.75</v>
      </c>
      <c r="O33" s="24">
        <f>+N33-G37</f>
        <v>0</v>
      </c>
    </row>
    <row r="34" spans="1:17" ht="15.9" customHeight="1">
      <c r="A34" s="373" t="s">
        <v>306</v>
      </c>
      <c r="B34" s="374"/>
      <c r="C34" s="375">
        <f>+C36+C37</f>
        <v>0</v>
      </c>
      <c r="D34" s="375">
        <f>+D36+D37</f>
        <v>0</v>
      </c>
      <c r="E34" s="375">
        <f>+E36+E37</f>
        <v>4567415829.75</v>
      </c>
      <c r="F34" s="375">
        <f>+F36+F37</f>
        <v>0</v>
      </c>
      <c r="G34" s="376">
        <f>+G36+G37</f>
        <v>4567415829.75</v>
      </c>
    </row>
    <row r="35" spans="1:17" ht="9.9" customHeight="1" thickBot="1">
      <c r="A35" s="385"/>
      <c r="B35" s="366"/>
      <c r="C35" s="378"/>
      <c r="D35" s="378"/>
      <c r="E35" s="378"/>
      <c r="F35" s="378"/>
      <c r="G35" s="392"/>
    </row>
    <row r="36" spans="1:17" ht="15.9" hidden="1" customHeight="1">
      <c r="A36" s="1222" t="s">
        <v>359</v>
      </c>
      <c r="B36" s="1223"/>
      <c r="C36" s="378">
        <v>0</v>
      </c>
      <c r="D36" s="378">
        <v>0</v>
      </c>
      <c r="E36" s="378">
        <v>0</v>
      </c>
      <c r="F36" s="378">
        <v>0</v>
      </c>
      <c r="G36" s="379">
        <f>SUM(C36:F36)</f>
        <v>0</v>
      </c>
      <c r="H36" s="23"/>
    </row>
    <row r="37" spans="1:17" ht="15.9" customHeight="1" thickBot="1">
      <c r="A37" s="1222" t="s">
        <v>360</v>
      </c>
      <c r="B37" s="1223"/>
      <c r="C37" s="378"/>
      <c r="D37" s="378"/>
      <c r="E37" s="335">
        <f>SUMIFS('Distribución OyA Detalle'!$G:$G,'Distribución OyA Detalle'!$H:$H,"Superávit ",'Distribución OyA Detalle'!$A:$A,3)</f>
        <v>4567415829.75</v>
      </c>
      <c r="F37" s="378"/>
      <c r="G37" s="382">
        <f>SUM(C37:F37)</f>
        <v>4567415829.75</v>
      </c>
      <c r="H37" s="23"/>
      <c r="J37" s="362" t="s">
        <v>61</v>
      </c>
      <c r="K37" s="363" t="s">
        <v>62</v>
      </c>
      <c r="L37" s="363" t="s">
        <v>63</v>
      </c>
      <c r="M37" s="363" t="s">
        <v>304</v>
      </c>
      <c r="Q37" s="24">
        <f>+G37-'CLASIFICACION DE INGRESOS 2025'!G44</f>
        <v>0</v>
      </c>
    </row>
    <row r="38" spans="1:17" ht="9.9" customHeight="1" thickBot="1">
      <c r="A38" s="385"/>
      <c r="B38" s="366"/>
      <c r="C38" s="378"/>
      <c r="D38" s="44"/>
      <c r="E38" s="44"/>
      <c r="F38" s="44"/>
      <c r="G38" s="394"/>
    </row>
    <row r="39" spans="1:17" ht="15.9" customHeight="1" thickBot="1">
      <c r="A39" s="913" t="s">
        <v>275</v>
      </c>
      <c r="B39" s="914"/>
      <c r="C39" s="395">
        <f>+C44+C86+C161+C199+C206+C229</f>
        <v>6424442149.0400019</v>
      </c>
      <c r="D39" s="395">
        <f>+D44+D86+D161+D199+D206+D229</f>
        <v>569125000</v>
      </c>
      <c r="E39" s="395">
        <f>+E44+E86+E161+E199+E206+E229</f>
        <v>10268184550.5</v>
      </c>
      <c r="F39" s="395">
        <f>+F44+F86+F161+F199+F206+F229</f>
        <v>651876000</v>
      </c>
      <c r="G39" s="396">
        <f>+G44+G86+G161+G206+G229+G253+G199</f>
        <v>17913627699.540001</v>
      </c>
      <c r="H39" s="383"/>
      <c r="I39" s="909"/>
      <c r="J39" s="383">
        <f>+C39-EGRESOS!E250</f>
        <v>0</v>
      </c>
      <c r="K39" s="383">
        <f>+D39-EGRESOS!G250</f>
        <v>0</v>
      </c>
      <c r="L39" s="383">
        <f>+E39-EGRESOS!I250</f>
        <v>0</v>
      </c>
      <c r="M39" s="383">
        <f>+F39-EGRESOS!K250</f>
        <v>0</v>
      </c>
      <c r="Q39" s="24">
        <f>+C39-EGRESOS!E250</f>
        <v>0</v>
      </c>
    </row>
    <row r="40" spans="1:17" ht="9.9" customHeight="1" thickBot="1">
      <c r="A40" s="397"/>
      <c r="B40" s="398"/>
      <c r="C40" s="399"/>
      <c r="D40" s="399"/>
      <c r="E40" s="399"/>
      <c r="F40" s="399"/>
      <c r="G40" s="400"/>
      <c r="Q40" s="24">
        <f>+D39-EGRESOS!G250</f>
        <v>0</v>
      </c>
    </row>
    <row r="41" spans="1:17" ht="15.9" customHeight="1" thickBot="1">
      <c r="A41" s="401"/>
      <c r="B41" s="402"/>
      <c r="C41" s="403" t="s">
        <v>61</v>
      </c>
      <c r="D41" s="404" t="s">
        <v>62</v>
      </c>
      <c r="E41" s="404" t="s">
        <v>63</v>
      </c>
      <c r="F41" s="404" t="s">
        <v>304</v>
      </c>
      <c r="G41" s="405" t="s">
        <v>29</v>
      </c>
      <c r="I41" s="3">
        <f>+'Distribución OyA Detalle'!G1059</f>
        <v>0</v>
      </c>
      <c r="Q41" s="24">
        <f>+E39-EGRESOS!I250</f>
        <v>0</v>
      </c>
    </row>
    <row r="42" spans="1:17" ht="15.9" customHeight="1" thickBot="1">
      <c r="A42" s="406" t="s">
        <v>64</v>
      </c>
      <c r="B42" s="407" t="s">
        <v>44</v>
      </c>
      <c r="C42" s="1221"/>
      <c r="D42" s="1221"/>
      <c r="E42" s="1221"/>
      <c r="F42" s="1080"/>
      <c r="G42" s="408"/>
      <c r="I42" s="24">
        <f>+I41-G39</f>
        <v>-17913627699.540001</v>
      </c>
      <c r="Q42" s="24">
        <f>+F39-EGRESOS!K250</f>
        <v>0</v>
      </c>
    </row>
    <row r="43" spans="1:17" ht="15.9" hidden="1" customHeight="1" thickBot="1">
      <c r="A43" s="409"/>
      <c r="B43" s="410"/>
      <c r="C43" s="411"/>
      <c r="D43" s="412"/>
      <c r="E43" s="412"/>
      <c r="F43" s="412"/>
      <c r="G43" s="413"/>
    </row>
    <row r="44" spans="1:17" ht="15.9" customHeight="1" thickBot="1">
      <c r="A44" s="910" t="s">
        <v>65</v>
      </c>
      <c r="B44" s="415" t="s">
        <v>50</v>
      </c>
      <c r="C44" s="416">
        <f>C47+C53+C59+C68+C76+C82</f>
        <v>2441676180.0799999</v>
      </c>
      <c r="D44" s="416">
        <f>D47+D53+D59+D68+D76+D82</f>
        <v>498199000</v>
      </c>
      <c r="E44" s="416">
        <f>E47+E53+E59+E68+E76+E82</f>
        <v>7109665184</v>
      </c>
      <c r="F44" s="416">
        <f>F47+F53+F59+F68+F76+F82</f>
        <v>421786000</v>
      </c>
      <c r="G44" s="417">
        <f>G47+G53+G59+G68+G76+G82</f>
        <v>10471326364.08</v>
      </c>
      <c r="H44" s="909">
        <f>+G44/1000000</f>
        <v>10471.32636408</v>
      </c>
      <c r="Q44" s="24" t="s">
        <v>325</v>
      </c>
    </row>
    <row r="45" spans="1:17" ht="15.9" hidden="1" customHeight="1" outlineLevel="1">
      <c r="A45" s="418"/>
      <c r="B45" s="419" t="s">
        <v>332</v>
      </c>
      <c r="C45" s="420">
        <f>C49+C50+C55+C61+C62+C63+C64+C65</f>
        <v>1942735000</v>
      </c>
      <c r="D45" s="420">
        <f>D49+D50+D55+D61+D62+D63+D64+D65</f>
        <v>399768000</v>
      </c>
      <c r="E45" s="420">
        <f>E49+E50+E55+E61+E62+E63+E64+E65</f>
        <v>5704998184</v>
      </c>
      <c r="F45" s="420">
        <f>F49+F50+F55+F61+F62+F63+F64+F65</f>
        <v>338458000</v>
      </c>
      <c r="G45" s="421">
        <f>G49+G50+G55+G61+G62+G63+G64+G65</f>
        <v>8385959184</v>
      </c>
    </row>
    <row r="46" spans="1:17" ht="9.9" customHeight="1" collapsed="1">
      <c r="A46" s="422"/>
      <c r="B46" s="423"/>
      <c r="C46" s="424"/>
      <c r="D46" s="424"/>
      <c r="E46" s="424"/>
      <c r="F46" s="424"/>
      <c r="G46" s="425"/>
    </row>
    <row r="47" spans="1:17" ht="15.9" customHeight="1">
      <c r="A47" s="426" t="s">
        <v>285</v>
      </c>
      <c r="B47" s="427" t="s">
        <v>66</v>
      </c>
      <c r="C47" s="428">
        <f>SUM(C49:C51)</f>
        <v>1186335000</v>
      </c>
      <c r="D47" s="338">
        <f>SUM(D49:D51)</f>
        <v>237020000</v>
      </c>
      <c r="E47" s="338">
        <f>SUM(E49:E51)</f>
        <v>4152586184</v>
      </c>
      <c r="F47" s="338">
        <f>SUM(F49:F51)</f>
        <v>193422000</v>
      </c>
      <c r="G47" s="429">
        <f>SUM(G49:G51)</f>
        <v>5769363184</v>
      </c>
      <c r="H47" s="23"/>
    </row>
    <row r="48" spans="1:17" ht="9.9" customHeight="1">
      <c r="A48" s="430"/>
      <c r="B48" s="423"/>
      <c r="C48" s="424"/>
      <c r="D48" s="424"/>
      <c r="E48" s="424"/>
      <c r="F48" s="424"/>
      <c r="G48" s="425"/>
      <c r="H48" s="23"/>
    </row>
    <row r="49" spans="1:8" ht="15.9" customHeight="1">
      <c r="A49" s="431" t="s">
        <v>67</v>
      </c>
      <c r="B49" s="432" t="s">
        <v>725</v>
      </c>
      <c r="C49" s="829">
        <f>SUMIFS('Distribución OyA Detalle'!$G:$G,'Distribución OyA Detalle'!$D:$D,$A49,'Distribución OyA Detalle'!$A:$A,1)</f>
        <v>1181335000</v>
      </c>
      <c r="D49" s="829">
        <f>SUMIFS('Distribución OyA Detalle'!$G:$G,'Distribución OyA Detalle'!$D:$D,$A49,'Distribución OyA Detalle'!$A:$A,2)</f>
        <v>237020000</v>
      </c>
      <c r="E49" s="829">
        <f>SUMIFS('Distribución OyA Detalle'!$G:$G,'Distribución OyA Detalle'!$D:$D,$A49,'Distribución OyA Detalle'!$A:$A,3)</f>
        <v>1908969784</v>
      </c>
      <c r="F49" s="829">
        <f>SUMIFS('Distribución OyA Detalle'!$G:$G,'Distribución OyA Detalle'!$D:$D,$A49,'Distribución OyA Detalle'!$A:$A,4)</f>
        <v>193422000</v>
      </c>
      <c r="G49" s="918">
        <f>+C49+D49+E49+F49</f>
        <v>3520746784</v>
      </c>
      <c r="H49" s="23"/>
    </row>
    <row r="50" spans="1:8" ht="15.9" customHeight="1">
      <c r="A50" s="431" t="s">
        <v>68</v>
      </c>
      <c r="B50" s="432" t="s">
        <v>367</v>
      </c>
      <c r="C50" s="829">
        <f>SUMIFS('Distribución OyA Detalle'!$G:$G,'Distribución OyA Detalle'!$D:$D,$A50,'Distribución OyA Detalle'!$A:$A,1)</f>
        <v>0</v>
      </c>
      <c r="D50" s="829">
        <f>SUMIFS('Distribución OyA Detalle'!$G:$G,'Distribución OyA Detalle'!$D:$D,$A50,'Distribución OyA Detalle'!$A:$A,2)</f>
        <v>0</v>
      </c>
      <c r="E50" s="829">
        <f>SUMIFS('Distribución OyA Detalle'!$G:$G,'Distribución OyA Detalle'!$D:$D,$A50,'Distribución OyA Detalle'!$A:$A,3)</f>
        <v>2243616400</v>
      </c>
      <c r="F50" s="829">
        <f>SUMIFS('Distribución OyA Detalle'!$G:$G,'Distribución OyA Detalle'!$D:$D,$A50,'Distribución OyA Detalle'!$A:$A,4)</f>
        <v>0</v>
      </c>
      <c r="G50" s="918">
        <f>+C50+D50+E50+F50</f>
        <v>2243616400</v>
      </c>
      <c r="H50" s="23"/>
    </row>
    <row r="51" spans="1:8" ht="15.9" customHeight="1">
      <c r="A51" s="431" t="s">
        <v>333</v>
      </c>
      <c r="B51" s="432" t="s">
        <v>319</v>
      </c>
      <c r="C51" s="829">
        <f>SUMIFS('Distribución OyA Detalle'!$G:$G,'Distribución OyA Detalle'!$D:$D,$A51,'Distribución OyA Detalle'!$A:$A,1)</f>
        <v>5000000</v>
      </c>
      <c r="D51" s="829">
        <f>SUMIFS('Distribución OyA Detalle'!$G:$G,'Distribución OyA Detalle'!$D:$D,$A51,'Distribución OyA Detalle'!$A:$A,2)</f>
        <v>0</v>
      </c>
      <c r="E51" s="829">
        <f>SUMIFS('Distribución OyA Detalle'!$G:$G,'Distribución OyA Detalle'!$D:$D,$A51,'Distribución OyA Detalle'!$A:$A,3)</f>
        <v>0</v>
      </c>
      <c r="F51" s="829">
        <f>SUMIFS('Distribución OyA Detalle'!$G:$G,'Distribución OyA Detalle'!$D:$D,$A51,'Distribución OyA Detalle'!$A:$A,4)</f>
        <v>0</v>
      </c>
      <c r="G51" s="918">
        <f>+C51+D51+E51+F51</f>
        <v>5000000</v>
      </c>
      <c r="H51" s="23"/>
    </row>
    <row r="52" spans="1:8" ht="9.9" customHeight="1">
      <c r="A52" s="435"/>
      <c r="B52" s="436"/>
      <c r="C52" s="437"/>
      <c r="D52" s="437"/>
      <c r="E52" s="437"/>
      <c r="F52" s="437"/>
      <c r="G52" s="438"/>
      <c r="H52" s="23"/>
    </row>
    <row r="53" spans="1:8" ht="15.9" customHeight="1">
      <c r="A53" s="426" t="s">
        <v>69</v>
      </c>
      <c r="B53" s="427" t="s">
        <v>70</v>
      </c>
      <c r="C53" s="428">
        <f>SUM(C55:C57)</f>
        <v>24481180.079999998</v>
      </c>
      <c r="D53" s="428">
        <f>SUM(D55:D57)</f>
        <v>718000</v>
      </c>
      <c r="E53" s="428">
        <f>SUM(E55:E57)</f>
        <v>188175000</v>
      </c>
      <c r="F53" s="428">
        <f>SUM(F55:F57)</f>
        <v>1728000</v>
      </c>
      <c r="G53" s="429">
        <f>SUM(G55:G57)</f>
        <v>215102180.08000001</v>
      </c>
      <c r="H53" s="23"/>
    </row>
    <row r="54" spans="1:8" ht="9.9" customHeight="1">
      <c r="A54" s="430"/>
      <c r="B54" s="423"/>
      <c r="C54" s="424"/>
      <c r="D54" s="424"/>
      <c r="E54" s="424"/>
      <c r="F54" s="424"/>
      <c r="G54" s="425"/>
      <c r="H54" s="23"/>
    </row>
    <row r="55" spans="1:8" ht="15.9" customHeight="1">
      <c r="A55" s="431" t="s">
        <v>71</v>
      </c>
      <c r="B55" s="432" t="s">
        <v>33</v>
      </c>
      <c r="C55" s="829">
        <f>SUMIFS('Distribución OyA Detalle'!$G:$G,'Distribución OyA Detalle'!$D:$D,$A55,'Distribución OyA Detalle'!$A:$A,1)</f>
        <v>8862000</v>
      </c>
      <c r="D55" s="829">
        <f>SUMIFS('Distribución OyA Detalle'!$G:$G,'Distribución OyA Detalle'!$D:$D,$A55,'Distribución OyA Detalle'!$A:$A,2)</f>
        <v>718000</v>
      </c>
      <c r="E55" s="829">
        <f>SUMIFS('Distribución OyA Detalle'!$G:$G,'Distribución OyA Detalle'!$D:$D,$A55,'Distribución OyA Detalle'!$A:$A,3)</f>
        <v>188175000</v>
      </c>
      <c r="F55" s="829">
        <f>SUMIFS('Distribución OyA Detalle'!$G:$G,'Distribución OyA Detalle'!$D:$D,$A55,'Distribución OyA Detalle'!$A:$A,4)</f>
        <v>1728000</v>
      </c>
      <c r="G55" s="918">
        <f>+C55+D55+E55+F55</f>
        <v>199483000</v>
      </c>
      <c r="H55" s="23"/>
    </row>
    <row r="56" spans="1:8" ht="15.9" customHeight="1">
      <c r="A56" s="431" t="s">
        <v>477</v>
      </c>
      <c r="B56" s="432" t="s">
        <v>478</v>
      </c>
      <c r="C56" s="829">
        <f>SUMIFS('Distribución OyA Detalle'!$G:$G,'Distribución OyA Detalle'!$D:$D,$A56,'Distribución OyA Detalle'!$A:$A,1)</f>
        <v>2119180.08</v>
      </c>
      <c r="D56" s="829">
        <f>SUMIFS('Distribución OyA Detalle'!$G:$G,'Distribución OyA Detalle'!$D:$D,$A56,'Distribución OyA Detalle'!$A:$A,2)</f>
        <v>0</v>
      </c>
      <c r="E56" s="829">
        <f>SUMIFS('Distribución OyA Detalle'!$G:$G,'Distribución OyA Detalle'!$D:$D,$A56,'Distribución OyA Detalle'!$A:$A,3)</f>
        <v>0</v>
      </c>
      <c r="F56" s="829">
        <f>SUMIFS('Distribución OyA Detalle'!$G:$G,'Distribución OyA Detalle'!$D:$D,$A56,'Distribución OyA Detalle'!$A:$A,4)</f>
        <v>0</v>
      </c>
      <c r="G56" s="918">
        <f>+C56+D56+E56+F56</f>
        <v>2119180.08</v>
      </c>
      <c r="H56" s="23"/>
    </row>
    <row r="57" spans="1:8" ht="15.9" customHeight="1">
      <c r="A57" s="439" t="s">
        <v>72</v>
      </c>
      <c r="B57" s="440" t="s">
        <v>17</v>
      </c>
      <c r="C57" s="829">
        <f>SUMIFS('Distribución OyA Detalle'!$G:$G,'Distribución OyA Detalle'!$D:$D,$A57,'Distribución OyA Detalle'!$A:$A,1)</f>
        <v>13500000</v>
      </c>
      <c r="D57" s="829">
        <f>SUMIFS('Distribución OyA Detalle'!$G:$G,'Distribución OyA Detalle'!$D:$D,$A57,'Distribución OyA Detalle'!$A:$A,2)</f>
        <v>0</v>
      </c>
      <c r="E57" s="829">
        <f>SUMIFS('Distribución OyA Detalle'!$G:$G,'Distribución OyA Detalle'!$D:$D,$A57,'Distribución OyA Detalle'!$A:$A,3)</f>
        <v>0</v>
      </c>
      <c r="F57" s="829">
        <f>SUMIFS('Distribución OyA Detalle'!$G:$G,'Distribución OyA Detalle'!$D:$D,$A57,'Distribución OyA Detalle'!$A:$A,4)</f>
        <v>0</v>
      </c>
      <c r="G57" s="918">
        <f>+C57+D57+E57+F57</f>
        <v>13500000</v>
      </c>
      <c r="H57" s="23"/>
    </row>
    <row r="58" spans="1:8" ht="9.9" customHeight="1">
      <c r="A58" s="441"/>
      <c r="B58" s="442"/>
      <c r="C58" s="443"/>
      <c r="D58" s="443"/>
      <c r="E58" s="443"/>
      <c r="F58" s="443"/>
      <c r="G58" s="444"/>
      <c r="H58" s="23"/>
    </row>
    <row r="59" spans="1:8" ht="15.9" customHeight="1">
      <c r="A59" s="426" t="s">
        <v>73</v>
      </c>
      <c r="B59" s="427" t="s">
        <v>74</v>
      </c>
      <c r="C59" s="428">
        <f>SUM(C61:C65)</f>
        <v>752538000</v>
      </c>
      <c r="D59" s="428">
        <f>SUM(D61:D65)</f>
        <v>162030000</v>
      </c>
      <c r="E59" s="338">
        <f>SUM(E61:E65)</f>
        <v>1364237000</v>
      </c>
      <c r="F59" s="338">
        <f>SUM(F61:F65)</f>
        <v>143308000</v>
      </c>
      <c r="G59" s="429">
        <f>SUM(G61:G65)</f>
        <v>2422113000</v>
      </c>
      <c r="H59" s="23"/>
    </row>
    <row r="60" spans="1:8" ht="9.9" customHeight="1">
      <c r="A60" s="430"/>
      <c r="B60" s="423"/>
      <c r="C60" s="424"/>
      <c r="D60" s="424"/>
      <c r="E60" s="424"/>
      <c r="F60" s="445"/>
      <c r="G60" s="446"/>
      <c r="H60" s="23"/>
    </row>
    <row r="61" spans="1:8" ht="15.9" customHeight="1">
      <c r="A61" s="431" t="s">
        <v>75</v>
      </c>
      <c r="B61" s="432" t="s">
        <v>368</v>
      </c>
      <c r="C61" s="829">
        <f>SUMIFS('Distribución OyA Detalle'!$G:$G,'Distribución OyA Detalle'!$D:$D,$A61,'Distribución OyA Detalle'!$A:$A,1)</f>
        <v>187667000</v>
      </c>
      <c r="D61" s="829">
        <f>SUMIFS('Distribución OyA Detalle'!$G:$G,'Distribución OyA Detalle'!$D:$D,$A61,'Distribución OyA Detalle'!$A:$A,2)</f>
        <v>36608000</v>
      </c>
      <c r="E61" s="829">
        <f>SUMIFS('Distribución OyA Detalle'!$G:$G,'Distribución OyA Detalle'!$D:$D,$A61,'Distribución OyA Detalle'!$A:$A,3)</f>
        <v>263217000</v>
      </c>
      <c r="F61" s="829">
        <f>SUMIFS('Distribución OyA Detalle'!$G:$G,'Distribución OyA Detalle'!$D:$D,$A61,'Distribución OyA Detalle'!$A:$A,4)</f>
        <v>44201000</v>
      </c>
      <c r="G61" s="918">
        <f>+C61+D61+E61+F61</f>
        <v>531693000</v>
      </c>
      <c r="H61" s="23"/>
    </row>
    <row r="62" spans="1:8" ht="15.9" customHeight="1">
      <c r="A62" s="431" t="s">
        <v>76</v>
      </c>
      <c r="B62" s="432" t="s">
        <v>369</v>
      </c>
      <c r="C62" s="829">
        <f>SUMIFS('Distribución OyA Detalle'!$G:$G,'Distribución OyA Detalle'!$D:$D,$A62,'Distribución OyA Detalle'!$A:$A,1)</f>
        <v>223390000</v>
      </c>
      <c r="D62" s="829">
        <f>SUMIFS('Distribución OyA Detalle'!$G:$G,'Distribución OyA Detalle'!$D:$D,$A62,'Distribución OyA Detalle'!$A:$A,2)</f>
        <v>52035000</v>
      </c>
      <c r="E62" s="829">
        <f>SUMIFS('Distribución OyA Detalle'!$G:$G,'Distribución OyA Detalle'!$D:$D,$A62,'Distribución OyA Detalle'!$A:$A,3)</f>
        <v>202137000</v>
      </c>
      <c r="F62" s="829">
        <f>SUMIFS('Distribución OyA Detalle'!$G:$G,'Distribución OyA Detalle'!$D:$D,$A62,'Distribución OyA Detalle'!$A:$A,4)</f>
        <v>38279000</v>
      </c>
      <c r="G62" s="918">
        <f>+C62+D62+E62+F62</f>
        <v>515841000</v>
      </c>
      <c r="H62" s="23"/>
    </row>
    <row r="63" spans="1:8" ht="15.9" customHeight="1">
      <c r="A63" s="431" t="s">
        <v>77</v>
      </c>
      <c r="B63" s="432" t="s">
        <v>14</v>
      </c>
      <c r="C63" s="829">
        <f>SUMIFS('Distribución OyA Detalle'!$G:$G,'Distribución OyA Detalle'!$D:$D,$A63,'Distribución OyA Detalle'!$A:$A,1)</f>
        <v>149252000</v>
      </c>
      <c r="D63" s="829">
        <f>SUMIFS('Distribución OyA Detalle'!$G:$G,'Distribución OyA Detalle'!$D:$D,$A63,'Distribución OyA Detalle'!$A:$A,2)</f>
        <v>30697000</v>
      </c>
      <c r="E63" s="829">
        <f>SUMIFS('Distribución OyA Detalle'!$G:$G,'Distribución OyA Detalle'!$D:$D,$A63,'Distribución OyA Detalle'!$A:$A,3)</f>
        <v>438158000</v>
      </c>
      <c r="F63" s="829">
        <f>SUMIFS('Distribución OyA Detalle'!$G:$G,'Distribución OyA Detalle'!$D:$D,$A63,'Distribución OyA Detalle'!$A:$A,4)</f>
        <v>26008000</v>
      </c>
      <c r="G63" s="918">
        <f>+C63+D63+E63+F63</f>
        <v>644115000</v>
      </c>
      <c r="H63" s="23"/>
    </row>
    <row r="64" spans="1:8" ht="15.9" customHeight="1">
      <c r="A64" s="431" t="s">
        <v>78</v>
      </c>
      <c r="B64" s="432" t="s">
        <v>370</v>
      </c>
      <c r="C64" s="829">
        <f>SUMIFS('Distribución OyA Detalle'!$G:$G,'Distribución OyA Detalle'!$D:$D,$A64,'Distribución OyA Detalle'!$A:$A,1)</f>
        <v>140186000</v>
      </c>
      <c r="D64" s="829">
        <f>SUMIFS('Distribución OyA Detalle'!$G:$G,'Distribución OyA Detalle'!$D:$D,$A64,'Distribución OyA Detalle'!$A:$A,2)</f>
        <v>29034000</v>
      </c>
      <c r="E64" s="829">
        <f>SUMIFS('Distribución OyA Detalle'!$G:$G,'Distribución OyA Detalle'!$D:$D,$A64,'Distribución OyA Detalle'!$A:$A,3)</f>
        <v>413264000</v>
      </c>
      <c r="F64" s="829">
        <f>SUMIFS('Distribución OyA Detalle'!$G:$G,'Distribución OyA Detalle'!$D:$D,$A64,'Distribución OyA Detalle'!$A:$A,4)</f>
        <v>24359000</v>
      </c>
      <c r="G64" s="918">
        <f>+C64+D64+E64+F64</f>
        <v>606843000</v>
      </c>
      <c r="H64" s="23"/>
    </row>
    <row r="65" spans="1:8" ht="15.9" customHeight="1">
      <c r="A65" s="431" t="s">
        <v>79</v>
      </c>
      <c r="B65" s="432" t="s">
        <v>80</v>
      </c>
      <c r="C65" s="829">
        <f>SUMIFS('Distribución OyA Detalle'!$G:$G,'Distribución OyA Detalle'!$D:$D,$A65,'Distribución OyA Detalle'!$A:$A,1)</f>
        <v>52043000</v>
      </c>
      <c r="D65" s="829">
        <f>SUMIFS('Distribución OyA Detalle'!$G:$G,'Distribución OyA Detalle'!$D:$D,$A65,'Distribución OyA Detalle'!$A:$A,2)</f>
        <v>13656000</v>
      </c>
      <c r="E65" s="829">
        <f>SUMIFS('Distribución OyA Detalle'!$G:$G,'Distribución OyA Detalle'!$D:$D,$A65,'Distribución OyA Detalle'!$A:$A,3)</f>
        <v>47461000</v>
      </c>
      <c r="F65" s="829">
        <f>SUMIFS('Distribución OyA Detalle'!$G:$G,'Distribución OyA Detalle'!$D:$D,$A65,'Distribución OyA Detalle'!$A:$A,4)</f>
        <v>10461000</v>
      </c>
      <c r="G65" s="918">
        <f>+C65+D65+E65+F65</f>
        <v>123621000</v>
      </c>
      <c r="H65" s="23"/>
    </row>
    <row r="66" spans="1:8" ht="9.9" customHeight="1">
      <c r="A66" s="435"/>
      <c r="B66" s="436"/>
      <c r="C66" s="437"/>
      <c r="D66" s="437"/>
      <c r="E66" s="437"/>
      <c r="F66" s="437"/>
      <c r="G66" s="438"/>
      <c r="H66" s="23"/>
    </row>
    <row r="67" spans="1:8" ht="15.9" hidden="1" customHeight="1" outlineLevel="1">
      <c r="A67" s="418"/>
      <c r="B67" s="419" t="s">
        <v>334</v>
      </c>
      <c r="C67" s="420">
        <f>C70+C71+C72+C73+C74+C79+C80</f>
        <v>381114000</v>
      </c>
      <c r="D67" s="420">
        <f>D70+D71+D72+D73+D74+D79+D80</f>
        <v>78427000</v>
      </c>
      <c r="E67" s="420">
        <f>E70+E71+E72+E73+E74+E79+E80</f>
        <v>1119207000</v>
      </c>
      <c r="F67" s="420">
        <f>F70+F71+F72+F73+F74+F79+F80</f>
        <v>66395000</v>
      </c>
      <c r="G67" s="421">
        <f>G70+G71+G72+G73+G74+G79+G80</f>
        <v>1645143000</v>
      </c>
      <c r="H67" s="23"/>
    </row>
    <row r="68" spans="1:8" ht="15.9" customHeight="1" collapsed="1">
      <c r="A68" s="426" t="s">
        <v>81</v>
      </c>
      <c r="B68" s="427" t="s">
        <v>1358</v>
      </c>
      <c r="C68" s="428">
        <f>SUM(C70:C74)</f>
        <v>300407000</v>
      </c>
      <c r="D68" s="428">
        <f>SUM(D70:D74)</f>
        <v>61819000</v>
      </c>
      <c r="E68" s="338">
        <f>SUM(E70:E74)</f>
        <v>882199000</v>
      </c>
      <c r="F68" s="338">
        <f>SUM(F70:F74)</f>
        <v>52335000</v>
      </c>
      <c r="G68" s="429">
        <f>SUM(G70:G74)</f>
        <v>1296760000</v>
      </c>
      <c r="H68" s="23"/>
    </row>
    <row r="69" spans="1:8" ht="9.9" customHeight="1">
      <c r="A69" s="430"/>
      <c r="B69" s="423"/>
      <c r="C69" s="424"/>
      <c r="D69" s="424"/>
      <c r="E69" s="424"/>
      <c r="F69" s="424"/>
      <c r="G69" s="425"/>
      <c r="H69" s="23"/>
    </row>
    <row r="70" spans="1:8" ht="15.9" customHeight="1">
      <c r="A70" s="447" t="s">
        <v>82</v>
      </c>
      <c r="B70" s="432" t="s">
        <v>730</v>
      </c>
      <c r="C70" s="829">
        <f>SUMIFS('Distribución OyA Detalle'!$G:$G,'Distribución OyA Detalle'!$D:$D,$A70,'Distribución OyA Detalle'!$A:$A,1)</f>
        <v>165897000</v>
      </c>
      <c r="D70" s="829">
        <f>SUMIFS('Distribución OyA Detalle'!$G:$G,'Distribución OyA Detalle'!$D:$D,$A70,'Distribución OyA Detalle'!$A:$A,2)</f>
        <v>34139000</v>
      </c>
      <c r="E70" s="829">
        <f>SUMIFS('Distribución OyA Detalle'!$G:$G,'Distribución OyA Detalle'!$D:$D,$A70,'Distribución OyA Detalle'!$A:$A,3)</f>
        <v>487183000</v>
      </c>
      <c r="F70" s="829">
        <f>SUMIFS('Distribución OyA Detalle'!$G:$G,'Distribución OyA Detalle'!$D:$D,$A70,'Distribución OyA Detalle'!$A:$A,4)</f>
        <v>28902000</v>
      </c>
      <c r="G70" s="918">
        <f>+C70+D70+E70+F70</f>
        <v>716121000</v>
      </c>
      <c r="H70" s="23"/>
    </row>
    <row r="71" spans="1:8" ht="15.9" customHeight="1">
      <c r="A71" s="447" t="s">
        <v>83</v>
      </c>
      <c r="B71" s="432" t="s">
        <v>372</v>
      </c>
      <c r="C71" s="829">
        <f>SUMIFS('Distribución OyA Detalle'!$G:$G,'Distribución OyA Detalle'!$D:$D,$A71,'Distribución OyA Detalle'!$A:$A,1)</f>
        <v>8967000</v>
      </c>
      <c r="D71" s="829">
        <f>SUMIFS('Distribución OyA Detalle'!$G:$G,'Distribución OyA Detalle'!$D:$D,$A71,'Distribución OyA Detalle'!$A:$A,2)</f>
        <v>1845000</v>
      </c>
      <c r="E71" s="829">
        <f>SUMIFS('Distribución OyA Detalle'!$G:$G,'Distribución OyA Detalle'!$D:$D,$A71,'Distribución OyA Detalle'!$A:$A,3)</f>
        <v>26335000</v>
      </c>
      <c r="F71" s="829">
        <f>SUMIFS('Distribución OyA Detalle'!$G:$G,'Distribución OyA Detalle'!$D:$D,$A71,'Distribución OyA Detalle'!$A:$A,4)</f>
        <v>1562000</v>
      </c>
      <c r="G71" s="918">
        <f>+C71+D71+E71+F71</f>
        <v>38709000</v>
      </c>
      <c r="H71" s="23"/>
    </row>
    <row r="72" spans="1:8" ht="15.9" customHeight="1">
      <c r="A72" s="447" t="s">
        <v>84</v>
      </c>
      <c r="B72" s="432" t="s">
        <v>373</v>
      </c>
      <c r="C72" s="829">
        <f>SUMIFS('Distribución OyA Detalle'!$G:$G,'Distribución OyA Detalle'!$D:$D,$A72,'Distribución OyA Detalle'!$A:$A,1)</f>
        <v>26902000</v>
      </c>
      <c r="D72" s="829">
        <f>SUMIFS('Distribución OyA Detalle'!$G:$G,'Distribución OyA Detalle'!$D:$D,$A72,'Distribución OyA Detalle'!$A:$A,2)</f>
        <v>5536000</v>
      </c>
      <c r="E72" s="829">
        <f>SUMIFS('Distribución OyA Detalle'!$G:$G,'Distribución OyA Detalle'!$D:$D,$A72,'Distribución OyA Detalle'!$A:$A,3)</f>
        <v>79001000</v>
      </c>
      <c r="F72" s="829">
        <f>SUMIFS('Distribución OyA Detalle'!$G:$G,'Distribución OyA Detalle'!$D:$D,$A72,'Distribución OyA Detalle'!$A:$A,4)</f>
        <v>4687000</v>
      </c>
      <c r="G72" s="918">
        <f>+C72+D72+E72+F72</f>
        <v>116126000</v>
      </c>
      <c r="H72" s="23"/>
    </row>
    <row r="73" spans="1:8" ht="15.9" customHeight="1">
      <c r="A73" s="447" t="s">
        <v>85</v>
      </c>
      <c r="B73" s="432" t="s">
        <v>499</v>
      </c>
      <c r="C73" s="829">
        <f>SUMIFS('Distribución OyA Detalle'!$G:$G,'Distribución OyA Detalle'!$D:$D,$A73,'Distribución OyA Detalle'!$A:$A,1)</f>
        <v>89674000</v>
      </c>
      <c r="D73" s="829">
        <f>SUMIFS('Distribución OyA Detalle'!$G:$G,'Distribución OyA Detalle'!$D:$D,$A73,'Distribución OyA Detalle'!$A:$A,2)</f>
        <v>18454000</v>
      </c>
      <c r="E73" s="829">
        <f>SUMIFS('Distribución OyA Detalle'!$G:$G,'Distribución OyA Detalle'!$D:$D,$A73,'Distribución OyA Detalle'!$A:$A,3)</f>
        <v>263345000</v>
      </c>
      <c r="F73" s="829">
        <f>SUMIFS('Distribución OyA Detalle'!$G:$G,'Distribución OyA Detalle'!$D:$D,$A73,'Distribución OyA Detalle'!$A:$A,4)</f>
        <v>15622000</v>
      </c>
      <c r="G73" s="918">
        <f>+C73+D73+E73+F73</f>
        <v>387095000</v>
      </c>
      <c r="H73" s="23"/>
    </row>
    <row r="74" spans="1:8" ht="15.9" customHeight="1">
      <c r="A74" s="447" t="s">
        <v>86</v>
      </c>
      <c r="B74" s="432" t="s">
        <v>731</v>
      </c>
      <c r="C74" s="829">
        <f>SUMIFS('Distribución OyA Detalle'!$G:$G,'Distribución OyA Detalle'!$D:$D,$A74,'Distribución OyA Detalle'!$A:$A,1)</f>
        <v>8967000</v>
      </c>
      <c r="D74" s="829">
        <f>SUMIFS('Distribución OyA Detalle'!$G:$G,'Distribución OyA Detalle'!$D:$D,$A74,'Distribución OyA Detalle'!$A:$A,2)</f>
        <v>1845000</v>
      </c>
      <c r="E74" s="829">
        <f>SUMIFS('Distribución OyA Detalle'!$G:$G,'Distribución OyA Detalle'!$D:$D,$A74,'Distribución OyA Detalle'!$A:$A,3)</f>
        <v>26335000</v>
      </c>
      <c r="F74" s="829">
        <f>SUMIFS('Distribución OyA Detalle'!$G:$G,'Distribución OyA Detalle'!$D:$D,$A74,'Distribución OyA Detalle'!$A:$A,4)</f>
        <v>1562000</v>
      </c>
      <c r="G74" s="918">
        <f>+C74+D74+E74+F74</f>
        <v>38709000</v>
      </c>
      <c r="H74" s="23"/>
    </row>
    <row r="75" spans="1:8" ht="7.95" customHeight="1">
      <c r="A75" s="448"/>
      <c r="B75" s="436"/>
      <c r="C75" s="433"/>
      <c r="D75" s="433"/>
      <c r="E75" s="433"/>
      <c r="F75" s="433"/>
      <c r="G75" s="438"/>
      <c r="H75" s="23"/>
    </row>
    <row r="76" spans="1:8" ht="15.9" customHeight="1">
      <c r="A76" s="426" t="s">
        <v>87</v>
      </c>
      <c r="B76" s="449" t="s">
        <v>1359</v>
      </c>
      <c r="C76" s="428">
        <f>SUM(C78:C80)</f>
        <v>177915000</v>
      </c>
      <c r="D76" s="428">
        <f>SUM(D78:D80)</f>
        <v>36612000</v>
      </c>
      <c r="E76" s="428">
        <f>SUM(E78:E80)</f>
        <v>522468000</v>
      </c>
      <c r="F76" s="428">
        <f>SUM(F78:F80)</f>
        <v>30993000</v>
      </c>
      <c r="G76" s="429">
        <f>SUM(G78:G80)</f>
        <v>767988000</v>
      </c>
      <c r="H76" s="23"/>
    </row>
    <row r="77" spans="1:8" ht="7.95" customHeight="1">
      <c r="A77" s="430"/>
      <c r="B77" s="423"/>
      <c r="C77" s="424"/>
      <c r="D77" s="424"/>
      <c r="E77" s="424"/>
      <c r="F77" s="424"/>
      <c r="G77" s="425"/>
      <c r="H77" s="23"/>
    </row>
    <row r="78" spans="1:8" ht="15.9" customHeight="1">
      <c r="A78" s="447" t="s">
        <v>425</v>
      </c>
      <c r="B78" s="436" t="s">
        <v>733</v>
      </c>
      <c r="C78" s="829">
        <f>SUMIFS('Distribución OyA Detalle'!$G:$G,'Distribución OyA Detalle'!$D:$D,$A78,'Distribución OyA Detalle'!$A:$A,1)</f>
        <v>97208000</v>
      </c>
      <c r="D78" s="829">
        <f>SUMIFS('Distribución OyA Detalle'!$G:$G,'Distribución OyA Detalle'!$D:$D,$A78,'Distribución OyA Detalle'!$A:$A,2)</f>
        <v>20004000</v>
      </c>
      <c r="E78" s="829">
        <f>SUMIFS('Distribución OyA Detalle'!$G:$G,'Distribución OyA Detalle'!$D:$D,$A78,'Distribución OyA Detalle'!$A:$A,3)</f>
        <v>285460000</v>
      </c>
      <c r="F78" s="829">
        <f>SUMIFS('Distribución OyA Detalle'!$G:$G,'Distribución OyA Detalle'!$D:$D,$A78,'Distribución OyA Detalle'!$A:$A,4)</f>
        <v>16933000</v>
      </c>
      <c r="G78" s="918">
        <f>+C78+D78+E78+F78</f>
        <v>419605000</v>
      </c>
      <c r="H78" s="23"/>
    </row>
    <row r="79" spans="1:8" ht="15.9" customHeight="1">
      <c r="A79" s="447" t="s">
        <v>89</v>
      </c>
      <c r="B79" s="450" t="s">
        <v>734</v>
      </c>
      <c r="C79" s="829">
        <f>SUMIFS('Distribución OyA Detalle'!$G:$G,'Distribución OyA Detalle'!$D:$D,$A79,'Distribución OyA Detalle'!$A:$A,1)</f>
        <v>53805000</v>
      </c>
      <c r="D79" s="829">
        <f>SUMIFS('Distribución OyA Detalle'!$G:$G,'Distribución OyA Detalle'!$D:$D,$A79,'Distribución OyA Detalle'!$A:$A,2)</f>
        <v>11072000</v>
      </c>
      <c r="E79" s="829">
        <f>SUMIFS('Distribución OyA Detalle'!$G:$G,'Distribución OyA Detalle'!$D:$D,$A79,'Distribución OyA Detalle'!$A:$A,3)</f>
        <v>158007000</v>
      </c>
      <c r="F79" s="829">
        <f>SUMIFS('Distribución OyA Detalle'!$G:$G,'Distribución OyA Detalle'!$D:$D,$A79,'Distribución OyA Detalle'!$A:$A,4)</f>
        <v>9373000</v>
      </c>
      <c r="G79" s="918">
        <f>+C79+D79+E79+F79</f>
        <v>232257000</v>
      </c>
      <c r="H79" s="23"/>
    </row>
    <row r="80" spans="1:8" ht="15.9" customHeight="1">
      <c r="A80" s="447" t="s">
        <v>90</v>
      </c>
      <c r="B80" s="450" t="s">
        <v>457</v>
      </c>
      <c r="C80" s="829">
        <f>SUMIFS('Distribución OyA Detalle'!$G:$G,'Distribución OyA Detalle'!$D:$D,$A80,'Distribución OyA Detalle'!$A:$A,1)</f>
        <v>26902000</v>
      </c>
      <c r="D80" s="829">
        <f>SUMIFS('Distribución OyA Detalle'!$G:$G,'Distribución OyA Detalle'!$D:$D,$A80,'Distribución OyA Detalle'!$A:$A,2)</f>
        <v>5536000</v>
      </c>
      <c r="E80" s="829">
        <f>SUMIFS('Distribución OyA Detalle'!$G:$G,'Distribución OyA Detalle'!$D:$D,$A80,'Distribución OyA Detalle'!$A:$A,3)</f>
        <v>79001000</v>
      </c>
      <c r="F80" s="829">
        <f>SUMIFS('Distribución OyA Detalle'!$G:$G,'Distribución OyA Detalle'!$D:$D,$A80,'Distribución OyA Detalle'!$A:$A,4)</f>
        <v>4687000</v>
      </c>
      <c r="G80" s="918">
        <f>+C80+D80+E80+F80</f>
        <v>116126000</v>
      </c>
      <c r="H80" s="23"/>
    </row>
    <row r="81" spans="1:8" ht="15.9" hidden="1" customHeight="1">
      <c r="A81" s="448"/>
      <c r="B81" s="436"/>
      <c r="C81" s="437"/>
      <c r="D81" s="437"/>
      <c r="E81" s="437"/>
      <c r="F81" s="437"/>
      <c r="G81" s="438"/>
      <c r="H81" s="23"/>
    </row>
    <row r="82" spans="1:8" ht="15.9" hidden="1" customHeight="1">
      <c r="A82" s="426" t="s">
        <v>335</v>
      </c>
      <c r="B82" s="449" t="s">
        <v>336</v>
      </c>
      <c r="C82" s="428">
        <f>SUM(C84)</f>
        <v>0</v>
      </c>
      <c r="D82" s="338">
        <f>SUM(D84)</f>
        <v>0</v>
      </c>
      <c r="E82" s="338">
        <f>SUM(E84)</f>
        <v>0</v>
      </c>
      <c r="F82" s="338">
        <f>SUM(F84)</f>
        <v>0</v>
      </c>
      <c r="G82" s="429">
        <f>SUM(G84)</f>
        <v>0</v>
      </c>
      <c r="H82" s="23"/>
    </row>
    <row r="83" spans="1:8" ht="15.9" hidden="1" customHeight="1">
      <c r="A83" s="430"/>
      <c r="B83" s="423"/>
      <c r="C83" s="424"/>
      <c r="D83" s="424"/>
      <c r="E83" s="424"/>
      <c r="F83" s="424"/>
      <c r="G83" s="425"/>
      <c r="H83" s="23"/>
    </row>
    <row r="84" spans="1:8" ht="15.9" hidden="1" customHeight="1">
      <c r="A84" s="451" t="s">
        <v>337</v>
      </c>
      <c r="B84" s="440" t="s">
        <v>338</v>
      </c>
      <c r="C84" s="433"/>
      <c r="D84" s="433"/>
      <c r="E84" s="433"/>
      <c r="F84" s="433"/>
      <c r="G84" s="434">
        <f>SUM(C84:F84)</f>
        <v>0</v>
      </c>
      <c r="H84" s="23"/>
    </row>
    <row r="85" spans="1:8" ht="9.9" customHeight="1" thickBot="1">
      <c r="A85" s="452"/>
      <c r="B85" s="453"/>
      <c r="C85" s="454"/>
      <c r="D85" s="454"/>
      <c r="E85" s="454"/>
      <c r="F85" s="454"/>
      <c r="G85" s="455"/>
      <c r="H85" s="23"/>
    </row>
    <row r="86" spans="1:8" ht="15.9" customHeight="1" thickBot="1">
      <c r="A86" s="456" t="s">
        <v>91</v>
      </c>
      <c r="B86" s="415" t="s">
        <v>51</v>
      </c>
      <c r="C86" s="457">
        <f>+C88+C95+C103+C112+C123+C130+C134+C140+C151+C155</f>
        <v>976208764.19000006</v>
      </c>
      <c r="D86" s="458">
        <f>+D88+D95+D103+D112+D123+D130+D134+D140+D151+D155</f>
        <v>67926000</v>
      </c>
      <c r="E86" s="458">
        <f>+E88+E95+E103+E112+E123+E130+E134+E140+E151+E155</f>
        <v>1731878816</v>
      </c>
      <c r="F86" s="458">
        <f>+F88+F95+F103+F112+F123+F130+F134+F140+F151+F155</f>
        <v>227890000</v>
      </c>
      <c r="G86" s="459">
        <f>+G88+G95+G103+G112+G123+G130+G134+G140+G151+G155</f>
        <v>3003903580.1900001</v>
      </c>
      <c r="H86" s="23"/>
    </row>
    <row r="87" spans="1:8" ht="7.95" customHeight="1" outlineLevel="1">
      <c r="A87" s="460"/>
      <c r="B87" s="461"/>
      <c r="C87" s="462"/>
      <c r="D87" s="462"/>
      <c r="E87" s="462"/>
      <c r="F87" s="462"/>
      <c r="G87" s="463"/>
      <c r="H87" s="23"/>
    </row>
    <row r="88" spans="1:8" ht="15.9" customHeight="1" outlineLevel="1">
      <c r="A88" s="426" t="s">
        <v>92</v>
      </c>
      <c r="B88" s="449" t="s">
        <v>93</v>
      </c>
      <c r="C88" s="428">
        <f>SUM(C90:C93)</f>
        <v>192607000</v>
      </c>
      <c r="D88" s="338">
        <f>SUM(D90:D93)</f>
        <v>7654000</v>
      </c>
      <c r="E88" s="338">
        <f>SUM(E90:E93)</f>
        <v>252608000</v>
      </c>
      <c r="F88" s="338">
        <f>SUM(F90:F93)</f>
        <v>36270000</v>
      </c>
      <c r="G88" s="429">
        <f>SUM(G90:G93)</f>
        <v>489139000</v>
      </c>
      <c r="H88" s="23"/>
    </row>
    <row r="89" spans="1:8" ht="7.95" customHeight="1">
      <c r="A89" s="430"/>
      <c r="B89" s="423"/>
      <c r="C89" s="424"/>
      <c r="D89" s="424"/>
      <c r="E89" s="424"/>
      <c r="F89" s="424"/>
      <c r="G89" s="425"/>
      <c r="H89" s="23"/>
    </row>
    <row r="90" spans="1:8" ht="15.9" customHeight="1">
      <c r="A90" s="451" t="s">
        <v>94</v>
      </c>
      <c r="B90" s="440" t="s">
        <v>508</v>
      </c>
      <c r="C90" s="829">
        <f>SUMIFS('Distribución OyA Detalle'!$G:$G,'Distribución OyA Detalle'!$D:$D,$A90,'Distribución OyA Detalle'!$A:$A,1)</f>
        <v>89052000</v>
      </c>
      <c r="D90" s="829">
        <f>SUMIFS('Distribución OyA Detalle'!$G:$G,'Distribución OyA Detalle'!$D:$D,$A90,'Distribución OyA Detalle'!$A:$A,2)</f>
        <v>7654000</v>
      </c>
      <c r="E90" s="829">
        <f>SUMIFS('Distribución OyA Detalle'!$G:$G,'Distribución OyA Detalle'!$D:$D,$A90,'Distribución OyA Detalle'!$A:$A,3)</f>
        <v>127608000</v>
      </c>
      <c r="F90" s="829">
        <f>SUMIFS('Distribución OyA Detalle'!$G:$G,'Distribución OyA Detalle'!$D:$D,$A90,'Distribución OyA Detalle'!$A:$A,4)</f>
        <v>36270000</v>
      </c>
      <c r="G90" s="918">
        <f>+C90+D90+E90+F90</f>
        <v>260584000</v>
      </c>
      <c r="H90" s="23"/>
    </row>
    <row r="91" spans="1:8">
      <c r="A91" s="447" t="s">
        <v>95</v>
      </c>
      <c r="B91" s="432" t="s">
        <v>96</v>
      </c>
      <c r="C91" s="829">
        <f>SUMIFS('Distribución OyA Detalle'!$G:$G,'Distribución OyA Detalle'!$D:$D,$A91,'Distribución OyA Detalle'!$A:$A,1)</f>
        <v>50000000</v>
      </c>
      <c r="D91" s="829">
        <f>SUMIFS('Distribución OyA Detalle'!$G:$G,'Distribución OyA Detalle'!$D:$D,$A91,'Distribución OyA Detalle'!$A:$A,2)</f>
        <v>0</v>
      </c>
      <c r="E91" s="829">
        <f>SUMIFS('Distribución OyA Detalle'!$G:$G,'Distribución OyA Detalle'!$D:$D,$A91,'Distribución OyA Detalle'!$A:$A,3)</f>
        <v>125000000</v>
      </c>
      <c r="F91" s="829">
        <f>SUMIFS('Distribución OyA Detalle'!$G:$G,'Distribución OyA Detalle'!$D:$D,$A91,'Distribución OyA Detalle'!$A:$A,4)</f>
        <v>0</v>
      </c>
      <c r="G91" s="918">
        <f>+C91+D91+E91+F91</f>
        <v>175000000</v>
      </c>
      <c r="H91" s="23"/>
    </row>
    <row r="92" spans="1:8" hidden="1">
      <c r="A92" s="464" t="s">
        <v>97</v>
      </c>
      <c r="B92" s="432" t="s">
        <v>98</v>
      </c>
      <c r="C92" s="433">
        <v>0</v>
      </c>
      <c r="D92" s="433">
        <v>0</v>
      </c>
      <c r="E92" s="433">
        <v>0</v>
      </c>
      <c r="F92" s="433">
        <v>0</v>
      </c>
      <c r="G92" s="434">
        <f>SUM(C92:F92)</f>
        <v>0</v>
      </c>
      <c r="H92" s="23"/>
    </row>
    <row r="93" spans="1:8">
      <c r="A93" s="447" t="s">
        <v>99</v>
      </c>
      <c r="B93" s="432" t="s">
        <v>100</v>
      </c>
      <c r="C93" s="829">
        <f>SUMIFS('Distribución OyA Detalle'!$G:$G,'Distribución OyA Detalle'!$D:$D,$A93,'Distribución OyA Detalle'!$A:$A,1)</f>
        <v>53555000</v>
      </c>
      <c r="D93" s="829">
        <f>SUMIFS('Distribución OyA Detalle'!$G:$G,'Distribución OyA Detalle'!$D:$D,$A93,'Distribución OyA Detalle'!$A:$A,2)</f>
        <v>0</v>
      </c>
      <c r="E93" s="829">
        <f>SUMIFS('Distribución OyA Detalle'!$G:$G,'Distribución OyA Detalle'!$D:$D,$A93,'Distribución OyA Detalle'!$A:$A,3)</f>
        <v>0</v>
      </c>
      <c r="F93" s="829">
        <f>SUMIFS('Distribución OyA Detalle'!$G:$G,'Distribución OyA Detalle'!$D:$D,$A93,'Distribución OyA Detalle'!$A:$A,4)</f>
        <v>0</v>
      </c>
      <c r="G93" s="918">
        <f>+C93+D93+E93+F93</f>
        <v>53555000</v>
      </c>
      <c r="H93" s="23"/>
    </row>
    <row r="94" spans="1:8" ht="7.95" customHeight="1">
      <c r="A94" s="465"/>
      <c r="B94" s="442"/>
      <c r="C94" s="443"/>
      <c r="D94" s="443"/>
      <c r="E94" s="443"/>
      <c r="F94" s="443"/>
      <c r="G94" s="444"/>
      <c r="H94" s="23"/>
    </row>
    <row r="95" spans="1:8" ht="15.9" customHeight="1">
      <c r="A95" s="426" t="s">
        <v>101</v>
      </c>
      <c r="B95" s="449" t="s">
        <v>102</v>
      </c>
      <c r="C95" s="428">
        <f>SUM(C97:C101)</f>
        <v>47395380</v>
      </c>
      <c r="D95" s="338">
        <f>SUM(D97:D101)</f>
        <v>1902000</v>
      </c>
      <c r="E95" s="338">
        <f>SUM(E97:E101)</f>
        <v>78409000</v>
      </c>
      <c r="F95" s="338">
        <f>SUM(F97:F101)</f>
        <v>10314000</v>
      </c>
      <c r="G95" s="429">
        <f>SUM(G97:G101)</f>
        <v>138020380</v>
      </c>
      <c r="H95" s="23"/>
    </row>
    <row r="96" spans="1:8" ht="9.9" customHeight="1" outlineLevel="1">
      <c r="A96" s="430"/>
      <c r="B96" s="423"/>
      <c r="C96" s="424"/>
      <c r="D96" s="424"/>
      <c r="E96" s="424"/>
      <c r="F96" s="424"/>
      <c r="G96" s="425"/>
      <c r="H96" s="23"/>
    </row>
    <row r="97" spans="1:8" ht="15.9" customHeight="1">
      <c r="A97" s="451" t="s">
        <v>103</v>
      </c>
      <c r="B97" s="440" t="s">
        <v>104</v>
      </c>
      <c r="C97" s="829">
        <f>SUMIFS('Distribución OyA Detalle'!$G:$G,'Distribución OyA Detalle'!$D:$D,$A97,'Distribución OyA Detalle'!$A:$A,1)</f>
        <v>3114000</v>
      </c>
      <c r="D97" s="829">
        <f>SUMIFS('Distribución OyA Detalle'!$G:$G,'Distribución OyA Detalle'!$D:$D,$A97,'Distribución OyA Detalle'!$A:$A,2)</f>
        <v>330000</v>
      </c>
      <c r="E97" s="829">
        <f>SUMIFS('Distribución OyA Detalle'!$G:$G,'Distribución OyA Detalle'!$D:$D,$A97,'Distribución OyA Detalle'!$A:$A,3)</f>
        <v>5504000</v>
      </c>
      <c r="F97" s="829">
        <f>SUMIFS('Distribución OyA Detalle'!$G:$G,'Distribución OyA Detalle'!$D:$D,$A97,'Distribución OyA Detalle'!$A:$A,4)</f>
        <v>1564000</v>
      </c>
      <c r="G97" s="918">
        <f>+C97+D97+E97+F97</f>
        <v>10512000</v>
      </c>
      <c r="H97" s="23"/>
    </row>
    <row r="98" spans="1:8" ht="15.9" customHeight="1">
      <c r="A98" s="451" t="s">
        <v>105</v>
      </c>
      <c r="B98" s="466" t="s">
        <v>106</v>
      </c>
      <c r="C98" s="829">
        <f>SUMIFS('Distribución OyA Detalle'!$G:$G,'Distribución OyA Detalle'!$D:$D,$A98,'Distribución OyA Detalle'!$A:$A,1)</f>
        <v>9740000</v>
      </c>
      <c r="D98" s="829">
        <f>SUMIFS('Distribución OyA Detalle'!$G:$G,'Distribución OyA Detalle'!$D:$D,$A98,'Distribución OyA Detalle'!$A:$A,2)</f>
        <v>1034000</v>
      </c>
      <c r="E98" s="829">
        <f>SUMIFS('Distribución OyA Detalle'!$G:$G,'Distribución OyA Detalle'!$D:$D,$A98,'Distribución OyA Detalle'!$A:$A,3)</f>
        <v>17244000</v>
      </c>
      <c r="F98" s="829">
        <f>SUMIFS('Distribución OyA Detalle'!$G:$G,'Distribución OyA Detalle'!$D:$D,$A98,'Distribución OyA Detalle'!$A:$A,4)</f>
        <v>4904000</v>
      </c>
      <c r="G98" s="918">
        <f>+C98+D98+E98+F98</f>
        <v>32922000</v>
      </c>
      <c r="H98" s="23"/>
    </row>
    <row r="99" spans="1:8" ht="15.9" customHeight="1">
      <c r="A99" s="447" t="s">
        <v>107</v>
      </c>
      <c r="B99" s="432" t="s">
        <v>108</v>
      </c>
      <c r="C99" s="829">
        <f>SUMIFS('Distribución OyA Detalle'!$G:$G,'Distribución OyA Detalle'!$D:$D,$A99,'Distribución OyA Detalle'!$A:$A,1)</f>
        <v>3500000</v>
      </c>
      <c r="D99" s="829">
        <f>SUMIFS('Distribución OyA Detalle'!$G:$G,'Distribución OyA Detalle'!$D:$D,$A99,'Distribución OyA Detalle'!$A:$A,2)</f>
        <v>0</v>
      </c>
      <c r="E99" s="829">
        <f>SUMIFS('Distribución OyA Detalle'!$G:$G,'Distribución OyA Detalle'!$D:$D,$A99,'Distribución OyA Detalle'!$A:$A,3)</f>
        <v>0</v>
      </c>
      <c r="F99" s="829">
        <f>SUMIFS('Distribución OyA Detalle'!$G:$G,'Distribución OyA Detalle'!$D:$D,$A99,'Distribución OyA Detalle'!$A:$A,4)</f>
        <v>0</v>
      </c>
      <c r="G99" s="918">
        <f>+C99+D99+E99+F99</f>
        <v>3500000</v>
      </c>
      <c r="H99" s="23"/>
    </row>
    <row r="100" spans="1:8" ht="15.9" customHeight="1">
      <c r="A100" s="447" t="s">
        <v>286</v>
      </c>
      <c r="B100" s="432" t="s">
        <v>384</v>
      </c>
      <c r="C100" s="829">
        <f>SUMIFS('Distribución OyA Detalle'!$G:$G,'Distribución OyA Detalle'!$D:$D,$A100,'Distribución OyA Detalle'!$A:$A,1)</f>
        <v>30260000</v>
      </c>
      <c r="D100" s="829">
        <f>SUMIFS('Distribución OyA Detalle'!$G:$G,'Distribución OyA Detalle'!$D:$D,$A100,'Distribución OyA Detalle'!$A:$A,2)</f>
        <v>538000</v>
      </c>
      <c r="E100" s="829">
        <f>SUMIFS('Distribución OyA Detalle'!$G:$G,'Distribución OyA Detalle'!$D:$D,$A100,'Distribución OyA Detalle'!$A:$A,3)</f>
        <v>55661000</v>
      </c>
      <c r="F100" s="829">
        <f>SUMIFS('Distribución OyA Detalle'!$G:$G,'Distribución OyA Detalle'!$D:$D,$A100,'Distribución OyA Detalle'!$A:$A,4)</f>
        <v>3846000</v>
      </c>
      <c r="G100" s="918">
        <f>+C100+D100+E100+F100</f>
        <v>90305000</v>
      </c>
      <c r="H100" s="23"/>
    </row>
    <row r="101" spans="1:8" ht="15.9" customHeight="1">
      <c r="A101" s="451" t="s">
        <v>109</v>
      </c>
      <c r="B101" s="440" t="s">
        <v>110</v>
      </c>
      <c r="C101" s="829">
        <f>SUMIFS('Distribución OyA Detalle'!$G:$G,'Distribución OyA Detalle'!$D:$D,$A101,'Distribución OyA Detalle'!$A:$A,1)</f>
        <v>781380</v>
      </c>
      <c r="D101" s="829">
        <f>SUMIFS('Distribución OyA Detalle'!$G:$G,'Distribución OyA Detalle'!$D:$D,$A101,'Distribución OyA Detalle'!$A:$A,2)</f>
        <v>0</v>
      </c>
      <c r="E101" s="829">
        <f>SUMIFS('Distribución OyA Detalle'!$G:$G,'Distribución OyA Detalle'!$D:$D,$A101,'Distribución OyA Detalle'!$A:$A,3)</f>
        <v>0</v>
      </c>
      <c r="F101" s="829">
        <f>SUMIFS('Distribución OyA Detalle'!$G:$G,'Distribución OyA Detalle'!$D:$D,$A101,'Distribución OyA Detalle'!$A:$A,4)</f>
        <v>0</v>
      </c>
      <c r="G101" s="918">
        <f>+C101+D101+E101+F101</f>
        <v>781380</v>
      </c>
      <c r="H101" s="23"/>
    </row>
    <row r="102" spans="1:8" ht="9.9" customHeight="1">
      <c r="A102" s="465"/>
      <c r="B102" s="442"/>
      <c r="C102" s="443"/>
      <c r="D102" s="443"/>
      <c r="E102" s="443"/>
      <c r="F102" s="443"/>
      <c r="G102" s="444"/>
      <c r="H102" s="23"/>
    </row>
    <row r="103" spans="1:8" ht="15.9" customHeight="1">
      <c r="A103" s="426" t="s">
        <v>111</v>
      </c>
      <c r="B103" s="449" t="s">
        <v>112</v>
      </c>
      <c r="C103" s="428">
        <f>SUM(C105:C110)</f>
        <v>102117908</v>
      </c>
      <c r="D103" s="338">
        <f>SUM(D105:D110)</f>
        <v>0</v>
      </c>
      <c r="E103" s="338">
        <f>SUM(E105:E110)</f>
        <v>9400000</v>
      </c>
      <c r="F103" s="338">
        <f>SUM(F105:F110)</f>
        <v>43800000</v>
      </c>
      <c r="G103" s="429">
        <f>SUM(G105:G110)</f>
        <v>155317908</v>
      </c>
      <c r="H103" s="23"/>
    </row>
    <row r="104" spans="1:8" ht="7.95" customHeight="1" outlineLevel="1">
      <c r="A104" s="430"/>
      <c r="B104" s="423"/>
      <c r="C104" s="424"/>
      <c r="D104" s="424"/>
      <c r="E104" s="424"/>
      <c r="F104" s="424"/>
      <c r="G104" s="425"/>
      <c r="H104" s="23"/>
    </row>
    <row r="105" spans="1:8" ht="15.9" customHeight="1">
      <c r="A105" s="447" t="s">
        <v>113</v>
      </c>
      <c r="B105" s="432" t="s">
        <v>361</v>
      </c>
      <c r="C105" s="829">
        <f>SUMIFS('Distribución OyA Detalle'!$G:$G,'Distribución OyA Detalle'!$D:$D,$A105,'Distribución OyA Detalle'!$A:$A,1)</f>
        <v>1337000</v>
      </c>
      <c r="D105" s="829">
        <f>SUMIFS('Distribución OyA Detalle'!$G:$G,'Distribución OyA Detalle'!$D:$D,$A105,'Distribución OyA Detalle'!$A:$A,2)</f>
        <v>0</v>
      </c>
      <c r="E105" s="829">
        <f>SUMIFS('Distribución OyA Detalle'!$G:$G,'Distribución OyA Detalle'!$D:$D,$A105,'Distribución OyA Detalle'!$A:$A,3)</f>
        <v>0</v>
      </c>
      <c r="F105" s="829">
        <f>SUMIFS('Distribución OyA Detalle'!$G:$G,'Distribución OyA Detalle'!$D:$D,$A105,'Distribución OyA Detalle'!$A:$A,4)</f>
        <v>0</v>
      </c>
      <c r="G105" s="918">
        <f t="shared" ref="G105:G110" si="1">+C105+D105+E105+F105</f>
        <v>1337000</v>
      </c>
      <c r="H105" s="23"/>
    </row>
    <row r="106" spans="1:8" ht="15.9" customHeight="1">
      <c r="A106" s="447" t="s">
        <v>114</v>
      </c>
      <c r="B106" s="432" t="s">
        <v>362</v>
      </c>
      <c r="C106" s="829">
        <f>SUMIFS('Distribución OyA Detalle'!$G:$G,'Distribución OyA Detalle'!$D:$D,$A106,'Distribución OyA Detalle'!$A:$A,1)</f>
        <v>0</v>
      </c>
      <c r="D106" s="829">
        <f>SUMIFS('Distribución OyA Detalle'!$G:$G,'Distribución OyA Detalle'!$D:$D,$A106,'Distribución OyA Detalle'!$A:$A,2)</f>
        <v>0</v>
      </c>
      <c r="E106" s="829">
        <f>SUMIFS('Distribución OyA Detalle'!$G:$G,'Distribución OyA Detalle'!$D:$D,$A106,'Distribución OyA Detalle'!$A:$A,3)</f>
        <v>0</v>
      </c>
      <c r="F106" s="829">
        <f>SUMIFS('Distribución OyA Detalle'!$G:$G,'Distribución OyA Detalle'!$D:$D,$A106,'Distribución OyA Detalle'!$A:$A,4)</f>
        <v>40000000</v>
      </c>
      <c r="G106" s="918">
        <f t="shared" si="1"/>
        <v>40000000</v>
      </c>
      <c r="H106" s="23"/>
    </row>
    <row r="107" spans="1:8" ht="15.9" customHeight="1">
      <c r="A107" s="447" t="s">
        <v>115</v>
      </c>
      <c r="B107" s="432" t="s">
        <v>363</v>
      </c>
      <c r="C107" s="829">
        <f>SUMIFS('Distribución OyA Detalle'!$G:$G,'Distribución OyA Detalle'!$D:$D,$A107,'Distribución OyA Detalle'!$A:$A,1)</f>
        <v>50000</v>
      </c>
      <c r="D107" s="829">
        <f>SUMIFS('Distribución OyA Detalle'!$G:$G,'Distribución OyA Detalle'!$D:$D,$A107,'Distribución OyA Detalle'!$A:$A,2)</f>
        <v>0</v>
      </c>
      <c r="E107" s="829">
        <f>SUMIFS('Distribución OyA Detalle'!$G:$G,'Distribución OyA Detalle'!$D:$D,$A107,'Distribución OyA Detalle'!$A:$A,3)</f>
        <v>9000000</v>
      </c>
      <c r="F107" s="829">
        <f>SUMIFS('Distribución OyA Detalle'!$G:$G,'Distribución OyA Detalle'!$D:$D,$A107,'Distribución OyA Detalle'!$A:$A,4)</f>
        <v>3500000</v>
      </c>
      <c r="G107" s="918">
        <f t="shared" si="1"/>
        <v>12550000</v>
      </c>
      <c r="H107" s="23"/>
    </row>
    <row r="108" spans="1:8" ht="15.9" customHeight="1">
      <c r="A108" s="447" t="s">
        <v>116</v>
      </c>
      <c r="B108" s="432" t="s">
        <v>364</v>
      </c>
      <c r="C108" s="829">
        <f>SUMIFS('Distribución OyA Detalle'!$G:$G,'Distribución OyA Detalle'!$D:$D,$A108,'Distribución OyA Detalle'!$A:$A,1)</f>
        <v>250000</v>
      </c>
      <c r="D108" s="829">
        <f>SUMIFS('Distribución OyA Detalle'!$G:$G,'Distribución OyA Detalle'!$D:$D,$A108,'Distribución OyA Detalle'!$A:$A,2)</f>
        <v>0</v>
      </c>
      <c r="E108" s="829">
        <f>SUMIFS('Distribución OyA Detalle'!$G:$G,'Distribución OyA Detalle'!$D:$D,$A108,'Distribución OyA Detalle'!$A:$A,3)</f>
        <v>400000</v>
      </c>
      <c r="F108" s="829">
        <f>SUMIFS('Distribución OyA Detalle'!$G:$G,'Distribución OyA Detalle'!$D:$D,$A108,'Distribución OyA Detalle'!$A:$A,4)</f>
        <v>0</v>
      </c>
      <c r="G108" s="918">
        <f t="shared" si="1"/>
        <v>650000</v>
      </c>
      <c r="H108" s="23"/>
    </row>
    <row r="109" spans="1:8" ht="15.9" customHeight="1">
      <c r="A109" s="451" t="s">
        <v>118</v>
      </c>
      <c r="B109" s="440" t="s">
        <v>374</v>
      </c>
      <c r="C109" s="829">
        <f>SUMIFS('Distribución OyA Detalle'!$G:$G,'Distribución OyA Detalle'!$D:$D,$A109,'Distribución OyA Detalle'!$A:$A,1)</f>
        <v>22300000</v>
      </c>
      <c r="D109" s="829">
        <f>SUMIFS('Distribución OyA Detalle'!$G:$G,'Distribución OyA Detalle'!$D:$D,$A109,'Distribución OyA Detalle'!$A:$A,2)</f>
        <v>0</v>
      </c>
      <c r="E109" s="829">
        <f>SUMIFS('Distribución OyA Detalle'!$G:$G,'Distribución OyA Detalle'!$D:$D,$A109,'Distribución OyA Detalle'!$A:$A,3)</f>
        <v>0</v>
      </c>
      <c r="F109" s="829">
        <f>SUMIFS('Distribución OyA Detalle'!$G:$G,'Distribución OyA Detalle'!$D:$D,$A109,'Distribución OyA Detalle'!$A:$A,4)</f>
        <v>0</v>
      </c>
      <c r="G109" s="918">
        <f t="shared" si="1"/>
        <v>22300000</v>
      </c>
      <c r="H109" s="23"/>
    </row>
    <row r="110" spans="1:8" ht="15.9" customHeight="1">
      <c r="A110" s="447" t="s">
        <v>339</v>
      </c>
      <c r="B110" s="432" t="s">
        <v>340</v>
      </c>
      <c r="C110" s="829">
        <f>SUMIFS('Distribución OyA Detalle'!$G:$G,'Distribución OyA Detalle'!$D:$D,$A110,'Distribución OyA Detalle'!$A:$A,1)</f>
        <v>78180908</v>
      </c>
      <c r="D110" s="829">
        <f>SUMIFS('Distribución OyA Detalle'!$G:$G,'Distribución OyA Detalle'!$D:$D,$A110,'Distribución OyA Detalle'!$A:$A,2)</f>
        <v>0</v>
      </c>
      <c r="E110" s="829">
        <f>SUMIFS('Distribución OyA Detalle'!$G:$G,'Distribución OyA Detalle'!$D:$D,$A110,'Distribución OyA Detalle'!$A:$A,3)</f>
        <v>0</v>
      </c>
      <c r="F110" s="829">
        <f>SUMIFS('Distribución OyA Detalle'!$G:$G,'Distribución OyA Detalle'!$D:$D,$A110,'Distribución OyA Detalle'!$A:$A,4)</f>
        <v>300000</v>
      </c>
      <c r="G110" s="918">
        <f t="shared" si="1"/>
        <v>78480908</v>
      </c>
      <c r="H110" s="23"/>
    </row>
    <row r="111" spans="1:8" ht="9.9" customHeight="1">
      <c r="A111" s="448"/>
      <c r="B111" s="436"/>
      <c r="C111" s="437"/>
      <c r="D111" s="437"/>
      <c r="E111" s="437"/>
      <c r="F111" s="437"/>
      <c r="G111" s="438"/>
      <c r="H111" s="23"/>
    </row>
    <row r="112" spans="1:8" ht="15.9" customHeight="1">
      <c r="A112" s="426" t="s">
        <v>119</v>
      </c>
      <c r="B112" s="449" t="s">
        <v>120</v>
      </c>
      <c r="C112" s="428">
        <f>SUM(C114:C121)</f>
        <v>421002000</v>
      </c>
      <c r="D112" s="428">
        <f>SUM(D114:D121)</f>
        <v>53332000</v>
      </c>
      <c r="E112" s="428">
        <f>SUM(E114:E121)</f>
        <v>270150000</v>
      </c>
      <c r="F112" s="428">
        <f>SUM(F114:F121)</f>
        <v>128496000</v>
      </c>
      <c r="G112" s="429">
        <f>SUM(G114:G121)</f>
        <v>872980000</v>
      </c>
      <c r="H112" s="23"/>
    </row>
    <row r="113" spans="1:8" ht="7.95" customHeight="1" outlineLevel="1">
      <c r="A113" s="430"/>
      <c r="B113" s="423"/>
      <c r="C113" s="424"/>
      <c r="D113" s="424"/>
      <c r="E113" s="424"/>
      <c r="F113" s="424"/>
      <c r="G113" s="425"/>
      <c r="H113" s="23"/>
    </row>
    <row r="114" spans="1:8" ht="15.9" hidden="1" customHeight="1" outlineLevel="1">
      <c r="A114" s="467" t="s">
        <v>479</v>
      </c>
      <c r="B114" s="432" t="s">
        <v>480</v>
      </c>
      <c r="C114" s="829">
        <f>SUMIFS('Distribución OyA Detalle'!$G:$G,'Distribución OyA Detalle'!$D:$D,$A114,'Distribución OyA Detalle'!$A:$A,1)</f>
        <v>0</v>
      </c>
      <c r="D114" s="829">
        <f>SUMIFS('Distribución OyA Detalle'!$G:$G,'Distribución OyA Detalle'!$D:$D,$A114,'Distribución OyA Detalle'!$A:$A,2)</f>
        <v>0</v>
      </c>
      <c r="E114" s="829">
        <f>SUMIFS('Distribución OyA Detalle'!$G:$G,'Distribución OyA Detalle'!$D:$D,$A114,'Distribución OyA Detalle'!$A:$A,3)</f>
        <v>0</v>
      </c>
      <c r="F114" s="829">
        <f>SUMIFS('Distribución OyA Detalle'!$G:$G,'Distribución OyA Detalle'!$D:$D,$A114,'Distribución OyA Detalle'!$A:$A,4)</f>
        <v>0</v>
      </c>
      <c r="G114" s="918">
        <f t="shared" ref="G114:G121" si="2">+C114+D114+E114+F114</f>
        <v>0</v>
      </c>
      <c r="H114" s="23"/>
    </row>
    <row r="115" spans="1:8" ht="15.9" customHeight="1">
      <c r="A115" s="467" t="s">
        <v>341</v>
      </c>
      <c r="B115" s="432" t="s">
        <v>342</v>
      </c>
      <c r="C115" s="829">
        <f>SUMIFS('Distribución OyA Detalle'!$G:$G,'Distribución OyA Detalle'!$D:$D,$A115,'Distribución OyA Detalle'!$A:$A,1)</f>
        <v>5500000</v>
      </c>
      <c r="D115" s="829">
        <f>SUMIFS('Distribución OyA Detalle'!$G:$G,'Distribución OyA Detalle'!$D:$D,$A115,'Distribución OyA Detalle'!$A:$A,2)</f>
        <v>0</v>
      </c>
      <c r="E115" s="829">
        <f>SUMIFS('Distribución OyA Detalle'!$G:$G,'Distribución OyA Detalle'!$D:$D,$A115,'Distribución OyA Detalle'!$A:$A,3)</f>
        <v>0</v>
      </c>
      <c r="F115" s="829">
        <f>SUMIFS('Distribución OyA Detalle'!$G:$G,'Distribución OyA Detalle'!$D:$D,$A115,'Distribución OyA Detalle'!$A:$A,4)</f>
        <v>0</v>
      </c>
      <c r="G115" s="918">
        <f t="shared" si="2"/>
        <v>5500000</v>
      </c>
      <c r="H115" s="23"/>
    </row>
    <row r="116" spans="1:8" ht="15.9" hidden="1" customHeight="1">
      <c r="A116" s="467"/>
      <c r="B116" s="432"/>
      <c r="C116" s="829">
        <f>SUMIFS('Distribución OyA Detalle'!$G:$G,'Distribución OyA Detalle'!$D:$D,$A116,'Distribución OyA Detalle'!$A:$A,1)</f>
        <v>0</v>
      </c>
      <c r="D116" s="829">
        <f>SUMIFS('Distribución OyA Detalle'!$G:$G,'Distribución OyA Detalle'!$D:$D,$A116,'Distribución OyA Detalle'!$A:$A,2)</f>
        <v>0</v>
      </c>
      <c r="E116" s="829">
        <f>SUMIFS('Distribución OyA Detalle'!$G:$G,'Distribución OyA Detalle'!$D:$D,$A116,'Distribución OyA Detalle'!$A:$A,3)</f>
        <v>0</v>
      </c>
      <c r="F116" s="829">
        <f>SUMIFS('Distribución OyA Detalle'!$G:$G,'Distribución OyA Detalle'!$D:$D,$A116,'Distribución OyA Detalle'!$A:$A,4)</f>
        <v>0</v>
      </c>
      <c r="G116" s="918">
        <f t="shared" si="2"/>
        <v>0</v>
      </c>
      <c r="H116" s="23"/>
    </row>
    <row r="117" spans="1:8" ht="15.9" hidden="1" customHeight="1">
      <c r="A117" s="467" t="s">
        <v>293</v>
      </c>
      <c r="B117" s="432" t="s">
        <v>343</v>
      </c>
      <c r="C117" s="829">
        <f>SUMIFS('Distribución OyA Detalle'!$G:$G,'Distribución OyA Detalle'!$D:$D,$A117,'Distribución OyA Detalle'!$A:$A,1)</f>
        <v>0</v>
      </c>
      <c r="D117" s="829">
        <f>SUMIFS('Distribución OyA Detalle'!$G:$G,'Distribución OyA Detalle'!$D:$D,$A117,'Distribución OyA Detalle'!$A:$A,2)</f>
        <v>0</v>
      </c>
      <c r="E117" s="829">
        <f>SUMIFS('Distribución OyA Detalle'!$G:$G,'Distribución OyA Detalle'!$D:$D,$A117,'Distribución OyA Detalle'!$A:$A,3)</f>
        <v>0</v>
      </c>
      <c r="F117" s="829">
        <f>SUMIFS('Distribución OyA Detalle'!$G:$G,'Distribución OyA Detalle'!$D:$D,$A117,'Distribución OyA Detalle'!$A:$A,4)</f>
        <v>0</v>
      </c>
      <c r="G117" s="918">
        <f t="shared" si="2"/>
        <v>0</v>
      </c>
      <c r="H117" s="23"/>
    </row>
    <row r="118" spans="1:8" ht="15.9" customHeight="1">
      <c r="A118" s="467" t="s">
        <v>121</v>
      </c>
      <c r="B118" s="432" t="s">
        <v>122</v>
      </c>
      <c r="C118" s="829">
        <f>SUMIFS('Distribución OyA Detalle'!$G:$G,'Distribución OyA Detalle'!$D:$D,$A118,'Distribución OyA Detalle'!$A:$A,1)</f>
        <v>45500000</v>
      </c>
      <c r="D118" s="829">
        <f>SUMIFS('Distribución OyA Detalle'!$G:$G,'Distribución OyA Detalle'!$D:$D,$A118,'Distribución OyA Detalle'!$A:$A,2)</f>
        <v>0</v>
      </c>
      <c r="E118" s="829">
        <f>SUMIFS('Distribución OyA Detalle'!$G:$G,'Distribución OyA Detalle'!$D:$D,$A118,'Distribución OyA Detalle'!$A:$A,3)</f>
        <v>0</v>
      </c>
      <c r="F118" s="829">
        <f>SUMIFS('Distribución OyA Detalle'!$G:$G,'Distribución OyA Detalle'!$D:$D,$A118,'Distribución OyA Detalle'!$A:$A,4)</f>
        <v>0</v>
      </c>
      <c r="G118" s="918">
        <f t="shared" si="2"/>
        <v>45500000</v>
      </c>
      <c r="H118" s="23"/>
    </row>
    <row r="119" spans="1:8" ht="15.9" customHeight="1">
      <c r="A119" s="467" t="s">
        <v>123</v>
      </c>
      <c r="B119" s="432" t="s">
        <v>124</v>
      </c>
      <c r="C119" s="829">
        <f>SUMIFS('Distribución OyA Detalle'!$G:$G,'Distribución OyA Detalle'!$D:$D,$A119,'Distribución OyA Detalle'!$A:$A,1)</f>
        <v>7000000</v>
      </c>
      <c r="D119" s="829">
        <f>SUMIFS('Distribución OyA Detalle'!$G:$G,'Distribución OyA Detalle'!$D:$D,$A119,'Distribución OyA Detalle'!$A:$A,2)</f>
        <v>0</v>
      </c>
      <c r="E119" s="829">
        <f>SUMIFS('Distribución OyA Detalle'!$G:$G,'Distribución OyA Detalle'!$D:$D,$A119,'Distribución OyA Detalle'!$A:$A,3)</f>
        <v>71000000</v>
      </c>
      <c r="F119" s="829">
        <f>SUMIFS('Distribución OyA Detalle'!$G:$G,'Distribución OyA Detalle'!$D:$D,$A119,'Distribución OyA Detalle'!$A:$A,4)</f>
        <v>0</v>
      </c>
      <c r="G119" s="918">
        <f t="shared" si="2"/>
        <v>78000000</v>
      </c>
      <c r="H119" s="23"/>
    </row>
    <row r="120" spans="1:8" ht="15.9" customHeight="1">
      <c r="A120" s="468" t="s">
        <v>125</v>
      </c>
      <c r="B120" s="440" t="s">
        <v>126</v>
      </c>
      <c r="C120" s="829">
        <f>SUMIFS('Distribución OyA Detalle'!$G:$G,'Distribución OyA Detalle'!$D:$D,$A120,'Distribución OyA Detalle'!$A:$A,1)</f>
        <v>35252000</v>
      </c>
      <c r="D120" s="829">
        <f>SUMIFS('Distribución OyA Detalle'!$G:$G,'Distribución OyA Detalle'!$D:$D,$A120,'Distribución OyA Detalle'!$A:$A,2)</f>
        <v>2532000</v>
      </c>
      <c r="E120" s="829">
        <f>SUMIFS('Distribución OyA Detalle'!$G:$G,'Distribución OyA Detalle'!$D:$D,$A120,'Distribución OyA Detalle'!$A:$A,3)</f>
        <v>48150000</v>
      </c>
      <c r="F120" s="829">
        <f>SUMIFS('Distribución OyA Detalle'!$G:$G,'Distribución OyA Detalle'!$D:$D,$A120,'Distribución OyA Detalle'!$A:$A,4)</f>
        <v>11996000</v>
      </c>
      <c r="G120" s="918">
        <f t="shared" si="2"/>
        <v>97930000</v>
      </c>
      <c r="H120" s="23"/>
    </row>
    <row r="121" spans="1:8" ht="15.9" customHeight="1">
      <c r="A121" s="468" t="s">
        <v>127</v>
      </c>
      <c r="B121" s="440" t="s">
        <v>128</v>
      </c>
      <c r="C121" s="829">
        <f>SUMIFS('Distribución OyA Detalle'!$G:$G,'Distribución OyA Detalle'!$D:$D,$A121,'Distribución OyA Detalle'!$A:$A,1)</f>
        <v>327750000</v>
      </c>
      <c r="D121" s="829">
        <f>SUMIFS('Distribución OyA Detalle'!$G:$G,'Distribución OyA Detalle'!$D:$D,$A121,'Distribución OyA Detalle'!$A:$A,2)</f>
        <v>50800000</v>
      </c>
      <c r="E121" s="829">
        <f>SUMIFS('Distribución OyA Detalle'!$G:$G,'Distribución OyA Detalle'!$D:$D,$A121,'Distribución OyA Detalle'!$A:$A,3)</f>
        <v>151000000</v>
      </c>
      <c r="F121" s="829">
        <f>SUMIFS('Distribución OyA Detalle'!$G:$G,'Distribución OyA Detalle'!$D:$D,$A121,'Distribución OyA Detalle'!$A:$A,4)</f>
        <v>116500000</v>
      </c>
      <c r="G121" s="918">
        <f t="shared" si="2"/>
        <v>646050000</v>
      </c>
      <c r="H121" s="23"/>
    </row>
    <row r="122" spans="1:8" ht="9.9" customHeight="1">
      <c r="A122" s="448"/>
      <c r="B122" s="436"/>
      <c r="C122" s="437"/>
      <c r="D122" s="437"/>
      <c r="E122" s="437"/>
      <c r="F122" s="437"/>
      <c r="G122" s="438"/>
      <c r="H122" s="23"/>
    </row>
    <row r="123" spans="1:8" ht="15.9" customHeight="1">
      <c r="A123" s="426" t="s">
        <v>129</v>
      </c>
      <c r="B123" s="449" t="s">
        <v>130</v>
      </c>
      <c r="C123" s="428">
        <f>SUM(C125:C128)</f>
        <v>26080000</v>
      </c>
      <c r="D123" s="338">
        <f>SUM(D125:D128)</f>
        <v>1000000</v>
      </c>
      <c r="E123" s="338">
        <f>SUM(E125:E128)</f>
        <v>772643816</v>
      </c>
      <c r="F123" s="338">
        <f>SUM(F125:F128)</f>
        <v>500000</v>
      </c>
      <c r="G123" s="429">
        <f>SUM(G125:G128)</f>
        <v>800223816</v>
      </c>
      <c r="H123" s="23"/>
    </row>
    <row r="124" spans="1:8" ht="7.95" customHeight="1">
      <c r="A124" s="430"/>
      <c r="B124" s="423"/>
      <c r="C124" s="424"/>
      <c r="D124" s="424"/>
      <c r="E124" s="424"/>
      <c r="F124" s="424"/>
      <c r="G124" s="425"/>
      <c r="H124" s="23"/>
    </row>
    <row r="125" spans="1:8" ht="15.9" customHeight="1">
      <c r="A125" s="447" t="s">
        <v>131</v>
      </c>
      <c r="B125" s="432" t="s">
        <v>132</v>
      </c>
      <c r="C125" s="829">
        <f>SUMIFS('Distribución OyA Detalle'!$G:$G,'Distribución OyA Detalle'!$D:$D,$A125,'Distribución OyA Detalle'!$A:$A,1)</f>
        <v>880000</v>
      </c>
      <c r="D125" s="829">
        <f>SUMIFS('Distribución OyA Detalle'!$G:$G,'Distribución OyA Detalle'!$D:$D,$A125,'Distribución OyA Detalle'!$A:$A,2)</f>
        <v>0</v>
      </c>
      <c r="E125" s="829">
        <f>SUMIFS('Distribución OyA Detalle'!$G:$G,'Distribución OyA Detalle'!$D:$D,$A125,'Distribución OyA Detalle'!$A:$A,3)</f>
        <v>5655000</v>
      </c>
      <c r="F125" s="829">
        <f>SUMIFS('Distribución OyA Detalle'!$G:$G,'Distribución OyA Detalle'!$D:$D,$A125,'Distribución OyA Detalle'!$A:$A,4)</f>
        <v>0</v>
      </c>
      <c r="G125" s="918">
        <f>+C125+D125+E125+F125</f>
        <v>6535000</v>
      </c>
      <c r="H125" s="23"/>
    </row>
    <row r="126" spans="1:8" ht="15.9" customHeight="1">
      <c r="A126" s="447" t="s">
        <v>133</v>
      </c>
      <c r="B126" s="432" t="s">
        <v>375</v>
      </c>
      <c r="C126" s="829">
        <f>SUMIFS('Distribución OyA Detalle'!$G:$G,'Distribución OyA Detalle'!$D:$D,$A126,'Distribución OyA Detalle'!$A:$A,1)</f>
        <v>4700000</v>
      </c>
      <c r="D126" s="829">
        <f>SUMIFS('Distribución OyA Detalle'!$G:$G,'Distribución OyA Detalle'!$D:$D,$A126,'Distribución OyA Detalle'!$A:$A,2)</f>
        <v>0</v>
      </c>
      <c r="E126" s="829">
        <f>SUMIFS('Distribución OyA Detalle'!$G:$G,'Distribución OyA Detalle'!$D:$D,$A126,'Distribución OyA Detalle'!$A:$A,3)</f>
        <v>753888816</v>
      </c>
      <c r="F126" s="829">
        <f>SUMIFS('Distribución OyA Detalle'!$G:$G,'Distribución OyA Detalle'!$D:$D,$A126,'Distribución OyA Detalle'!$A:$A,4)</f>
        <v>500000</v>
      </c>
      <c r="G126" s="918">
        <f>+C126+D126+E126+F126</f>
        <v>759088816</v>
      </c>
      <c r="H126" s="23"/>
    </row>
    <row r="127" spans="1:8" ht="15.9" customHeight="1">
      <c r="A127" s="447" t="s">
        <v>134</v>
      </c>
      <c r="B127" s="432" t="s">
        <v>135</v>
      </c>
      <c r="C127" s="829">
        <f>SUMIFS('Distribución OyA Detalle'!$G:$G,'Distribución OyA Detalle'!$D:$D,$A127,'Distribución OyA Detalle'!$A:$A,1)</f>
        <v>10500000</v>
      </c>
      <c r="D127" s="829">
        <f>SUMIFS('Distribución OyA Detalle'!$G:$G,'Distribución OyA Detalle'!$D:$D,$A127,'Distribución OyA Detalle'!$A:$A,2)</f>
        <v>500000</v>
      </c>
      <c r="E127" s="829">
        <f>SUMIFS('Distribución OyA Detalle'!$G:$G,'Distribución OyA Detalle'!$D:$D,$A127,'Distribución OyA Detalle'!$A:$A,3)</f>
        <v>5000000</v>
      </c>
      <c r="F127" s="829">
        <f>SUMIFS('Distribución OyA Detalle'!$G:$G,'Distribución OyA Detalle'!$D:$D,$A127,'Distribución OyA Detalle'!$A:$A,4)</f>
        <v>0</v>
      </c>
      <c r="G127" s="918">
        <f>+C127+D127+E127+F127</f>
        <v>16000000</v>
      </c>
      <c r="H127" s="23"/>
    </row>
    <row r="128" spans="1:8" ht="15.9" customHeight="1">
      <c r="A128" s="447" t="s">
        <v>136</v>
      </c>
      <c r="B128" s="432" t="s">
        <v>376</v>
      </c>
      <c r="C128" s="829">
        <f>SUMIFS('Distribución OyA Detalle'!$G:$G,'Distribución OyA Detalle'!$D:$D,$A128,'Distribución OyA Detalle'!$A:$A,1)</f>
        <v>10000000</v>
      </c>
      <c r="D128" s="829">
        <f>SUMIFS('Distribución OyA Detalle'!$G:$G,'Distribución OyA Detalle'!$D:$D,$A128,'Distribución OyA Detalle'!$A:$A,2)</f>
        <v>500000</v>
      </c>
      <c r="E128" s="829">
        <f>SUMIFS('Distribución OyA Detalle'!$G:$G,'Distribución OyA Detalle'!$D:$D,$A128,'Distribución OyA Detalle'!$A:$A,3)</f>
        <v>8100000</v>
      </c>
      <c r="F128" s="829">
        <f>SUMIFS('Distribución OyA Detalle'!$G:$G,'Distribución OyA Detalle'!$D:$D,$A128,'Distribución OyA Detalle'!$A:$A,4)</f>
        <v>0</v>
      </c>
      <c r="G128" s="918">
        <f>+C128+D128+E128+F128</f>
        <v>18600000</v>
      </c>
      <c r="H128" s="23"/>
    </row>
    <row r="129" spans="1:8" ht="7.95" customHeight="1">
      <c r="A129" s="448"/>
      <c r="B129" s="436"/>
      <c r="C129" s="437"/>
      <c r="D129" s="437"/>
      <c r="E129" s="437"/>
      <c r="F129" s="437"/>
      <c r="G129" s="438"/>
      <c r="H129" s="23"/>
    </row>
    <row r="130" spans="1:8" ht="15.9" customHeight="1">
      <c r="A130" s="426" t="s">
        <v>137</v>
      </c>
      <c r="B130" s="449" t="s">
        <v>242</v>
      </c>
      <c r="C130" s="428">
        <f>SUM(C132)</f>
        <v>21766476.190000001</v>
      </c>
      <c r="D130" s="338">
        <f>SUM(D132)</f>
        <v>3438000</v>
      </c>
      <c r="E130" s="338">
        <f>SUM(E132)</f>
        <v>126007000</v>
      </c>
      <c r="F130" s="338">
        <f>SUM(F132)</f>
        <v>2910000</v>
      </c>
      <c r="G130" s="429">
        <f>SUM(G132)</f>
        <v>154121476.19</v>
      </c>
      <c r="H130" s="23"/>
    </row>
    <row r="131" spans="1:8" ht="7.95" customHeight="1">
      <c r="A131" s="430"/>
      <c r="B131" s="423"/>
      <c r="C131" s="424"/>
      <c r="D131" s="424"/>
      <c r="E131" s="424"/>
      <c r="F131" s="424"/>
      <c r="G131" s="425"/>
      <c r="H131" s="23"/>
    </row>
    <row r="132" spans="1:8" ht="15.9" customHeight="1">
      <c r="A132" s="451" t="s">
        <v>138</v>
      </c>
      <c r="B132" s="440" t="s">
        <v>139</v>
      </c>
      <c r="C132" s="829">
        <f>SUMIFS('Distribución OyA Detalle'!$G:$G,'Distribución OyA Detalle'!$D:$D,$A132,'Distribución OyA Detalle'!$A:$A,1)</f>
        <v>21766476.190000001</v>
      </c>
      <c r="D132" s="829">
        <f>SUMIFS('Distribución OyA Detalle'!$G:$G,'Distribución OyA Detalle'!$D:$D,$A132,'Distribución OyA Detalle'!$A:$A,2)</f>
        <v>3438000</v>
      </c>
      <c r="E132" s="829">
        <f>SUMIFS('Distribución OyA Detalle'!$G:$G,'Distribución OyA Detalle'!$D:$D,$A132,'Distribución OyA Detalle'!$A:$A,3)</f>
        <v>126007000</v>
      </c>
      <c r="F132" s="829">
        <f>SUMIFS('Distribución OyA Detalle'!$G:$G,'Distribución OyA Detalle'!$D:$D,$A132,'Distribución OyA Detalle'!$A:$A,4)</f>
        <v>2910000</v>
      </c>
      <c r="G132" s="918">
        <f>+C132+D132+E132+F132</f>
        <v>154121476.19</v>
      </c>
      <c r="H132" s="23"/>
    </row>
    <row r="133" spans="1:8" ht="9.9" customHeight="1">
      <c r="A133" s="465"/>
      <c r="B133" s="442"/>
      <c r="C133" s="443"/>
      <c r="D133" s="443"/>
      <c r="E133" s="443"/>
      <c r="F133" s="443"/>
      <c r="G133" s="444"/>
      <c r="H133" s="23"/>
    </row>
    <row r="134" spans="1:8" ht="15.9" customHeight="1">
      <c r="A134" s="426" t="s">
        <v>140</v>
      </c>
      <c r="B134" s="449" t="s">
        <v>141</v>
      </c>
      <c r="C134" s="428">
        <f>SUM(C136:C138)</f>
        <v>108150000</v>
      </c>
      <c r="D134" s="338">
        <f>SUM(D136:D138)</f>
        <v>600000</v>
      </c>
      <c r="E134" s="338">
        <f>SUM(E136:E138)</f>
        <v>104375000</v>
      </c>
      <c r="F134" s="338">
        <f>SUM(F136:F138)</f>
        <v>5600000</v>
      </c>
      <c r="G134" s="429">
        <f>SUM(G136:G138)</f>
        <v>218725000</v>
      </c>
      <c r="H134" s="23"/>
    </row>
    <row r="135" spans="1:8" ht="9.9" customHeight="1">
      <c r="A135" s="430"/>
      <c r="B135" s="423"/>
      <c r="C135" s="424"/>
      <c r="D135" s="424"/>
      <c r="E135" s="424"/>
      <c r="F135" s="424"/>
      <c r="G135" s="425"/>
      <c r="H135" s="23"/>
    </row>
    <row r="136" spans="1:8" ht="15.9" customHeight="1">
      <c r="A136" s="447" t="s">
        <v>142</v>
      </c>
      <c r="B136" s="432" t="s">
        <v>143</v>
      </c>
      <c r="C136" s="829">
        <f>SUMIFS('Distribución OyA Detalle'!$G:$G,'Distribución OyA Detalle'!$D:$D,$A136,'Distribución OyA Detalle'!$A:$A,1)</f>
        <v>107000000</v>
      </c>
      <c r="D136" s="829">
        <f>SUMIFS('Distribución OyA Detalle'!$G:$G,'Distribución OyA Detalle'!$D:$D,$A136,'Distribución OyA Detalle'!$A:$A,2)</f>
        <v>600000</v>
      </c>
      <c r="E136" s="829">
        <f>SUMIFS('Distribución OyA Detalle'!$G:$G,'Distribución OyA Detalle'!$D:$D,$A136,'Distribución OyA Detalle'!$A:$A,3)</f>
        <v>104375000</v>
      </c>
      <c r="F136" s="829">
        <f>SUMIFS('Distribución OyA Detalle'!$G:$G,'Distribución OyA Detalle'!$D:$D,$A136,'Distribución OyA Detalle'!$A:$A,4)</f>
        <v>5600000</v>
      </c>
      <c r="G136" s="918">
        <f>+C136+D136+E136+F136</f>
        <v>217575000</v>
      </c>
      <c r="H136" s="23"/>
    </row>
    <row r="137" spans="1:8" ht="15.9" customHeight="1">
      <c r="A137" s="447" t="s">
        <v>144</v>
      </c>
      <c r="B137" s="432" t="s">
        <v>145</v>
      </c>
      <c r="C137" s="829">
        <f>SUMIFS('Distribución OyA Detalle'!$G:$G,'Distribución OyA Detalle'!$D:$D,$A137,'Distribución OyA Detalle'!$A:$A,1)</f>
        <v>1000000</v>
      </c>
      <c r="D137" s="829">
        <f>SUMIFS('Distribución OyA Detalle'!$G:$G,'Distribución OyA Detalle'!$D:$D,$A137,'Distribución OyA Detalle'!$A:$A,2)</f>
        <v>0</v>
      </c>
      <c r="E137" s="829">
        <f>SUMIFS('Distribución OyA Detalle'!$G:$G,'Distribución OyA Detalle'!$D:$D,$A137,'Distribución OyA Detalle'!$A:$A,3)</f>
        <v>0</v>
      </c>
      <c r="F137" s="829">
        <f>SUMIFS('Distribución OyA Detalle'!$G:$G,'Distribución OyA Detalle'!$D:$D,$A137,'Distribución OyA Detalle'!$A:$A,4)</f>
        <v>0</v>
      </c>
      <c r="G137" s="918">
        <f>+C137+D137+E137+F137</f>
        <v>1000000</v>
      </c>
      <c r="H137" s="23"/>
    </row>
    <row r="138" spans="1:8" ht="15.9" customHeight="1">
      <c r="A138" s="451" t="s">
        <v>146</v>
      </c>
      <c r="B138" s="440" t="s">
        <v>147</v>
      </c>
      <c r="C138" s="829">
        <f>SUMIFS('Distribución OyA Detalle'!$G:$G,'Distribución OyA Detalle'!$D:$D,$A138,'Distribución OyA Detalle'!$A:$A,1)</f>
        <v>150000</v>
      </c>
      <c r="D138" s="829">
        <f>SUMIFS('Distribución OyA Detalle'!$G:$G,'Distribución OyA Detalle'!$D:$D,$A138,'Distribución OyA Detalle'!$A:$A,2)</f>
        <v>0</v>
      </c>
      <c r="E138" s="829">
        <f>SUMIFS('Distribución OyA Detalle'!$G:$G,'Distribución OyA Detalle'!$D:$D,$A138,'Distribución OyA Detalle'!$A:$A,3)</f>
        <v>0</v>
      </c>
      <c r="F138" s="829">
        <f>SUMIFS('Distribución OyA Detalle'!$G:$G,'Distribución OyA Detalle'!$D:$D,$A138,'Distribución OyA Detalle'!$A:$A,4)</f>
        <v>0</v>
      </c>
      <c r="G138" s="918">
        <f>+C138+D138+E138+F138</f>
        <v>150000</v>
      </c>
      <c r="H138" s="23"/>
    </row>
    <row r="139" spans="1:8" ht="9.9" customHeight="1">
      <c r="A139" s="465"/>
      <c r="B139" s="442"/>
      <c r="C139" s="443"/>
      <c r="D139" s="443"/>
      <c r="E139" s="443"/>
      <c r="F139" s="443"/>
      <c r="G139" s="444"/>
      <c r="H139" s="23"/>
    </row>
    <row r="140" spans="1:8" ht="15.9" customHeight="1">
      <c r="A140" s="426" t="s">
        <v>148</v>
      </c>
      <c r="B140" s="449" t="s">
        <v>149</v>
      </c>
      <c r="C140" s="428">
        <f>SUM(C142:C149)</f>
        <v>50800000</v>
      </c>
      <c r="D140" s="338">
        <f>SUM(D142:D149)</f>
        <v>0</v>
      </c>
      <c r="E140" s="338">
        <f>SUM(E142:E149)</f>
        <v>117846000</v>
      </c>
      <c r="F140" s="338">
        <f>SUM(F142:F149)</f>
        <v>0</v>
      </c>
      <c r="G140" s="429">
        <f>SUM(G142:G149)</f>
        <v>168646000</v>
      </c>
      <c r="H140" s="23"/>
    </row>
    <row r="141" spans="1:8" ht="9.9" customHeight="1">
      <c r="A141" s="430"/>
      <c r="B141" s="423"/>
      <c r="C141" s="424"/>
      <c r="D141" s="424"/>
      <c r="E141" s="424"/>
      <c r="F141" s="424"/>
      <c r="G141" s="425"/>
      <c r="H141" s="23"/>
    </row>
    <row r="142" spans="1:8" ht="15.9" customHeight="1" outlineLevel="1">
      <c r="A142" s="447" t="s">
        <v>150</v>
      </c>
      <c r="B142" s="432" t="s">
        <v>542</v>
      </c>
      <c r="C142" s="829">
        <f>SUMIFS('Distribución OyA Detalle'!$G:$G,'Distribución OyA Detalle'!$D:$D,$A142,'Distribución OyA Detalle'!$A:$A,1)</f>
        <v>500000</v>
      </c>
      <c r="D142" s="829">
        <f>SUMIFS('Distribución OyA Detalle'!$G:$G,'Distribución OyA Detalle'!$D:$D,$A142,'Distribución OyA Detalle'!$A:$A,2)</f>
        <v>0</v>
      </c>
      <c r="E142" s="829">
        <f>SUMIFS('Distribución OyA Detalle'!$G:$G,'Distribución OyA Detalle'!$D:$D,$A142,'Distribución OyA Detalle'!$A:$A,3)</f>
        <v>0</v>
      </c>
      <c r="F142" s="829">
        <f>SUMIFS('Distribución OyA Detalle'!$G:$G,'Distribución OyA Detalle'!$D:$D,$A142,'Distribución OyA Detalle'!$A:$A,4)</f>
        <v>0</v>
      </c>
      <c r="G142" s="918">
        <f t="shared" ref="G142:G149" si="3">+C142+D142+E142+F142</f>
        <v>500000</v>
      </c>
      <c r="H142" s="23"/>
    </row>
    <row r="143" spans="1:8" ht="15.9" hidden="1" customHeight="1">
      <c r="A143" s="447" t="s">
        <v>151</v>
      </c>
      <c r="B143" s="432" t="s">
        <v>152</v>
      </c>
      <c r="C143" s="829">
        <f>SUMIFS('Distribución OyA Detalle'!$G:$G,'Distribución OyA Detalle'!$D:$D,$A143,'Distribución OyA Detalle'!$A:$A,1)</f>
        <v>0</v>
      </c>
      <c r="D143" s="829">
        <f>SUMIFS('Distribución OyA Detalle'!$G:$G,'Distribución OyA Detalle'!$D:$D,$A143,'Distribución OyA Detalle'!$A:$A,2)</f>
        <v>0</v>
      </c>
      <c r="E143" s="829">
        <f>SUMIFS('Distribución OyA Detalle'!$G:$G,'Distribución OyA Detalle'!$D:$D,$A143,'Distribución OyA Detalle'!$A:$A,3)</f>
        <v>0</v>
      </c>
      <c r="F143" s="829">
        <f>SUMIFS('Distribución OyA Detalle'!$G:$G,'Distribución OyA Detalle'!$D:$D,$A143,'Distribución OyA Detalle'!$A:$A,4)</f>
        <v>0</v>
      </c>
      <c r="G143" s="918">
        <f t="shared" si="3"/>
        <v>0</v>
      </c>
      <c r="H143" s="23"/>
    </row>
    <row r="144" spans="1:8" ht="15.9" hidden="1" customHeight="1">
      <c r="A144" s="447" t="s">
        <v>344</v>
      </c>
      <c r="B144" s="432" t="s">
        <v>377</v>
      </c>
      <c r="C144" s="829">
        <f>SUMIFS('Distribución OyA Detalle'!$G:$G,'Distribución OyA Detalle'!$D:$D,$A144,'Distribución OyA Detalle'!$A:$A,1)</f>
        <v>0</v>
      </c>
      <c r="D144" s="829">
        <f>SUMIFS('Distribución OyA Detalle'!$G:$G,'Distribución OyA Detalle'!$D:$D,$A144,'Distribución OyA Detalle'!$A:$A,2)</f>
        <v>0</v>
      </c>
      <c r="E144" s="829">
        <f>SUMIFS('Distribución OyA Detalle'!$G:$G,'Distribución OyA Detalle'!$D:$D,$A144,'Distribución OyA Detalle'!$A:$A,3)</f>
        <v>0</v>
      </c>
      <c r="F144" s="829">
        <f>SUMIFS('Distribución OyA Detalle'!$G:$G,'Distribución OyA Detalle'!$D:$D,$A144,'Distribución OyA Detalle'!$A:$A,4)</f>
        <v>0</v>
      </c>
      <c r="G144" s="918">
        <f t="shared" si="3"/>
        <v>0</v>
      </c>
      <c r="H144" s="23"/>
    </row>
    <row r="145" spans="1:8" ht="15.9" customHeight="1">
      <c r="A145" s="447" t="s">
        <v>153</v>
      </c>
      <c r="B145" s="432" t="s">
        <v>748</v>
      </c>
      <c r="C145" s="829">
        <f>SUMIFS('Distribución OyA Detalle'!$G:$G,'Distribución OyA Detalle'!$D:$D,$A145,'Distribución OyA Detalle'!$A:$A,1)</f>
        <v>5000000</v>
      </c>
      <c r="D145" s="829">
        <f>SUMIFS('Distribución OyA Detalle'!$G:$G,'Distribución OyA Detalle'!$D:$D,$A145,'Distribución OyA Detalle'!$A:$A,2)</f>
        <v>0</v>
      </c>
      <c r="E145" s="829">
        <f>SUMIFS('Distribución OyA Detalle'!$G:$G,'Distribución OyA Detalle'!$D:$D,$A145,'Distribución OyA Detalle'!$A:$A,3)</f>
        <v>116846000</v>
      </c>
      <c r="F145" s="829">
        <f>SUMIFS('Distribución OyA Detalle'!$G:$G,'Distribución OyA Detalle'!$D:$D,$A145,'Distribución OyA Detalle'!$A:$A,4)</f>
        <v>0</v>
      </c>
      <c r="G145" s="918">
        <f t="shared" si="3"/>
        <v>121846000</v>
      </c>
      <c r="H145" s="23"/>
    </row>
    <row r="146" spans="1:8" ht="15.9" customHeight="1">
      <c r="A146" s="447" t="s">
        <v>154</v>
      </c>
      <c r="B146" s="432" t="s">
        <v>749</v>
      </c>
      <c r="C146" s="829">
        <f>SUMIFS('Distribución OyA Detalle'!$G:$G,'Distribución OyA Detalle'!$D:$D,$A146,'Distribución OyA Detalle'!$A:$A,1)</f>
        <v>1900000</v>
      </c>
      <c r="D146" s="829">
        <f>SUMIFS('Distribución OyA Detalle'!$G:$G,'Distribución OyA Detalle'!$D:$D,$A146,'Distribución OyA Detalle'!$A:$A,2)</f>
        <v>0</v>
      </c>
      <c r="E146" s="829">
        <f>SUMIFS('Distribución OyA Detalle'!$G:$G,'Distribución OyA Detalle'!$D:$D,$A146,'Distribución OyA Detalle'!$A:$A,3)</f>
        <v>0</v>
      </c>
      <c r="F146" s="829">
        <f>SUMIFS('Distribución OyA Detalle'!$G:$G,'Distribución OyA Detalle'!$D:$D,$A146,'Distribución OyA Detalle'!$A:$A,4)</f>
        <v>0</v>
      </c>
      <c r="G146" s="918">
        <f t="shared" si="3"/>
        <v>1900000</v>
      </c>
      <c r="H146" s="23"/>
    </row>
    <row r="147" spans="1:8" ht="15.9" customHeight="1">
      <c r="A147" s="447" t="s">
        <v>155</v>
      </c>
      <c r="B147" s="432" t="s">
        <v>750</v>
      </c>
      <c r="C147" s="829">
        <f>SUMIFS('Distribución OyA Detalle'!$G:$G,'Distribución OyA Detalle'!$D:$D,$A147,'Distribución OyA Detalle'!$A:$A,1)</f>
        <v>4100000</v>
      </c>
      <c r="D147" s="829">
        <f>SUMIFS('Distribución OyA Detalle'!$G:$G,'Distribución OyA Detalle'!$D:$D,$A147,'Distribución OyA Detalle'!$A:$A,2)</f>
        <v>0</v>
      </c>
      <c r="E147" s="829">
        <f>SUMIFS('Distribución OyA Detalle'!$G:$G,'Distribución OyA Detalle'!$D:$D,$A147,'Distribución OyA Detalle'!$A:$A,3)</f>
        <v>0</v>
      </c>
      <c r="F147" s="829">
        <f>SUMIFS('Distribución OyA Detalle'!$G:$G,'Distribución OyA Detalle'!$D:$D,$A147,'Distribución OyA Detalle'!$A:$A,4)</f>
        <v>0</v>
      </c>
      <c r="G147" s="918">
        <f t="shared" si="3"/>
        <v>4100000</v>
      </c>
      <c r="H147" s="23"/>
    </row>
    <row r="148" spans="1:8" ht="15.9" customHeight="1">
      <c r="A148" s="447" t="s">
        <v>156</v>
      </c>
      <c r="B148" s="432" t="s">
        <v>751</v>
      </c>
      <c r="C148" s="829">
        <f>SUMIFS('Distribución OyA Detalle'!$G:$G,'Distribución OyA Detalle'!$D:$D,$A148,'Distribución OyA Detalle'!$A:$A,1)</f>
        <v>39000000</v>
      </c>
      <c r="D148" s="829">
        <f>SUMIFS('Distribución OyA Detalle'!$G:$G,'Distribución OyA Detalle'!$D:$D,$A148,'Distribución OyA Detalle'!$A:$A,2)</f>
        <v>0</v>
      </c>
      <c r="E148" s="829">
        <f>SUMIFS('Distribución OyA Detalle'!$G:$G,'Distribución OyA Detalle'!$D:$D,$A148,'Distribución OyA Detalle'!$A:$A,3)</f>
        <v>1000000</v>
      </c>
      <c r="F148" s="829">
        <f>SUMIFS('Distribución OyA Detalle'!$G:$G,'Distribución OyA Detalle'!$D:$D,$A148,'Distribución OyA Detalle'!$A:$A,4)</f>
        <v>0</v>
      </c>
      <c r="G148" s="918">
        <f t="shared" si="3"/>
        <v>40000000</v>
      </c>
      <c r="H148" s="23"/>
    </row>
    <row r="149" spans="1:8" ht="15.9" customHeight="1">
      <c r="A149" s="447" t="s">
        <v>157</v>
      </c>
      <c r="B149" s="432" t="s">
        <v>787</v>
      </c>
      <c r="C149" s="829">
        <f>SUMIFS('Distribución OyA Detalle'!$G:$G,'Distribución OyA Detalle'!$D:$D,$A149,'Distribución OyA Detalle'!$A:$A,1)</f>
        <v>300000</v>
      </c>
      <c r="D149" s="829">
        <f>SUMIFS('Distribución OyA Detalle'!$G:$G,'Distribución OyA Detalle'!$D:$D,$A149,'Distribución OyA Detalle'!$A:$A,2)</f>
        <v>0</v>
      </c>
      <c r="E149" s="829">
        <f>SUMIFS('Distribución OyA Detalle'!$G:$G,'Distribución OyA Detalle'!$D:$D,$A149,'Distribución OyA Detalle'!$A:$A,3)</f>
        <v>0</v>
      </c>
      <c r="F149" s="829">
        <f>SUMIFS('Distribución OyA Detalle'!$G:$G,'Distribución OyA Detalle'!$D:$D,$A149,'Distribución OyA Detalle'!$A:$A,4)</f>
        <v>0</v>
      </c>
      <c r="G149" s="918">
        <f t="shared" si="3"/>
        <v>300000</v>
      </c>
      <c r="H149" s="23"/>
    </row>
    <row r="150" spans="1:8" ht="9.9" customHeight="1">
      <c r="A150" s="448"/>
      <c r="B150" s="436"/>
      <c r="C150" s="437"/>
      <c r="D150" s="437"/>
      <c r="E150" s="437"/>
      <c r="F150" s="437"/>
      <c r="G150" s="438"/>
      <c r="H150" s="23"/>
    </row>
    <row r="151" spans="1:8" ht="15.9" customHeight="1">
      <c r="A151" s="426" t="s">
        <v>345</v>
      </c>
      <c r="B151" s="449" t="s">
        <v>346</v>
      </c>
      <c r="C151" s="428">
        <f>SUM(C153)</f>
        <v>1990000</v>
      </c>
      <c r="D151" s="338">
        <f>SUM(D153)</f>
        <v>0</v>
      </c>
      <c r="E151" s="338">
        <f>SUM(E153)</f>
        <v>350000</v>
      </c>
      <c r="F151" s="338">
        <f>SUM(F153)</f>
        <v>0</v>
      </c>
      <c r="G151" s="429">
        <f>SUM(G153)</f>
        <v>2340000</v>
      </c>
      <c r="H151" s="23"/>
    </row>
    <row r="152" spans="1:8" ht="9.9" customHeight="1">
      <c r="A152" s="430"/>
      <c r="B152" s="423"/>
      <c r="C152" s="424"/>
      <c r="D152" s="424"/>
      <c r="E152" s="424"/>
      <c r="F152" s="424"/>
      <c r="G152" s="425"/>
      <c r="H152" s="23"/>
    </row>
    <row r="153" spans="1:8" ht="15.9" customHeight="1">
      <c r="A153" s="451" t="s">
        <v>347</v>
      </c>
      <c r="B153" s="440" t="s">
        <v>348</v>
      </c>
      <c r="C153" s="829">
        <f>SUMIFS('Distribución OyA Detalle'!$G:$G,'Distribución OyA Detalle'!$D:$D,$A153,'Distribución OyA Detalle'!$A:$A,1)</f>
        <v>1990000</v>
      </c>
      <c r="D153" s="829">
        <f>SUMIFS('Distribución OyA Detalle'!$G:$G,'Distribución OyA Detalle'!$D:$D,$A153,'Distribución OyA Detalle'!$A:$A,2)</f>
        <v>0</v>
      </c>
      <c r="E153" s="829">
        <f>SUMIFS('Distribución OyA Detalle'!$G:$G,'Distribución OyA Detalle'!$D:$D,$A153,'Distribución OyA Detalle'!$A:$A,3)</f>
        <v>350000</v>
      </c>
      <c r="F153" s="829">
        <f>SUMIFS('Distribución OyA Detalle'!$G:$G,'Distribución OyA Detalle'!$D:$D,$A153,'Distribución OyA Detalle'!$A:$A,4)</f>
        <v>0</v>
      </c>
      <c r="G153" s="918">
        <f>+C153+D153+E153+F153</f>
        <v>2340000</v>
      </c>
      <c r="H153" s="23"/>
    </row>
    <row r="154" spans="1:8" ht="9.9" customHeight="1">
      <c r="A154" s="465"/>
      <c r="B154" s="442"/>
      <c r="C154" s="443"/>
      <c r="D154" s="443"/>
      <c r="E154" s="443"/>
      <c r="F154" s="443"/>
      <c r="G154" s="444"/>
      <c r="H154" s="23"/>
    </row>
    <row r="155" spans="1:8" ht="15.9" customHeight="1">
      <c r="A155" s="426" t="s">
        <v>158</v>
      </c>
      <c r="B155" s="449" t="s">
        <v>159</v>
      </c>
      <c r="C155" s="428">
        <f>SUM(C157:C159)</f>
        <v>4300000</v>
      </c>
      <c r="D155" s="338">
        <f>SUM(D157:D159)</f>
        <v>0</v>
      </c>
      <c r="E155" s="338">
        <f>SUM(E157:E159)</f>
        <v>90000</v>
      </c>
      <c r="F155" s="338">
        <f>SUM(F157:F159)</f>
        <v>0</v>
      </c>
      <c r="G155" s="429">
        <f>SUM(G157:G159)</f>
        <v>4390000</v>
      </c>
      <c r="H155" s="23"/>
    </row>
    <row r="156" spans="1:8" ht="9.9" customHeight="1" outlineLevel="1">
      <c r="A156" s="430"/>
      <c r="B156" s="423"/>
      <c r="C156" s="424"/>
      <c r="D156" s="424"/>
      <c r="E156" s="424"/>
      <c r="F156" s="424"/>
      <c r="G156" s="425"/>
      <c r="H156" s="23"/>
    </row>
    <row r="157" spans="1:8" ht="15.9" customHeight="1">
      <c r="A157" s="451" t="s">
        <v>349</v>
      </c>
      <c r="B157" s="440" t="s">
        <v>350</v>
      </c>
      <c r="C157" s="829">
        <f>SUMIFS('Distribución OyA Detalle'!$G:$G,'Distribución OyA Detalle'!$D:$D,$A157,'Distribución OyA Detalle'!$A:$A,1)</f>
        <v>500000</v>
      </c>
      <c r="D157" s="829">
        <f>SUMIFS('Distribución OyA Detalle'!$G:$G,'Distribución OyA Detalle'!$D:$D,$A157,'Distribución OyA Detalle'!$A:$A,2)</f>
        <v>0</v>
      </c>
      <c r="E157" s="829">
        <f>SUMIFS('Distribución OyA Detalle'!$G:$G,'Distribución OyA Detalle'!$D:$D,$A157,'Distribución OyA Detalle'!$A:$A,3)</f>
        <v>0</v>
      </c>
      <c r="F157" s="829">
        <f>SUMIFS('Distribución OyA Detalle'!$G:$G,'Distribución OyA Detalle'!$D:$D,$A157,'Distribución OyA Detalle'!$A:$A,4)</f>
        <v>0</v>
      </c>
      <c r="G157" s="918">
        <f>+C157+D157+E157+F157</f>
        <v>500000</v>
      </c>
      <c r="H157" s="23"/>
    </row>
    <row r="158" spans="1:8" ht="15.9" customHeight="1">
      <c r="A158" s="447" t="s">
        <v>160</v>
      </c>
      <c r="B158" s="432" t="s">
        <v>161</v>
      </c>
      <c r="C158" s="829">
        <f>SUMIFS('Distribución OyA Detalle'!$G:$G,'Distribución OyA Detalle'!$D:$D,$A158,'Distribución OyA Detalle'!$A:$A,1)</f>
        <v>3600000</v>
      </c>
      <c r="D158" s="829">
        <f>SUMIFS('Distribución OyA Detalle'!$G:$G,'Distribución OyA Detalle'!$D:$D,$A158,'Distribución OyA Detalle'!$A:$A,2)</f>
        <v>0</v>
      </c>
      <c r="E158" s="829">
        <f>SUMIFS('Distribución OyA Detalle'!$G:$G,'Distribución OyA Detalle'!$D:$D,$A158,'Distribución OyA Detalle'!$A:$A,3)</f>
        <v>0</v>
      </c>
      <c r="F158" s="829">
        <f>SUMIFS('Distribución OyA Detalle'!$G:$G,'Distribución OyA Detalle'!$D:$D,$A158,'Distribución OyA Detalle'!$A:$A,4)</f>
        <v>0</v>
      </c>
      <c r="G158" s="918">
        <f>+C158+D158+E158+F158</f>
        <v>3600000</v>
      </c>
      <c r="H158" s="23"/>
    </row>
    <row r="159" spans="1:8" ht="15.9" customHeight="1">
      <c r="A159" s="447" t="s">
        <v>162</v>
      </c>
      <c r="B159" s="432" t="s">
        <v>163</v>
      </c>
      <c r="C159" s="829">
        <f>SUMIFS('Distribución OyA Detalle'!$G:$G,'Distribución OyA Detalle'!$D:$D,$A159,'Distribución OyA Detalle'!$A:$A,1)</f>
        <v>200000</v>
      </c>
      <c r="D159" s="829">
        <f>SUMIFS('Distribución OyA Detalle'!$G:$G,'Distribución OyA Detalle'!$D:$D,$A159,'Distribución OyA Detalle'!$A:$A,2)</f>
        <v>0</v>
      </c>
      <c r="E159" s="829">
        <f>SUMIFS('Distribución OyA Detalle'!$G:$G,'Distribución OyA Detalle'!$D:$D,$A159,'Distribución OyA Detalle'!$A:$A,3)</f>
        <v>90000</v>
      </c>
      <c r="F159" s="829">
        <f>SUMIFS('Distribución OyA Detalle'!$G:$G,'Distribución OyA Detalle'!$D:$D,$A159,'Distribución OyA Detalle'!$A:$A,4)</f>
        <v>0</v>
      </c>
      <c r="G159" s="918">
        <f>+C159+D159+E159+F159</f>
        <v>290000</v>
      </c>
      <c r="H159" s="23"/>
    </row>
    <row r="160" spans="1:8" ht="9.9" customHeight="1" thickBot="1">
      <c r="A160" s="469"/>
      <c r="B160" s="470"/>
      <c r="C160" s="471"/>
      <c r="D160" s="471"/>
      <c r="E160" s="471"/>
      <c r="F160" s="471"/>
      <c r="G160" s="472"/>
      <c r="H160" s="23"/>
    </row>
    <row r="161" spans="1:8" ht="15.9" customHeight="1" collapsed="1" thickBot="1">
      <c r="A161" s="456">
        <v>2</v>
      </c>
      <c r="B161" s="415" t="s">
        <v>21</v>
      </c>
      <c r="C161" s="457">
        <f>+C163+C170+C174+C183+C188</f>
        <v>79774781</v>
      </c>
      <c r="D161" s="458">
        <f>+D163+D170+D174+D183+D188</f>
        <v>0</v>
      </c>
      <c r="E161" s="458">
        <f>+E163+E170+E174+E183+E188</f>
        <v>206784643</v>
      </c>
      <c r="F161" s="458">
        <f>+F163+F170+F174+F183+F188</f>
        <v>1000000</v>
      </c>
      <c r="G161" s="459">
        <f>+G163+G170+G174+G183+G188</f>
        <v>287559424</v>
      </c>
      <c r="H161" s="23"/>
    </row>
    <row r="162" spans="1:8" ht="9.9" customHeight="1">
      <c r="A162" s="460"/>
      <c r="B162" s="461"/>
      <c r="C162" s="462"/>
      <c r="D162" s="462"/>
      <c r="E162" s="462"/>
      <c r="F162" s="462"/>
      <c r="G162" s="463"/>
      <c r="H162" s="23"/>
    </row>
    <row r="163" spans="1:8" ht="15.9" customHeight="1">
      <c r="A163" s="426" t="s">
        <v>164</v>
      </c>
      <c r="B163" s="449" t="s">
        <v>165</v>
      </c>
      <c r="C163" s="428">
        <f>SUM(C165:C168)</f>
        <v>58794926</v>
      </c>
      <c r="D163" s="338">
        <f>SUM(D165:D168)</f>
        <v>0</v>
      </c>
      <c r="E163" s="338">
        <f>SUM(E165:E168)</f>
        <v>150796518</v>
      </c>
      <c r="F163" s="338">
        <f>SUM(F165:F168)</f>
        <v>0</v>
      </c>
      <c r="G163" s="429">
        <f>SUM(G165:G168)</f>
        <v>209591444</v>
      </c>
      <c r="H163" s="23"/>
    </row>
    <row r="164" spans="1:8" ht="9.9" customHeight="1" outlineLevel="1">
      <c r="A164" s="430"/>
      <c r="B164" s="423"/>
      <c r="C164" s="424"/>
      <c r="D164" s="424"/>
      <c r="E164" s="424"/>
      <c r="F164" s="424"/>
      <c r="G164" s="425"/>
      <c r="H164" s="23"/>
    </row>
    <row r="165" spans="1:8" ht="15.9" customHeight="1" outlineLevel="1">
      <c r="A165" s="447" t="s">
        <v>166</v>
      </c>
      <c r="B165" s="432" t="s">
        <v>167</v>
      </c>
      <c r="C165" s="829">
        <f>SUMIFS('Distribución OyA Detalle'!$G:$G,'Distribución OyA Detalle'!$D:$D,$A165,'Distribución OyA Detalle'!$A:$A,1)</f>
        <v>53005686</v>
      </c>
      <c r="D165" s="829">
        <f>SUMIFS('Distribución OyA Detalle'!$G:$G,'Distribución OyA Detalle'!$D:$D,$A165,'Distribución OyA Detalle'!$A:$A,2)</f>
        <v>0</v>
      </c>
      <c r="E165" s="829">
        <f>SUMIFS('Distribución OyA Detalle'!$G:$G,'Distribución OyA Detalle'!$D:$D,$A165,'Distribución OyA Detalle'!$A:$A,3)</f>
        <v>140951728</v>
      </c>
      <c r="F165" s="829">
        <f>SUMIFS('Distribución OyA Detalle'!$G:$G,'Distribución OyA Detalle'!$D:$D,$A165,'Distribución OyA Detalle'!$A:$A,4)</f>
        <v>0</v>
      </c>
      <c r="G165" s="918">
        <f>+C165+D165+E165+F165</f>
        <v>193957414</v>
      </c>
      <c r="H165" s="23"/>
    </row>
    <row r="166" spans="1:8" ht="15.9" customHeight="1">
      <c r="A166" s="447" t="s">
        <v>168</v>
      </c>
      <c r="B166" s="432" t="s">
        <v>169</v>
      </c>
      <c r="C166" s="829">
        <f>SUMIFS('Distribución OyA Detalle'!$G:$G,'Distribución OyA Detalle'!$D:$D,$A166,'Distribución OyA Detalle'!$A:$A,1)</f>
        <v>551140</v>
      </c>
      <c r="D166" s="829">
        <f>SUMIFS('Distribución OyA Detalle'!$G:$G,'Distribución OyA Detalle'!$D:$D,$A166,'Distribución OyA Detalle'!$A:$A,2)</f>
        <v>0</v>
      </c>
      <c r="E166" s="829">
        <f>SUMIFS('Distribución OyA Detalle'!$G:$G,'Distribución OyA Detalle'!$D:$D,$A166,'Distribución OyA Detalle'!$A:$A,3)</f>
        <v>9782790</v>
      </c>
      <c r="F166" s="829">
        <f>SUMIFS('Distribución OyA Detalle'!$G:$G,'Distribución OyA Detalle'!$D:$D,$A166,'Distribución OyA Detalle'!$A:$A,4)</f>
        <v>0</v>
      </c>
      <c r="G166" s="918">
        <f>+C166+D166+E166+F166</f>
        <v>10333930</v>
      </c>
      <c r="H166" s="23"/>
    </row>
    <row r="167" spans="1:8" ht="15.9" customHeight="1" outlineLevel="1">
      <c r="A167" s="447" t="s">
        <v>170</v>
      </c>
      <c r="B167" s="432" t="s">
        <v>171</v>
      </c>
      <c r="C167" s="829">
        <f>SUMIFS('Distribución OyA Detalle'!$G:$G,'Distribución OyA Detalle'!$D:$D,$A167,'Distribución OyA Detalle'!$A:$A,1)</f>
        <v>5238100</v>
      </c>
      <c r="D167" s="829">
        <f>SUMIFS('Distribución OyA Detalle'!$G:$G,'Distribución OyA Detalle'!$D:$D,$A167,'Distribución OyA Detalle'!$A:$A,2)</f>
        <v>0</v>
      </c>
      <c r="E167" s="829">
        <f>SUMIFS('Distribución OyA Detalle'!$G:$G,'Distribución OyA Detalle'!$D:$D,$A167,'Distribución OyA Detalle'!$A:$A,3)</f>
        <v>62000</v>
      </c>
      <c r="F167" s="829">
        <f>SUMIFS('Distribución OyA Detalle'!$G:$G,'Distribución OyA Detalle'!$D:$D,$A167,'Distribución OyA Detalle'!$A:$A,4)</f>
        <v>0</v>
      </c>
      <c r="G167" s="918">
        <f>+C167+D167+E167+F167</f>
        <v>5300100</v>
      </c>
      <c r="H167" s="23"/>
    </row>
    <row r="168" spans="1:8" ht="15.9" hidden="1" customHeight="1">
      <c r="A168" s="447" t="s">
        <v>172</v>
      </c>
      <c r="B168" s="432" t="s">
        <v>378</v>
      </c>
      <c r="C168" s="433">
        <v>0</v>
      </c>
      <c r="D168" s="433">
        <v>0</v>
      </c>
      <c r="E168" s="433">
        <v>0</v>
      </c>
      <c r="F168" s="433">
        <v>0</v>
      </c>
      <c r="G168" s="434">
        <f>SUM(C168:F168)</f>
        <v>0</v>
      </c>
      <c r="H168" s="23"/>
    </row>
    <row r="169" spans="1:8" ht="15.9" hidden="1" customHeight="1" outlineLevel="1">
      <c r="A169" s="448"/>
      <c r="B169" s="436"/>
      <c r="C169" s="437"/>
      <c r="D169" s="437"/>
      <c r="E169" s="437"/>
      <c r="F169" s="437"/>
      <c r="G169" s="438"/>
      <c r="H169" s="23"/>
    </row>
    <row r="170" spans="1:8" ht="15.9" hidden="1" customHeight="1" collapsed="1">
      <c r="A170" s="426" t="s">
        <v>298</v>
      </c>
      <c r="B170" s="449" t="s">
        <v>299</v>
      </c>
      <c r="C170" s="428">
        <f>SUM(C172)</f>
        <v>0</v>
      </c>
      <c r="D170" s="338">
        <f>SUM(D172)</f>
        <v>0</v>
      </c>
      <c r="E170" s="338">
        <f>SUM(E172)</f>
        <v>0</v>
      </c>
      <c r="F170" s="338">
        <f>SUM(F172)</f>
        <v>0</v>
      </c>
      <c r="G170" s="429">
        <f>SUM(G172)</f>
        <v>0</v>
      </c>
      <c r="H170" s="23"/>
    </row>
    <row r="171" spans="1:8" ht="15.9" hidden="1" customHeight="1">
      <c r="A171" s="430"/>
      <c r="B171" s="423"/>
      <c r="C171" s="424"/>
      <c r="D171" s="424"/>
      <c r="E171" s="424"/>
      <c r="F171" s="424"/>
      <c r="G171" s="425"/>
      <c r="H171" s="23"/>
    </row>
    <row r="172" spans="1:8" ht="15.9" hidden="1" customHeight="1">
      <c r="A172" s="451" t="s">
        <v>300</v>
      </c>
      <c r="B172" s="440" t="s">
        <v>301</v>
      </c>
      <c r="C172" s="433"/>
      <c r="D172" s="433"/>
      <c r="E172" s="433"/>
      <c r="F172" s="433"/>
      <c r="G172" s="434">
        <f>SUM(C172:F172)</f>
        <v>0</v>
      </c>
      <c r="H172" s="23"/>
    </row>
    <row r="173" spans="1:8" ht="9.9" customHeight="1">
      <c r="A173" s="465"/>
      <c r="B173" s="442"/>
      <c r="C173" s="443"/>
      <c r="D173" s="443"/>
      <c r="E173" s="443"/>
      <c r="F173" s="443"/>
      <c r="G173" s="444"/>
      <c r="H173" s="23"/>
    </row>
    <row r="174" spans="1:8" ht="15.9" customHeight="1">
      <c r="A174" s="426" t="s">
        <v>173</v>
      </c>
      <c r="B174" s="449" t="s">
        <v>243</v>
      </c>
      <c r="C174" s="428">
        <f>SUM(C176:C181)</f>
        <v>571000</v>
      </c>
      <c r="D174" s="338">
        <f>SUM(D176:D181)</f>
        <v>0</v>
      </c>
      <c r="E174" s="338">
        <f>SUM(E176:E181)</f>
        <v>3259320</v>
      </c>
      <c r="F174" s="338">
        <f>SUM(F176:F181)</f>
        <v>0</v>
      </c>
      <c r="G174" s="429">
        <f>SUM(G176:G181)</f>
        <v>3830320</v>
      </c>
      <c r="H174" s="23"/>
    </row>
    <row r="175" spans="1:8" ht="9.9" customHeight="1">
      <c r="A175" s="430"/>
      <c r="B175" s="423"/>
      <c r="C175" s="424"/>
      <c r="D175" s="424"/>
      <c r="E175" s="424"/>
      <c r="F175" s="424"/>
      <c r="G175" s="425"/>
      <c r="H175" s="23"/>
    </row>
    <row r="176" spans="1:8" ht="15.9" hidden="1" customHeight="1">
      <c r="A176" s="447" t="s">
        <v>174</v>
      </c>
      <c r="B176" s="432" t="s">
        <v>175</v>
      </c>
      <c r="C176" s="433"/>
      <c r="D176" s="433"/>
      <c r="E176" s="433"/>
      <c r="F176" s="433"/>
      <c r="G176" s="434">
        <f t="shared" ref="G176:G181" si="4">SUM(C176:F176)</f>
        <v>0</v>
      </c>
      <c r="H176" s="23"/>
    </row>
    <row r="177" spans="1:8" ht="15.9" hidden="1" customHeight="1">
      <c r="A177" s="447" t="s">
        <v>176</v>
      </c>
      <c r="B177" s="432" t="s">
        <v>379</v>
      </c>
      <c r="C177" s="433"/>
      <c r="D177" s="433"/>
      <c r="E177" s="433"/>
      <c r="F177" s="433"/>
      <c r="G177" s="434">
        <f t="shared" si="4"/>
        <v>0</v>
      </c>
      <c r="H177" s="23"/>
    </row>
    <row r="178" spans="1:8" ht="15.9" customHeight="1">
      <c r="A178" s="447" t="s">
        <v>178</v>
      </c>
      <c r="B178" s="432" t="s">
        <v>179</v>
      </c>
      <c r="C178" s="829">
        <f>SUMIFS('Distribución OyA Detalle'!$G:$G,'Distribución OyA Detalle'!$D:$D,$A178,'Distribución OyA Detalle'!$A:$A,1)</f>
        <v>571000</v>
      </c>
      <c r="D178" s="829">
        <f>SUMIFS('Distribución OyA Detalle'!$G:$G,'Distribución OyA Detalle'!$D:$D,$A178,'Distribución OyA Detalle'!$A:$A,2)</f>
        <v>0</v>
      </c>
      <c r="E178" s="829">
        <f>SUMIFS('Distribución OyA Detalle'!$G:$G,'Distribución OyA Detalle'!$D:$D,$A178,'Distribución OyA Detalle'!$A:$A,3)</f>
        <v>3259320</v>
      </c>
      <c r="F178" s="829">
        <f>SUMIFS('Distribución OyA Detalle'!$G:$G,'Distribución OyA Detalle'!$D:$D,$A178,'Distribución OyA Detalle'!$A:$A,4)</f>
        <v>0</v>
      </c>
      <c r="G178" s="918">
        <f>+C178+D178+E178+F178</f>
        <v>3830320</v>
      </c>
      <c r="H178" s="23"/>
    </row>
    <row r="179" spans="1:8" ht="15.9" hidden="1" customHeight="1">
      <c r="A179" s="447" t="s">
        <v>180</v>
      </c>
      <c r="B179" s="432" t="s">
        <v>181</v>
      </c>
      <c r="C179" s="433"/>
      <c r="D179" s="433"/>
      <c r="E179" s="433"/>
      <c r="F179" s="433"/>
      <c r="G179" s="434">
        <f t="shared" si="4"/>
        <v>0</v>
      </c>
      <c r="H179" s="23"/>
    </row>
    <row r="180" spans="1:8" ht="15.9" hidden="1" customHeight="1">
      <c r="A180" s="447" t="s">
        <v>182</v>
      </c>
      <c r="B180" s="432" t="s">
        <v>183</v>
      </c>
      <c r="C180" s="433"/>
      <c r="D180" s="433"/>
      <c r="E180" s="433"/>
      <c r="F180" s="433"/>
      <c r="G180" s="434">
        <f t="shared" si="4"/>
        <v>0</v>
      </c>
      <c r="H180" s="23"/>
    </row>
    <row r="181" spans="1:8" ht="15.9" hidden="1" customHeight="1">
      <c r="A181" s="447" t="s">
        <v>184</v>
      </c>
      <c r="B181" s="432" t="s">
        <v>380</v>
      </c>
      <c r="C181" s="433"/>
      <c r="D181" s="433"/>
      <c r="E181" s="433"/>
      <c r="F181" s="433"/>
      <c r="G181" s="434">
        <f t="shared" si="4"/>
        <v>0</v>
      </c>
      <c r="H181" s="23"/>
    </row>
    <row r="182" spans="1:8" ht="9.9" customHeight="1">
      <c r="A182" s="448"/>
      <c r="B182" s="436"/>
      <c r="C182" s="437"/>
      <c r="D182" s="437"/>
      <c r="E182" s="437"/>
      <c r="F182" s="437"/>
      <c r="G182" s="438"/>
      <c r="H182" s="23"/>
    </row>
    <row r="183" spans="1:8" ht="15.9" customHeight="1" outlineLevel="1">
      <c r="A183" s="426" t="s">
        <v>185</v>
      </c>
      <c r="B183" s="449" t="s">
        <v>186</v>
      </c>
      <c r="C183" s="428">
        <f>SUM(C185:C186)</f>
        <v>4713055</v>
      </c>
      <c r="D183" s="338">
        <f>SUM(D185:D186)</f>
        <v>0</v>
      </c>
      <c r="E183" s="338">
        <f>SUM(E185:E186)</f>
        <v>15236220</v>
      </c>
      <c r="F183" s="338">
        <f>SUM(F185:F186)</f>
        <v>0</v>
      </c>
      <c r="G183" s="429">
        <f>SUM(G185:G186)</f>
        <v>19949275</v>
      </c>
      <c r="H183" s="23"/>
    </row>
    <row r="184" spans="1:8" ht="9.9" customHeight="1" outlineLevel="1">
      <c r="A184" s="430"/>
      <c r="B184" s="423"/>
      <c r="C184" s="424"/>
      <c r="D184" s="424"/>
      <c r="E184" s="424"/>
      <c r="F184" s="424"/>
      <c r="G184" s="425"/>
      <c r="H184" s="23"/>
    </row>
    <row r="185" spans="1:8" ht="15.9" hidden="1" customHeight="1">
      <c r="A185" s="447" t="s">
        <v>187</v>
      </c>
      <c r="B185" s="432" t="s">
        <v>188</v>
      </c>
      <c r="C185" s="433"/>
      <c r="D185" s="433"/>
      <c r="E185" s="433"/>
      <c r="F185" s="433"/>
      <c r="G185" s="434">
        <f>SUM(C185:F185)</f>
        <v>0</v>
      </c>
      <c r="H185" s="23"/>
    </row>
    <row r="186" spans="1:8" ht="15.9" customHeight="1">
      <c r="A186" s="447" t="s">
        <v>189</v>
      </c>
      <c r="B186" s="432" t="s">
        <v>190</v>
      </c>
      <c r="C186" s="829">
        <f>SUMIFS('Distribución OyA Detalle'!$G:$G,'Distribución OyA Detalle'!$D:$D,$A186,'Distribución OyA Detalle'!$A:$A,1)</f>
        <v>4713055</v>
      </c>
      <c r="D186" s="829">
        <f>SUMIFS('Distribución OyA Detalle'!$G:$G,'Distribución OyA Detalle'!$D:$D,$A186,'Distribución OyA Detalle'!$A:$A,2)</f>
        <v>0</v>
      </c>
      <c r="E186" s="829">
        <f>SUMIFS('Distribución OyA Detalle'!$G:$G,'Distribución OyA Detalle'!$D:$D,$A186,'Distribución OyA Detalle'!$A:$A,3)</f>
        <v>15236220</v>
      </c>
      <c r="F186" s="829">
        <f>SUMIFS('Distribución OyA Detalle'!$G:$G,'Distribución OyA Detalle'!$D:$D,$A186,'Distribución OyA Detalle'!$A:$A,4)</f>
        <v>0</v>
      </c>
      <c r="G186" s="918">
        <f>+C186+D186+E186+F186</f>
        <v>19949275</v>
      </c>
      <c r="H186" s="23"/>
    </row>
    <row r="187" spans="1:8" ht="9.9" customHeight="1">
      <c r="A187" s="448"/>
      <c r="B187" s="436"/>
      <c r="C187" s="437"/>
      <c r="D187" s="437"/>
      <c r="E187" s="437"/>
      <c r="F187" s="437"/>
      <c r="G187" s="438"/>
      <c r="H187" s="23"/>
    </row>
    <row r="188" spans="1:8" ht="15.9" customHeight="1">
      <c r="A188" s="426" t="s">
        <v>191</v>
      </c>
      <c r="B188" s="449" t="s">
        <v>244</v>
      </c>
      <c r="C188" s="428">
        <f>SUM(C190:C197)</f>
        <v>15695800</v>
      </c>
      <c r="D188" s="338">
        <f>SUM(D190:D197)</f>
        <v>0</v>
      </c>
      <c r="E188" s="338">
        <f>SUM(E190:E197)</f>
        <v>37492585</v>
      </c>
      <c r="F188" s="338">
        <f>SUM(F190:F197)</f>
        <v>1000000</v>
      </c>
      <c r="G188" s="429">
        <f>SUM(G190:G197)</f>
        <v>54188385</v>
      </c>
      <c r="H188" s="23"/>
    </row>
    <row r="189" spans="1:8" ht="9.9" customHeight="1">
      <c r="A189" s="430"/>
      <c r="B189" s="423"/>
      <c r="C189" s="424"/>
      <c r="D189" s="424"/>
      <c r="E189" s="424"/>
      <c r="F189" s="424"/>
      <c r="G189" s="425"/>
      <c r="H189" s="23"/>
    </row>
    <row r="190" spans="1:8" ht="15.9" customHeight="1">
      <c r="A190" s="447" t="s">
        <v>192</v>
      </c>
      <c r="B190" s="473" t="s">
        <v>193</v>
      </c>
      <c r="C190" s="829">
        <f>SUMIFS('Distribución OyA Detalle'!$G:$G,'Distribución OyA Detalle'!$D:$D,$A190,'Distribución OyA Detalle'!$A:$A,1)</f>
        <v>2158868</v>
      </c>
      <c r="D190" s="829">
        <f>SUMIFS('Distribución OyA Detalle'!$G:$G,'Distribución OyA Detalle'!$D:$D,$A190,'Distribución OyA Detalle'!$A:$A,2)</f>
        <v>0</v>
      </c>
      <c r="E190" s="829">
        <f>SUMIFS('Distribución OyA Detalle'!$G:$G,'Distribución OyA Detalle'!$D:$D,$A190,'Distribución OyA Detalle'!$A:$A,3)</f>
        <v>3347760</v>
      </c>
      <c r="F190" s="829">
        <f>SUMIFS('Distribución OyA Detalle'!$G:$G,'Distribución OyA Detalle'!$D:$D,$A190,'Distribución OyA Detalle'!$A:$A,4)</f>
        <v>400000</v>
      </c>
      <c r="G190" s="918">
        <f t="shared" ref="G190:G197" si="5">+C190+D190+E190+F190</f>
        <v>5906628</v>
      </c>
      <c r="H190" s="23"/>
    </row>
    <row r="191" spans="1:8" ht="15.9" customHeight="1" outlineLevel="1">
      <c r="A191" s="447" t="s">
        <v>194</v>
      </c>
      <c r="B191" s="473" t="s">
        <v>245</v>
      </c>
      <c r="C191" s="829">
        <f>SUMIFS('Distribución OyA Detalle'!$G:$G,'Distribución OyA Detalle'!$D:$D,$A191,'Distribución OyA Detalle'!$A:$A,1)</f>
        <v>877300</v>
      </c>
      <c r="D191" s="829">
        <f>SUMIFS('Distribución OyA Detalle'!$G:$G,'Distribución OyA Detalle'!$D:$D,$A191,'Distribución OyA Detalle'!$A:$A,2)</f>
        <v>0</v>
      </c>
      <c r="E191" s="829">
        <f>SUMIFS('Distribución OyA Detalle'!$G:$G,'Distribución OyA Detalle'!$D:$D,$A191,'Distribución OyA Detalle'!$A:$A,3)</f>
        <v>52500</v>
      </c>
      <c r="F191" s="829">
        <f>SUMIFS('Distribución OyA Detalle'!$G:$G,'Distribución OyA Detalle'!$D:$D,$A191,'Distribución OyA Detalle'!$A:$A,4)</f>
        <v>0</v>
      </c>
      <c r="G191" s="918">
        <f t="shared" si="5"/>
        <v>929800</v>
      </c>
      <c r="H191" s="23"/>
    </row>
    <row r="192" spans="1:8" ht="15.9" customHeight="1">
      <c r="A192" s="447" t="s">
        <v>195</v>
      </c>
      <c r="B192" s="473" t="s">
        <v>196</v>
      </c>
      <c r="C192" s="829">
        <f>SUMIFS('Distribución OyA Detalle'!$G:$G,'Distribución OyA Detalle'!$D:$D,$A192,'Distribución OyA Detalle'!$A:$A,1)</f>
        <v>3802448</v>
      </c>
      <c r="D192" s="829">
        <f>SUMIFS('Distribución OyA Detalle'!$G:$G,'Distribución OyA Detalle'!$D:$D,$A192,'Distribución OyA Detalle'!$A:$A,2)</f>
        <v>0</v>
      </c>
      <c r="E192" s="829">
        <f>SUMIFS('Distribución OyA Detalle'!$G:$G,'Distribución OyA Detalle'!$D:$D,$A192,'Distribución OyA Detalle'!$A:$A,3)</f>
        <v>1082610</v>
      </c>
      <c r="F192" s="829">
        <f>SUMIFS('Distribución OyA Detalle'!$G:$G,'Distribución OyA Detalle'!$D:$D,$A192,'Distribución OyA Detalle'!$A:$A,4)</f>
        <v>400000</v>
      </c>
      <c r="G192" s="918">
        <f t="shared" si="5"/>
        <v>5285058</v>
      </c>
      <c r="H192" s="23"/>
    </row>
    <row r="193" spans="1:8" ht="15.9" customHeight="1">
      <c r="A193" s="447" t="s">
        <v>197</v>
      </c>
      <c r="B193" s="473" t="s">
        <v>198</v>
      </c>
      <c r="C193" s="829">
        <f>SUMIFS('Distribución OyA Detalle'!$G:$G,'Distribución OyA Detalle'!$D:$D,$A193,'Distribución OyA Detalle'!$A:$A,1)</f>
        <v>4104628</v>
      </c>
      <c r="D193" s="829">
        <f>SUMIFS('Distribución OyA Detalle'!$G:$G,'Distribución OyA Detalle'!$D:$D,$A193,'Distribución OyA Detalle'!$A:$A,2)</f>
        <v>0</v>
      </c>
      <c r="E193" s="829">
        <f>SUMIFS('Distribución OyA Detalle'!$G:$G,'Distribución OyA Detalle'!$D:$D,$A193,'Distribución OyA Detalle'!$A:$A,3)</f>
        <v>32035615</v>
      </c>
      <c r="F193" s="829">
        <f>SUMIFS('Distribución OyA Detalle'!$G:$G,'Distribución OyA Detalle'!$D:$D,$A193,'Distribución OyA Detalle'!$A:$A,4)</f>
        <v>0</v>
      </c>
      <c r="G193" s="918">
        <f t="shared" si="5"/>
        <v>36140243</v>
      </c>
      <c r="H193" s="23"/>
    </row>
    <row r="194" spans="1:8" ht="15.9" customHeight="1">
      <c r="A194" s="447" t="s">
        <v>199</v>
      </c>
      <c r="B194" s="473" t="s">
        <v>200</v>
      </c>
      <c r="C194" s="829">
        <f>SUMIFS('Distribución OyA Detalle'!$G:$G,'Distribución OyA Detalle'!$D:$D,$A194,'Distribución OyA Detalle'!$A:$A,1)</f>
        <v>3579856</v>
      </c>
      <c r="D194" s="829">
        <f>SUMIFS('Distribución OyA Detalle'!$G:$G,'Distribución OyA Detalle'!$D:$D,$A194,'Distribución OyA Detalle'!$A:$A,2)</f>
        <v>0</v>
      </c>
      <c r="E194" s="829">
        <f>SUMIFS('Distribución OyA Detalle'!$G:$G,'Distribución OyA Detalle'!$D:$D,$A194,'Distribución OyA Detalle'!$A:$A,3)</f>
        <v>119700</v>
      </c>
      <c r="F194" s="829">
        <f>SUMIFS('Distribución OyA Detalle'!$G:$G,'Distribución OyA Detalle'!$D:$D,$A194,'Distribución OyA Detalle'!$A:$A,4)</f>
        <v>0</v>
      </c>
      <c r="G194" s="918">
        <f t="shared" si="5"/>
        <v>3699556</v>
      </c>
      <c r="H194" s="23"/>
    </row>
    <row r="195" spans="1:8" ht="15.9" customHeight="1" outlineLevel="1">
      <c r="A195" s="447" t="s">
        <v>201</v>
      </c>
      <c r="B195" s="473" t="s">
        <v>202</v>
      </c>
      <c r="C195" s="829">
        <f>SUMIFS('Distribución OyA Detalle'!$G:$G,'Distribución OyA Detalle'!$D:$D,$A195,'Distribución OyA Detalle'!$A:$A,1)</f>
        <v>82000</v>
      </c>
      <c r="D195" s="829">
        <f>SUMIFS('Distribución OyA Detalle'!$G:$G,'Distribución OyA Detalle'!$D:$D,$A195,'Distribución OyA Detalle'!$A:$A,2)</f>
        <v>0</v>
      </c>
      <c r="E195" s="829">
        <f>SUMIFS('Distribución OyA Detalle'!$G:$G,'Distribución OyA Detalle'!$D:$D,$A195,'Distribución OyA Detalle'!$A:$A,3)</f>
        <v>0</v>
      </c>
      <c r="F195" s="829">
        <f>SUMIFS('Distribución OyA Detalle'!$G:$G,'Distribución OyA Detalle'!$D:$D,$A195,'Distribución OyA Detalle'!$A:$A,4)</f>
        <v>0</v>
      </c>
      <c r="G195" s="918">
        <f t="shared" si="5"/>
        <v>82000</v>
      </c>
      <c r="H195" s="23"/>
    </row>
    <row r="196" spans="1:8" ht="15.9" hidden="1" customHeight="1" outlineLevel="1">
      <c r="A196" s="447" t="s">
        <v>314</v>
      </c>
      <c r="B196" s="473" t="s">
        <v>351</v>
      </c>
      <c r="C196" s="829">
        <f>SUMIFS('Distribución OyA Detalle'!$G:$G,'Distribución OyA Detalle'!$D:$D,$A196,'Distribución OyA Detalle'!$A:$A,1)</f>
        <v>0</v>
      </c>
      <c r="D196" s="829">
        <f>SUMIFS('Distribución OyA Detalle'!$G:$G,'Distribución OyA Detalle'!$D:$D,$A196,'Distribución OyA Detalle'!$A:$A,2)</f>
        <v>0</v>
      </c>
      <c r="E196" s="829">
        <f>SUMIFS('Distribución OyA Detalle'!$G:$G,'Distribución OyA Detalle'!$D:$D,$A196,'Distribución OyA Detalle'!$A:$A,3)</f>
        <v>0</v>
      </c>
      <c r="F196" s="829">
        <f>SUMIFS('Distribución OyA Detalle'!$G:$G,'Distribución OyA Detalle'!$D:$D,$A196,'Distribución OyA Detalle'!$A:$A,4)</f>
        <v>0</v>
      </c>
      <c r="G196" s="918">
        <f t="shared" si="5"/>
        <v>0</v>
      </c>
      <c r="H196" s="23"/>
    </row>
    <row r="197" spans="1:8" ht="15.9" customHeight="1" outlineLevel="1">
      <c r="A197" s="447" t="s">
        <v>203</v>
      </c>
      <c r="B197" s="473" t="s">
        <v>381</v>
      </c>
      <c r="C197" s="829">
        <f>SUMIFS('Distribución OyA Detalle'!$G:$G,'Distribución OyA Detalle'!$D:$D,$A197,'Distribución OyA Detalle'!$A:$A,1)</f>
        <v>1090700</v>
      </c>
      <c r="D197" s="829">
        <f>SUMIFS('Distribución OyA Detalle'!$G:$G,'Distribución OyA Detalle'!$D:$D,$A197,'Distribución OyA Detalle'!$A:$A,2)</f>
        <v>0</v>
      </c>
      <c r="E197" s="829">
        <f>SUMIFS('Distribución OyA Detalle'!$G:$G,'Distribución OyA Detalle'!$D:$D,$A197,'Distribución OyA Detalle'!$A:$A,3)</f>
        <v>854400</v>
      </c>
      <c r="F197" s="829">
        <f>SUMIFS('Distribución OyA Detalle'!$G:$G,'Distribución OyA Detalle'!$D:$D,$A197,'Distribución OyA Detalle'!$A:$A,4)</f>
        <v>200000</v>
      </c>
      <c r="G197" s="918">
        <f t="shared" si="5"/>
        <v>2145100</v>
      </c>
      <c r="H197" s="23"/>
    </row>
    <row r="198" spans="1:8" ht="9.9" customHeight="1" outlineLevel="1" thickBot="1">
      <c r="A198" s="474"/>
      <c r="B198" s="470"/>
      <c r="C198" s="343"/>
      <c r="D198" s="343"/>
      <c r="E198" s="343"/>
      <c r="F198" s="343"/>
      <c r="G198" s="475"/>
      <c r="H198" s="23"/>
    </row>
    <row r="199" spans="1:8" ht="15.9" customHeight="1" outlineLevel="1" thickBot="1">
      <c r="A199" s="456">
        <v>4</v>
      </c>
      <c r="B199" s="415" t="s">
        <v>646</v>
      </c>
      <c r="C199" s="457">
        <f>+C201</f>
        <v>2196631825.3100014</v>
      </c>
      <c r="D199" s="458">
        <f>+D201</f>
        <v>0</v>
      </c>
      <c r="E199" s="458">
        <f>+E201</f>
        <v>0</v>
      </c>
      <c r="F199" s="458">
        <f>+F201</f>
        <v>0</v>
      </c>
      <c r="G199" s="459">
        <f>+G201</f>
        <v>2196631825.3100014</v>
      </c>
      <c r="H199" s="23"/>
    </row>
    <row r="200" spans="1:8" ht="9.9" customHeight="1" outlineLevel="1">
      <c r="A200" s="474"/>
      <c r="B200" s="470"/>
      <c r="C200" s="343"/>
      <c r="D200" s="343"/>
      <c r="E200" s="343"/>
      <c r="F200" s="343"/>
      <c r="G200" s="475"/>
      <c r="H200" s="23"/>
    </row>
    <row r="201" spans="1:8" ht="15.9" customHeight="1" outlineLevel="1">
      <c r="A201" s="426" t="s">
        <v>647</v>
      </c>
      <c r="B201" s="449" t="s">
        <v>778</v>
      </c>
      <c r="C201" s="428">
        <f>+C203</f>
        <v>2196631825.3100014</v>
      </c>
      <c r="D201" s="428">
        <f>+D203</f>
        <v>0</v>
      </c>
      <c r="E201" s="428">
        <f>+E203</f>
        <v>0</v>
      </c>
      <c r="F201" s="428">
        <f>+F203</f>
        <v>0</v>
      </c>
      <c r="G201" s="429">
        <f>SUM(C201:F201)</f>
        <v>2196631825.3100014</v>
      </c>
      <c r="H201" s="23"/>
    </row>
    <row r="202" spans="1:8" ht="9.9" customHeight="1" outlineLevel="1">
      <c r="A202" s="474"/>
      <c r="B202" s="470"/>
      <c r="C202" s="343"/>
      <c r="D202" s="343"/>
      <c r="E202" s="343"/>
      <c r="F202" s="343"/>
      <c r="G202" s="475"/>
      <c r="H202" s="23"/>
    </row>
    <row r="203" spans="1:8" ht="15.9" customHeight="1">
      <c r="A203" s="447" t="s">
        <v>648</v>
      </c>
      <c r="B203" s="473" t="s">
        <v>649</v>
      </c>
      <c r="C203" s="829">
        <f>SUMIFS('Distribución OyA Detalle'!$G:$G,'Distribución OyA Detalle'!$D:$D,$A203,'Distribución OyA Detalle'!$A:$A,1)</f>
        <v>2196631825.3100014</v>
      </c>
      <c r="D203" s="829">
        <f>SUMIFS('Distribución OyA Detalle'!$G:$G,'Distribución OyA Detalle'!$D:$D,$A203,'Distribución OyA Detalle'!$A:$A,2)</f>
        <v>0</v>
      </c>
      <c r="E203" s="829">
        <f>SUMIFS('Distribución OyA Detalle'!$G:$G,'Distribución OyA Detalle'!$D:$D,$A203,'Distribución OyA Detalle'!$A:$A,3)</f>
        <v>0</v>
      </c>
      <c r="F203" s="829">
        <f>SUMIFS('Distribución OyA Detalle'!$G:$G,'Distribución OyA Detalle'!$D:$D,$A203,'Distribución OyA Detalle'!$A:$A,4)</f>
        <v>0</v>
      </c>
      <c r="G203" s="918">
        <f>+C203+D203+E203+F203</f>
        <v>2196631825.3100014</v>
      </c>
      <c r="H203" s="24">
        <f>+G203/1000000</f>
        <v>2196.6318253100012</v>
      </c>
    </row>
    <row r="204" spans="1:8" ht="15.9" hidden="1" customHeight="1" outlineLevel="1">
      <c r="A204" s="474"/>
      <c r="B204" s="470"/>
      <c r="C204" s="343"/>
      <c r="D204" s="343"/>
      <c r="E204" s="343"/>
      <c r="F204" s="343"/>
      <c r="G204" s="475"/>
      <c r="H204" s="23"/>
    </row>
    <row r="205" spans="1:8" ht="9.9" customHeight="1" outlineLevel="1" collapsed="1" thickBot="1">
      <c r="A205" s="469"/>
      <c r="B205" s="470"/>
      <c r="C205" s="471"/>
      <c r="D205" s="471"/>
      <c r="E205" s="471"/>
      <c r="F205" s="471"/>
      <c r="G205" s="472"/>
      <c r="H205" s="23"/>
    </row>
    <row r="206" spans="1:8" ht="15.9" customHeight="1" outlineLevel="1" thickBot="1">
      <c r="A206" s="456">
        <v>5</v>
      </c>
      <c r="B206" s="415" t="s">
        <v>53</v>
      </c>
      <c r="C206" s="457">
        <f>+C208+C219+C224</f>
        <v>593150598.46000004</v>
      </c>
      <c r="D206" s="458">
        <f>+D208+D219+D224</f>
        <v>3000000</v>
      </c>
      <c r="E206" s="458">
        <f>+E208+E219+E224</f>
        <v>703136635.5</v>
      </c>
      <c r="F206" s="458">
        <f>+F208+F219+F224</f>
        <v>0</v>
      </c>
      <c r="G206" s="459">
        <f>+G208+G219+G224</f>
        <v>1299287233.96</v>
      </c>
      <c r="H206" s="23"/>
    </row>
    <row r="207" spans="1:8" ht="9.9" customHeight="1" outlineLevel="1">
      <c r="A207" s="460"/>
      <c r="B207" s="461"/>
      <c r="C207" s="462"/>
      <c r="D207" s="462"/>
      <c r="E207" s="462"/>
      <c r="F207" s="462"/>
      <c r="G207" s="463"/>
      <c r="H207" s="23"/>
    </row>
    <row r="208" spans="1:8" ht="15.9" customHeight="1" outlineLevel="1">
      <c r="A208" s="426" t="s">
        <v>204</v>
      </c>
      <c r="B208" s="449" t="s">
        <v>205</v>
      </c>
      <c r="C208" s="428">
        <f>SUM(C210:C217)</f>
        <v>96005718.409999996</v>
      </c>
      <c r="D208" s="428">
        <f>SUM(D210:D217)</f>
        <v>3000000</v>
      </c>
      <c r="E208" s="428">
        <f>SUM(E210:E217)</f>
        <v>683797562.5</v>
      </c>
      <c r="F208" s="428">
        <f>SUM(F210:F217)</f>
        <v>0</v>
      </c>
      <c r="G208" s="429">
        <f>SUM(G210:G217)</f>
        <v>782803280.90999997</v>
      </c>
      <c r="H208" s="23"/>
    </row>
    <row r="209" spans="1:8" ht="9.9" customHeight="1" outlineLevel="1">
      <c r="A209" s="430"/>
      <c r="B209" s="423"/>
      <c r="C209" s="424"/>
      <c r="D209" s="424"/>
      <c r="E209" s="424"/>
      <c r="F209" s="424"/>
      <c r="G209" s="425"/>
      <c r="H209" s="23"/>
    </row>
    <row r="210" spans="1:8" ht="15.9" hidden="1" customHeight="1" outlineLevel="1">
      <c r="A210" s="467" t="s">
        <v>356</v>
      </c>
      <c r="B210" s="473" t="s">
        <v>357</v>
      </c>
      <c r="C210" s="433"/>
      <c r="D210" s="433"/>
      <c r="E210" s="433"/>
      <c r="F210" s="433"/>
      <c r="G210" s="434">
        <f>SUM(C210:F210)</f>
        <v>0</v>
      </c>
      <c r="H210" s="23"/>
    </row>
    <row r="211" spans="1:8" ht="15.9" customHeight="1" outlineLevel="1">
      <c r="A211" s="447" t="s">
        <v>206</v>
      </c>
      <c r="B211" s="432" t="s">
        <v>207</v>
      </c>
      <c r="C211" s="829">
        <f>SUMIFS('Distribución OyA Detalle'!$G:$G,'Distribución OyA Detalle'!$D:$D,$A211,'Distribución OyA Detalle'!$A:$A,1)</f>
        <v>0</v>
      </c>
      <c r="D211" s="829">
        <f>SUMIFS('Distribución OyA Detalle'!$G:$G,'Distribución OyA Detalle'!$D:$D,$A211,'Distribución OyA Detalle'!$A:$A,2)</f>
        <v>0</v>
      </c>
      <c r="E211" s="829">
        <f>SUMIFS('Distribución OyA Detalle'!$G:$G,'Distribución OyA Detalle'!$D:$D,$A211,'Distribución OyA Detalle'!$A:$A,3)</f>
        <v>300000000</v>
      </c>
      <c r="F211" s="829">
        <f>SUMIFS('Distribución OyA Detalle'!$G:$G,'Distribución OyA Detalle'!$D:$D,$A211,'Distribución OyA Detalle'!$A:$A,4)</f>
        <v>0</v>
      </c>
      <c r="G211" s="918">
        <f>+C211+D211+E211+F211</f>
        <v>300000000</v>
      </c>
      <c r="H211" s="23"/>
    </row>
    <row r="212" spans="1:8" ht="15.9" customHeight="1" outlineLevel="1">
      <c r="A212" s="447" t="s">
        <v>208</v>
      </c>
      <c r="B212" s="432" t="s">
        <v>209</v>
      </c>
      <c r="C212" s="829">
        <f>SUMIFS('Distribución OyA Detalle'!$G:$G,'Distribución OyA Detalle'!$D:$D,$A212,'Distribución OyA Detalle'!$A:$A,1)</f>
        <v>5643999.6600000001</v>
      </c>
      <c r="D212" s="829">
        <f>SUMIFS('Distribución OyA Detalle'!$G:$G,'Distribución OyA Detalle'!$D:$D,$A212,'Distribución OyA Detalle'!$A:$A,2)</f>
        <v>3000000</v>
      </c>
      <c r="E212" s="829">
        <f>SUMIFS('Distribución OyA Detalle'!$G:$G,'Distribución OyA Detalle'!$D:$D,$A212,'Distribución OyA Detalle'!$A:$A,3)</f>
        <v>44660000</v>
      </c>
      <c r="F212" s="829">
        <f>SUMIFS('Distribución OyA Detalle'!$G:$G,'Distribución OyA Detalle'!$D:$D,$A212,'Distribución OyA Detalle'!$A:$A,4)</f>
        <v>0</v>
      </c>
      <c r="G212" s="918">
        <f>+C212+D212+E212+F212</f>
        <v>53303999.659999996</v>
      </c>
      <c r="H212" s="23"/>
    </row>
    <row r="213" spans="1:8" ht="15.9" hidden="1" customHeight="1" outlineLevel="1">
      <c r="A213" s="447" t="s">
        <v>210</v>
      </c>
      <c r="B213" s="432" t="s">
        <v>211</v>
      </c>
      <c r="C213" s="829">
        <f>SUMIFS('Distribución OyA Detalle'!$G:$G,'Distribución OyA Detalle'!$D:$D,$A213,'Distribución OyA Detalle'!$A:$A,1)</f>
        <v>0</v>
      </c>
      <c r="D213" s="829">
        <f>SUMIFS('Distribución OyA Detalle'!$G:$G,'Distribución OyA Detalle'!$D:$D,$A213,'Distribución OyA Detalle'!$A:$A,2)</f>
        <v>0</v>
      </c>
      <c r="E213" s="829">
        <f>SUMIFS('Distribución OyA Detalle'!$G:$G,'Distribución OyA Detalle'!$D:$D,$A213,'Distribución OyA Detalle'!$A:$A,3)</f>
        <v>0</v>
      </c>
      <c r="F213" s="829">
        <f>SUMIFS('Distribución OyA Detalle'!$G:$G,'Distribución OyA Detalle'!$D:$D,$A213,'Distribución OyA Detalle'!$A:$A,4)</f>
        <v>0</v>
      </c>
      <c r="G213" s="918">
        <f>+C213+D213+E213+F213</f>
        <v>0</v>
      </c>
      <c r="H213" s="23"/>
    </row>
    <row r="214" spans="1:8" ht="15.9" customHeight="1" outlineLevel="1">
      <c r="A214" s="447" t="s">
        <v>212</v>
      </c>
      <c r="B214" s="432" t="s">
        <v>213</v>
      </c>
      <c r="C214" s="829">
        <f>SUMIFS('Distribución OyA Detalle'!$G:$G,'Distribución OyA Detalle'!$D:$D,$A214,'Distribución OyA Detalle'!$A:$A,1)</f>
        <v>90361718.75</v>
      </c>
      <c r="D214" s="829">
        <f>SUMIFS('Distribución OyA Detalle'!$G:$G,'Distribución OyA Detalle'!$D:$D,$A214,'Distribución OyA Detalle'!$A:$A,2)</f>
        <v>0</v>
      </c>
      <c r="E214" s="829">
        <f>SUMIFS('Distribución OyA Detalle'!$G:$G,'Distribución OyA Detalle'!$D:$D,$A214,'Distribución OyA Detalle'!$A:$A,3)</f>
        <v>339137562.5</v>
      </c>
      <c r="F214" s="829">
        <f>SUMIFS('Distribución OyA Detalle'!$G:$G,'Distribución OyA Detalle'!$D:$D,$A214,'Distribución OyA Detalle'!$A:$A,4)</f>
        <v>0</v>
      </c>
      <c r="G214" s="918">
        <f>+C214+D214+E214+F214</f>
        <v>429499281.25</v>
      </c>
      <c r="H214" s="23"/>
    </row>
    <row r="215" spans="1:8" ht="15.9" hidden="1" customHeight="1" outlineLevel="1">
      <c r="A215" s="447" t="s">
        <v>214</v>
      </c>
      <c r="B215" s="432" t="s">
        <v>215</v>
      </c>
      <c r="C215" s="829">
        <f>SUMIFS('Distribución OyA Detalle'!$G:$G,'Distribución OyA Detalle'!$D:$D,$A215,'Distribución OyA Detalle'!$A:$A,1)</f>
        <v>0</v>
      </c>
      <c r="D215" s="829">
        <f>SUMIFS('Distribución OyA Detalle'!$G:$G,'Distribución OyA Detalle'!$D:$D,$A215,'Distribución OyA Detalle'!$A:$A,2)</f>
        <v>0</v>
      </c>
      <c r="E215" s="829">
        <f>SUMIFS('Distribución OyA Detalle'!$G:$G,'Distribución OyA Detalle'!$D:$D,$A215,'Distribución OyA Detalle'!$A:$A,3)</f>
        <v>0</v>
      </c>
      <c r="F215" s="829">
        <f>SUMIFS('Distribución OyA Detalle'!$G:$G,'Distribución OyA Detalle'!$D:$D,$A215,'Distribución OyA Detalle'!$A:$A,4)</f>
        <v>0</v>
      </c>
      <c r="G215" s="918">
        <f>+C215+D215+E215+F215</f>
        <v>0</v>
      </c>
      <c r="H215" s="23"/>
    </row>
    <row r="216" spans="1:8" ht="15.9" hidden="1" customHeight="1" outlineLevel="1">
      <c r="A216" s="447" t="s">
        <v>216</v>
      </c>
      <c r="B216" s="432" t="s">
        <v>217</v>
      </c>
      <c r="C216" s="433"/>
      <c r="D216" s="433"/>
      <c r="E216" s="433"/>
      <c r="F216" s="433"/>
      <c r="G216" s="434">
        <f>SUM(C216:F216)</f>
        <v>0</v>
      </c>
      <c r="H216" s="23"/>
    </row>
    <row r="217" spans="1:8" ht="15.9" hidden="1" customHeight="1">
      <c r="A217" s="447" t="s">
        <v>218</v>
      </c>
      <c r="B217" s="473" t="s">
        <v>382</v>
      </c>
      <c r="C217" s="433"/>
      <c r="D217" s="433"/>
      <c r="E217" s="433"/>
      <c r="F217" s="433"/>
      <c r="G217" s="434">
        <f>SUM(C217:F217)</f>
        <v>0</v>
      </c>
      <c r="H217" s="23"/>
    </row>
    <row r="218" spans="1:8" ht="15.9" hidden="1" customHeight="1">
      <c r="A218" s="448"/>
      <c r="B218" s="436"/>
      <c r="C218" s="437"/>
      <c r="D218" s="437"/>
      <c r="E218" s="437"/>
      <c r="F218" s="437"/>
      <c r="G218" s="438"/>
      <c r="H218" s="23"/>
    </row>
    <row r="219" spans="1:8" ht="15.9" hidden="1" customHeight="1">
      <c r="A219" s="426" t="s">
        <v>219</v>
      </c>
      <c r="B219" s="449" t="s">
        <v>220</v>
      </c>
      <c r="C219" s="428">
        <f>SUM(C221:C222)</f>
        <v>0</v>
      </c>
      <c r="D219" s="338">
        <f>SUM(D221:D222)</f>
        <v>0</v>
      </c>
      <c r="E219" s="338">
        <f>SUM(E221:E222)</f>
        <v>0</v>
      </c>
      <c r="F219" s="338">
        <f>SUM(F221:F222)</f>
        <v>0</v>
      </c>
      <c r="G219" s="429">
        <f>SUM(G221:G222)</f>
        <v>0</v>
      </c>
      <c r="H219" s="23"/>
    </row>
    <row r="220" spans="1:8" ht="15.9" hidden="1" customHeight="1">
      <c r="A220" s="430"/>
      <c r="B220" s="423"/>
      <c r="C220" s="424"/>
      <c r="D220" s="424"/>
      <c r="E220" s="424"/>
      <c r="F220" s="424"/>
      <c r="G220" s="425"/>
      <c r="H220" s="23"/>
    </row>
    <row r="221" spans="1:8" ht="15.9" hidden="1" customHeight="1">
      <c r="A221" s="447" t="s">
        <v>221</v>
      </c>
      <c r="B221" s="432" t="s">
        <v>222</v>
      </c>
      <c r="C221" s="433"/>
      <c r="D221" s="433"/>
      <c r="E221" s="433"/>
      <c r="F221" s="433"/>
      <c r="G221" s="434">
        <f>SUM(C221:F221)</f>
        <v>0</v>
      </c>
      <c r="H221" s="23"/>
    </row>
    <row r="222" spans="1:8" ht="15.9" hidden="1" customHeight="1" outlineLevel="1">
      <c r="A222" s="447" t="s">
        <v>223</v>
      </c>
      <c r="B222" s="432" t="s">
        <v>224</v>
      </c>
      <c r="C222" s="433"/>
      <c r="D222" s="433"/>
      <c r="E222" s="433"/>
      <c r="F222" s="433"/>
      <c r="G222" s="434">
        <f>SUM(C222:F222)</f>
        <v>0</v>
      </c>
      <c r="H222" s="23"/>
    </row>
    <row r="223" spans="1:8" ht="7.95" customHeight="1" collapsed="1">
      <c r="A223" s="482"/>
      <c r="B223" s="483"/>
      <c r="C223" s="443"/>
      <c r="D223" s="443"/>
      <c r="E223" s="443"/>
      <c r="F223" s="443"/>
      <c r="G223" s="444"/>
      <c r="H223" s="23"/>
    </row>
    <row r="224" spans="1:8" ht="15.9" customHeight="1">
      <c r="A224" s="426" t="s">
        <v>226</v>
      </c>
      <c r="B224" s="449" t="s">
        <v>220</v>
      </c>
      <c r="C224" s="428">
        <f>SUM(C226:C227)</f>
        <v>497144880.05000001</v>
      </c>
      <c r="D224" s="338">
        <f>SUM(D226:D227)</f>
        <v>0</v>
      </c>
      <c r="E224" s="338">
        <f>SUM(E226:E227)</f>
        <v>19339073</v>
      </c>
      <c r="F224" s="338">
        <f>SUM(F226:F227)</f>
        <v>0</v>
      </c>
      <c r="G224" s="429">
        <f>SUM(G226:G227)</f>
        <v>516483953.05000001</v>
      </c>
      <c r="H224" s="23"/>
    </row>
    <row r="225" spans="1:8" ht="7.95" customHeight="1">
      <c r="A225" s="482"/>
      <c r="B225" s="483"/>
      <c r="C225" s="443"/>
      <c r="D225" s="443"/>
      <c r="E225" s="443"/>
      <c r="F225" s="443"/>
      <c r="G225" s="444"/>
      <c r="H225" s="23"/>
    </row>
    <row r="226" spans="1:8" ht="15.9" customHeight="1">
      <c r="A226" s="447" t="s">
        <v>352</v>
      </c>
      <c r="B226" s="432" t="s">
        <v>353</v>
      </c>
      <c r="C226" s="829">
        <f>SUMIFS('Distribución OyA Detalle'!$G:$G,'Distribución OyA Detalle'!$D:$D,$A226,'Distribución OyA Detalle'!$A:$A,1)</f>
        <v>497144880.05000001</v>
      </c>
      <c r="D226" s="829">
        <f>SUMIFS('Distribución OyA Detalle'!$G:$G,'Distribución OyA Detalle'!$D:$D,$A226,'Distribución OyA Detalle'!$A:$A,2)</f>
        <v>0</v>
      </c>
      <c r="E226" s="829">
        <f>SUMIFS('Distribución OyA Detalle'!$G:$G,'Distribución OyA Detalle'!$D:$D,$A226,'Distribución OyA Detalle'!$A:$A,3)</f>
        <v>19339073</v>
      </c>
      <c r="F226" s="829">
        <f>SUMIFS('Distribución OyA Detalle'!$G:$G,'Distribución OyA Detalle'!$D:$D,$A226,'Distribución OyA Detalle'!$A:$A,4)</f>
        <v>0</v>
      </c>
      <c r="G226" s="918">
        <f>+C226+D226+E226+F226</f>
        <v>516483953.05000001</v>
      </c>
      <c r="H226" s="23"/>
    </row>
    <row r="227" spans="1:8" ht="15.9" hidden="1" customHeight="1">
      <c r="A227" s="447" t="s">
        <v>227</v>
      </c>
      <c r="B227" s="432" t="s">
        <v>228</v>
      </c>
      <c r="C227" s="433"/>
      <c r="D227" s="433"/>
      <c r="E227" s="433"/>
      <c r="F227" s="433"/>
      <c r="G227" s="434">
        <f>SUM(C227:F227)</f>
        <v>0</v>
      </c>
      <c r="H227" s="23"/>
    </row>
    <row r="228" spans="1:8" ht="7.95" customHeight="1" thickBot="1">
      <c r="A228" s="482"/>
      <c r="B228" s="483"/>
      <c r="C228" s="443"/>
      <c r="D228" s="443"/>
      <c r="E228" s="443"/>
      <c r="F228" s="443"/>
      <c r="G228" s="444"/>
      <c r="H228" s="23"/>
    </row>
    <row r="229" spans="1:8" ht="15.9" customHeight="1" thickBot="1">
      <c r="A229" s="456">
        <v>6</v>
      </c>
      <c r="B229" s="415" t="s">
        <v>229</v>
      </c>
      <c r="C229" s="457">
        <f>+C231+C240+C244+C248+C236</f>
        <v>137000000</v>
      </c>
      <c r="D229" s="457">
        <f>+D231+D240+D244+D248+D236</f>
        <v>0</v>
      </c>
      <c r="E229" s="457">
        <f>+E231+E240+E244+E248+E236</f>
        <v>516719272</v>
      </c>
      <c r="F229" s="457">
        <f>+F231+F240+F244+F248+F236</f>
        <v>1200000</v>
      </c>
      <c r="G229" s="479">
        <f>+G231+G240+G244+G248+G236</f>
        <v>654919272</v>
      </c>
      <c r="H229" s="23"/>
    </row>
    <row r="230" spans="1:8" ht="7.95" customHeight="1">
      <c r="A230" s="482"/>
      <c r="B230" s="483"/>
      <c r="C230" s="443"/>
      <c r="D230" s="443"/>
      <c r="E230" s="443"/>
      <c r="F230" s="443"/>
      <c r="G230" s="444"/>
      <c r="H230" s="23"/>
    </row>
    <row r="231" spans="1:8" ht="15.9" customHeight="1">
      <c r="A231" s="426" t="s">
        <v>230</v>
      </c>
      <c r="B231" s="449" t="s">
        <v>246</v>
      </c>
      <c r="C231" s="428">
        <f>SUM(C233:C234)</f>
        <v>60000000</v>
      </c>
      <c r="D231" s="428">
        <f>SUM(D233:D234)</f>
        <v>0</v>
      </c>
      <c r="E231" s="428">
        <f>SUM(E233:E234)</f>
        <v>411894272</v>
      </c>
      <c r="F231" s="428">
        <f>SUM(F233:F234)</f>
        <v>0</v>
      </c>
      <c r="G231" s="480">
        <f>SUM(G233:G234)</f>
        <v>471894272</v>
      </c>
      <c r="H231" s="23"/>
    </row>
    <row r="232" spans="1:8" ht="7.95" customHeight="1">
      <c r="A232" s="482"/>
      <c r="B232" s="483"/>
      <c r="C232" s="443"/>
      <c r="D232" s="443"/>
      <c r="E232" s="443"/>
      <c r="F232" s="443"/>
      <c r="G232" s="444"/>
      <c r="H232" s="23"/>
    </row>
    <row r="233" spans="1:8" ht="15.9" customHeight="1">
      <c r="A233" s="481" t="s">
        <v>302</v>
      </c>
      <c r="B233" s="466" t="s">
        <v>303</v>
      </c>
      <c r="C233" s="829">
        <f>SUMIFS('Distribución OyA Detalle'!$G:$G,'Distribución OyA Detalle'!$D:$D,$A233,'Distribución OyA Detalle'!$A:$A,1)</f>
        <v>60000000</v>
      </c>
      <c r="D233" s="829">
        <f>SUMIFS('Distribución OyA Detalle'!$G:$G,'Distribución OyA Detalle'!$D:$D,$A233,'Distribución OyA Detalle'!$A:$A,2)</f>
        <v>0</v>
      </c>
      <c r="E233" s="829">
        <f>SUMIFS('Distribución OyA Detalle'!$G:$G,'Distribución OyA Detalle'!$D:$D,$A233,'Distribución OyA Detalle'!$A:$A,3)</f>
        <v>411894272</v>
      </c>
      <c r="F233" s="829">
        <f>SUMIFS('Distribución OyA Detalle'!$G:$G,'Distribución OyA Detalle'!$D:$D,$A233,'Distribución OyA Detalle'!$A:$A,4)</f>
        <v>0</v>
      </c>
      <c r="G233" s="918">
        <f>+C233+D233+E233+F233</f>
        <v>471894272</v>
      </c>
      <c r="H233" s="23"/>
    </row>
    <row r="234" spans="1:8" ht="15.9" hidden="1" customHeight="1">
      <c r="A234" s="481" t="s">
        <v>231</v>
      </c>
      <c r="B234" s="466" t="s">
        <v>383</v>
      </c>
      <c r="C234" s="433"/>
      <c r="D234" s="433"/>
      <c r="E234" s="433"/>
      <c r="F234" s="433"/>
      <c r="G234" s="434">
        <f>SUM(C234:F234)</f>
        <v>0</v>
      </c>
      <c r="H234" s="23"/>
    </row>
    <row r="235" spans="1:8" ht="7.95" customHeight="1">
      <c r="A235" s="482"/>
      <c r="B235" s="483"/>
      <c r="C235" s="443"/>
      <c r="D235" s="443"/>
      <c r="E235" s="443"/>
      <c r="F235" s="443"/>
      <c r="G235" s="444"/>
      <c r="H235" s="23"/>
    </row>
    <row r="236" spans="1:8" ht="15.9" customHeight="1">
      <c r="A236" s="426" t="s">
        <v>610</v>
      </c>
      <c r="B236" s="449" t="s">
        <v>611</v>
      </c>
      <c r="C236" s="428">
        <f>+C238</f>
        <v>7000000</v>
      </c>
      <c r="D236" s="428">
        <f>+D238</f>
        <v>0</v>
      </c>
      <c r="E236" s="428">
        <f>+E238</f>
        <v>0</v>
      </c>
      <c r="F236" s="428">
        <f>+F238</f>
        <v>0</v>
      </c>
      <c r="G236" s="429">
        <f>+G238</f>
        <v>7000000</v>
      </c>
      <c r="H236" s="23"/>
    </row>
    <row r="237" spans="1:8" ht="7.95" customHeight="1">
      <c r="A237" s="482"/>
      <c r="B237" s="483"/>
      <c r="C237" s="443"/>
      <c r="D237" s="443"/>
      <c r="E237" s="443"/>
      <c r="F237" s="443"/>
      <c r="G237" s="444"/>
      <c r="H237" s="23"/>
    </row>
    <row r="238" spans="1:8" ht="15.9" customHeight="1">
      <c r="A238" s="481" t="s">
        <v>614</v>
      </c>
      <c r="B238" s="466" t="s">
        <v>615</v>
      </c>
      <c r="C238" s="829">
        <f>SUMIFS('Distribución OyA Detalle'!$G:$G,'Distribución OyA Detalle'!$D:$D,$A238,'Distribución OyA Detalle'!$A:$A,1)</f>
        <v>7000000</v>
      </c>
      <c r="D238" s="829">
        <f>SUMIFS('Distribución OyA Detalle'!$G:$G,'Distribución OyA Detalle'!$D:$D,$A238,'Distribución OyA Detalle'!$A:$A,2)</f>
        <v>0</v>
      </c>
      <c r="E238" s="829">
        <f>SUMIFS('Distribución OyA Detalle'!$G:$G,'Distribución OyA Detalle'!$D:$D,$A238,'Distribución OyA Detalle'!$A:$A,3)</f>
        <v>0</v>
      </c>
      <c r="F238" s="829">
        <f>SUMIFS('Distribución OyA Detalle'!$G:$G,'Distribución OyA Detalle'!$D:$D,$A238,'Distribución OyA Detalle'!$A:$A,4)</f>
        <v>0</v>
      </c>
      <c r="G238" s="918">
        <f>+C238+D238+E238+F238</f>
        <v>7000000</v>
      </c>
      <c r="H238" s="23"/>
    </row>
    <row r="239" spans="1:8" ht="7.95" customHeight="1">
      <c r="A239" s="482"/>
      <c r="B239" s="483"/>
      <c r="C239" s="443"/>
      <c r="D239" s="443"/>
      <c r="E239" s="443"/>
      <c r="F239" s="443"/>
      <c r="G239" s="444"/>
      <c r="H239" s="23"/>
    </row>
    <row r="240" spans="1:8" ht="15.9" customHeight="1">
      <c r="A240" s="426" t="s">
        <v>232</v>
      </c>
      <c r="B240" s="449" t="s">
        <v>233</v>
      </c>
      <c r="C240" s="428">
        <f>SUM(C242)</f>
        <v>70000000</v>
      </c>
      <c r="D240" s="338">
        <f>SUM(D242)</f>
        <v>0</v>
      </c>
      <c r="E240" s="338">
        <f>SUM(E242)</f>
        <v>64825000</v>
      </c>
      <c r="F240" s="338">
        <f>SUM(F242)</f>
        <v>0</v>
      </c>
      <c r="G240" s="429">
        <f>SUM(G242)</f>
        <v>134825000</v>
      </c>
      <c r="H240" s="23"/>
    </row>
    <row r="241" spans="1:8" ht="7.95" customHeight="1">
      <c r="A241" s="482"/>
      <c r="B241" s="483"/>
      <c r="C241" s="443"/>
      <c r="D241" s="443"/>
      <c r="E241" s="443"/>
      <c r="F241" s="443"/>
      <c r="G241" s="444"/>
      <c r="H241" s="23"/>
    </row>
    <row r="242" spans="1:8" ht="15.9" customHeight="1">
      <c r="A242" s="481" t="s">
        <v>294</v>
      </c>
      <c r="B242" s="466" t="s">
        <v>34</v>
      </c>
      <c r="C242" s="829">
        <f>SUMIFS('Distribución OyA Detalle'!$G:$G,'Distribución OyA Detalle'!$D:$D,$A242,'Distribución OyA Detalle'!$A:$A,1)</f>
        <v>70000000</v>
      </c>
      <c r="D242" s="829">
        <f>SUMIFS('Distribución OyA Detalle'!$G:$G,'Distribución OyA Detalle'!$D:$D,$A242,'Distribución OyA Detalle'!$A:$A,2)</f>
        <v>0</v>
      </c>
      <c r="E242" s="829">
        <f>SUMIFS('Distribución OyA Detalle'!$G:$G,'Distribución OyA Detalle'!$D:$D,$A242,'Distribución OyA Detalle'!$A:$A,3)</f>
        <v>64825000</v>
      </c>
      <c r="F242" s="829">
        <f>SUMIFS('Distribución OyA Detalle'!$G:$G,'Distribución OyA Detalle'!$D:$D,$A242,'Distribución OyA Detalle'!$A:$A,4)</f>
        <v>0</v>
      </c>
      <c r="G242" s="918">
        <f>+C242+D242+E242+F242</f>
        <v>134825000</v>
      </c>
      <c r="H242" s="23"/>
    </row>
    <row r="243" spans="1:8" ht="7.95" customHeight="1">
      <c r="A243" s="482"/>
      <c r="B243" s="483"/>
      <c r="C243" s="443"/>
      <c r="D243" s="443"/>
      <c r="E243" s="443"/>
      <c r="F243" s="443"/>
      <c r="G243" s="444"/>
      <c r="H243" s="23"/>
    </row>
    <row r="244" spans="1:8" ht="15.9" hidden="1" customHeight="1">
      <c r="A244" s="426" t="s">
        <v>322</v>
      </c>
      <c r="B244" s="449" t="s">
        <v>355</v>
      </c>
      <c r="C244" s="428">
        <f>SUM(C246)</f>
        <v>0</v>
      </c>
      <c r="D244" s="338">
        <f>SUM(D246)</f>
        <v>0</v>
      </c>
      <c r="E244" s="338">
        <f>SUM(E246)</f>
        <v>0</v>
      </c>
      <c r="F244" s="338">
        <f>SUM(F246)</f>
        <v>0</v>
      </c>
      <c r="G244" s="429">
        <f>SUM(G246)</f>
        <v>0</v>
      </c>
      <c r="H244" s="23"/>
    </row>
    <row r="245" spans="1:8" ht="15.9" hidden="1" customHeight="1">
      <c r="A245" s="430"/>
      <c r="B245" s="423"/>
      <c r="C245" s="424"/>
      <c r="D245" s="424"/>
      <c r="E245" s="424"/>
      <c r="F245" s="424"/>
      <c r="G245" s="425"/>
      <c r="H245" s="23"/>
    </row>
    <row r="246" spans="1:8" ht="15.9" hidden="1" customHeight="1" outlineLevel="1">
      <c r="A246" s="481" t="s">
        <v>323</v>
      </c>
      <c r="B246" s="466" t="s">
        <v>324</v>
      </c>
      <c r="C246" s="433"/>
      <c r="D246" s="433"/>
      <c r="E246" s="433"/>
      <c r="F246" s="433"/>
      <c r="G246" s="434">
        <f>SUM(C246:F246)</f>
        <v>0</v>
      </c>
      <c r="H246" s="23"/>
    </row>
    <row r="247" spans="1:8" ht="9.9" hidden="1" customHeight="1" collapsed="1">
      <c r="A247" s="482"/>
      <c r="B247" s="483"/>
      <c r="C247" s="443"/>
      <c r="D247" s="443"/>
      <c r="E247" s="443"/>
      <c r="F247" s="443"/>
      <c r="G247" s="444"/>
      <c r="H247" s="23"/>
    </row>
    <row r="248" spans="1:8" ht="15.9" customHeight="1">
      <c r="A248" s="426" t="s">
        <v>234</v>
      </c>
      <c r="B248" s="449" t="s">
        <v>247</v>
      </c>
      <c r="C248" s="428">
        <f>SUM(C250:C251)</f>
        <v>0</v>
      </c>
      <c r="D248" s="338">
        <f>SUM(D250)</f>
        <v>0</v>
      </c>
      <c r="E248" s="338">
        <f>SUM(E250)</f>
        <v>40000000</v>
      </c>
      <c r="F248" s="338">
        <f>+F250+F251</f>
        <v>1200000</v>
      </c>
      <c r="G248" s="429">
        <f>SUM(G250:G251)</f>
        <v>41200000</v>
      </c>
      <c r="H248" s="23"/>
    </row>
    <row r="249" spans="1:8" ht="9.9" customHeight="1">
      <c r="A249" s="430"/>
      <c r="B249" s="423"/>
      <c r="C249" s="424"/>
      <c r="D249" s="424"/>
      <c r="E249" s="424"/>
      <c r="F249" s="424"/>
      <c r="G249" s="425"/>
      <c r="H249" s="23"/>
    </row>
    <row r="250" spans="1:8" ht="15.9" customHeight="1">
      <c r="A250" s="1012" t="s">
        <v>235</v>
      </c>
      <c r="B250" s="1013" t="s">
        <v>632</v>
      </c>
      <c r="C250" s="1014">
        <f>SUMIFS('Distribución OyA Detalle'!$G:$G,'Distribución OyA Detalle'!$D:$D,$A250,'Distribución OyA Detalle'!$A:$A,1)</f>
        <v>0</v>
      </c>
      <c r="D250" s="1014">
        <f>SUMIFS('Distribución OyA Detalle'!$G:$G,'Distribución OyA Detalle'!$D:$D,$A250,'Distribución OyA Detalle'!$A:$A,2)</f>
        <v>0</v>
      </c>
      <c r="E250" s="1014">
        <f>SUMIFS('Distribución OyA Detalle'!$G:$G,'Distribución OyA Detalle'!$D:$D,$A250,'Distribución OyA Detalle'!$A:$A,3)</f>
        <v>40000000</v>
      </c>
      <c r="F250" s="1014">
        <f>SUMIFS('Distribución OyA Detalle'!$G:$G,'Distribución OyA Detalle'!$D:$D,$A250,'Distribución OyA Detalle'!$A:$A,4)</f>
        <v>0</v>
      </c>
      <c r="G250" s="1015">
        <f>+C250+D250+E250+F250</f>
        <v>40000000</v>
      </c>
      <c r="H250" s="23"/>
    </row>
    <row r="251" spans="1:8" ht="16.8" thickBot="1">
      <c r="A251" s="484" t="s">
        <v>307</v>
      </c>
      <c r="B251" s="485" t="s">
        <v>315</v>
      </c>
      <c r="C251" s="919">
        <f>SUMIFS('Distribución OyA Detalle'!$G:$G,'Distribución OyA Detalle'!$D:$D,$A251,'Distribución OyA Detalle'!$A:$A,1)</f>
        <v>0</v>
      </c>
      <c r="D251" s="919">
        <f>SUMIFS('Distribución OyA Detalle'!$G:$G,'Distribución OyA Detalle'!$D:$D,$A251,'Distribución OyA Detalle'!$A:$A,2)</f>
        <v>0</v>
      </c>
      <c r="E251" s="919">
        <f>SUMIFS('Distribución OyA Detalle'!$G:$G,'Distribución OyA Detalle'!$D:$D,$A251,'Distribución OyA Detalle'!$A:$A,3)</f>
        <v>0</v>
      </c>
      <c r="F251" s="919">
        <f>SUMIFS('Distribución OyA Detalle'!$G:$G,'Distribución OyA Detalle'!$D:$D,$A251,'Distribución OyA Detalle'!$A:$A,4)</f>
        <v>1200000</v>
      </c>
      <c r="G251" s="486">
        <f>SUM(C251:F251)</f>
        <v>1200000</v>
      </c>
      <c r="H251" s="23"/>
    </row>
    <row r="252" spans="1:8" ht="7.95" hidden="1" customHeight="1">
      <c r="A252" s="487"/>
      <c r="B252" s="488"/>
      <c r="C252" s="489"/>
      <c r="D252" s="489"/>
      <c r="E252" s="489"/>
      <c r="F252" s="489"/>
      <c r="G252" s="490"/>
      <c r="H252" s="23"/>
    </row>
    <row r="253" spans="1:8" ht="16.8" hidden="1" thickBot="1">
      <c r="A253" s="456">
        <v>9</v>
      </c>
      <c r="B253" s="415" t="s">
        <v>54</v>
      </c>
      <c r="C253" s="457">
        <f>C255</f>
        <v>0</v>
      </c>
      <c r="D253" s="458">
        <f>D255</f>
        <v>0</v>
      </c>
      <c r="E253" s="458">
        <f>E255</f>
        <v>0</v>
      </c>
      <c r="F253" s="458">
        <f>F255</f>
        <v>0</v>
      </c>
      <c r="G253" s="459">
        <f>G255</f>
        <v>0</v>
      </c>
      <c r="H253" s="23"/>
    </row>
    <row r="254" spans="1:8" hidden="1">
      <c r="A254" s="460"/>
      <c r="B254" s="461"/>
      <c r="C254" s="462"/>
      <c r="D254" s="462"/>
      <c r="E254" s="462"/>
      <c r="F254" s="462"/>
      <c r="G254" s="463"/>
      <c r="H254" s="23"/>
    </row>
    <row r="255" spans="1:8" hidden="1">
      <c r="A255" s="426" t="s">
        <v>236</v>
      </c>
      <c r="B255" s="449" t="s">
        <v>237</v>
      </c>
      <c r="C255" s="428">
        <f>SUM(C257:C258)</f>
        <v>0</v>
      </c>
      <c r="D255" s="338">
        <f>SUM(D257:D258)</f>
        <v>0</v>
      </c>
      <c r="E255" s="338">
        <f>SUM(E257:E258)</f>
        <v>0</v>
      </c>
      <c r="F255" s="338">
        <f>SUM(F257:F258)</f>
        <v>0</v>
      </c>
      <c r="G255" s="429">
        <f>SUM(G257:G258)</f>
        <v>0</v>
      </c>
      <c r="H255" s="23"/>
    </row>
    <row r="256" spans="1:8" hidden="1">
      <c r="A256" s="430"/>
      <c r="B256" s="423"/>
      <c r="C256" s="424"/>
      <c r="D256" s="424"/>
      <c r="E256" s="424"/>
      <c r="F256" s="424"/>
      <c r="G256" s="425"/>
      <c r="H256" s="23"/>
    </row>
    <row r="257" spans="1:8" hidden="1">
      <c r="A257" s="447" t="s">
        <v>238</v>
      </c>
      <c r="B257" s="491" t="s">
        <v>55</v>
      </c>
      <c r="C257" s="433"/>
      <c r="D257" s="433"/>
      <c r="E257" s="433"/>
      <c r="F257" s="433"/>
      <c r="G257" s="434">
        <f>SUM(C257:F257)</f>
        <v>0</v>
      </c>
      <c r="H257" s="23"/>
    </row>
    <row r="258" spans="1:8" ht="16.8" hidden="1" thickBot="1">
      <c r="A258" s="484" t="s">
        <v>239</v>
      </c>
      <c r="B258" s="485" t="s">
        <v>248</v>
      </c>
      <c r="C258" s="433"/>
      <c r="D258" s="433"/>
      <c r="E258" s="433"/>
      <c r="F258" s="433"/>
      <c r="G258" s="486">
        <f>SUM(C258:F258)</f>
        <v>0</v>
      </c>
      <c r="H258" s="23"/>
    </row>
    <row r="259" spans="1:8" ht="7.2" customHeight="1" thickBot="1">
      <c r="A259" s="1218"/>
      <c r="B259" s="1219"/>
      <c r="C259" s="1219"/>
      <c r="D259" s="1219"/>
      <c r="E259" s="1219"/>
      <c r="F259" s="1219"/>
      <c r="G259" s="1220"/>
      <c r="H259" s="23"/>
    </row>
    <row r="260" spans="1:8">
      <c r="H260" s="23"/>
    </row>
    <row r="261" spans="1:8">
      <c r="D261" s="492"/>
      <c r="E261" s="492"/>
      <c r="F261" s="492"/>
      <c r="G261" s="492"/>
      <c r="H261" s="23"/>
    </row>
    <row r="262" spans="1:8">
      <c r="H262" s="23"/>
    </row>
    <row r="263" spans="1:8">
      <c r="H263" s="23"/>
    </row>
    <row r="264" spans="1:8">
      <c r="H264" s="23"/>
    </row>
    <row r="265" spans="1:8">
      <c r="H265" s="23"/>
    </row>
    <row r="266" spans="1:8">
      <c r="H266" s="23"/>
    </row>
    <row r="267" spans="1:8">
      <c r="H267" s="23"/>
    </row>
    <row r="268" spans="1:8">
      <c r="H268" s="23"/>
    </row>
    <row r="269" spans="1:8">
      <c r="H269" s="23"/>
    </row>
    <row r="270" spans="1:8">
      <c r="H270" s="23"/>
    </row>
    <row r="271" spans="1:8">
      <c r="H271" s="23"/>
    </row>
    <row r="272" spans="1:8">
      <c r="H272" s="23"/>
    </row>
    <row r="273" spans="8:8">
      <c r="H273" s="23"/>
    </row>
    <row r="274" spans="8:8">
      <c r="H274" s="23"/>
    </row>
    <row r="275" spans="8:8">
      <c r="H275" s="23"/>
    </row>
    <row r="276" spans="8:8">
      <c r="H276" s="23"/>
    </row>
    <row r="277" spans="8:8">
      <c r="H277" s="23"/>
    </row>
    <row r="278" spans="8:8">
      <c r="H278" s="23"/>
    </row>
    <row r="279" spans="8:8">
      <c r="H279" s="23"/>
    </row>
    <row r="280" spans="8:8">
      <c r="H280" s="23"/>
    </row>
  </sheetData>
  <mergeCells count="10">
    <mergeCell ref="A259:G259"/>
    <mergeCell ref="C42:E42"/>
    <mergeCell ref="A2:G2"/>
    <mergeCell ref="A3:G3"/>
    <mergeCell ref="A4:G4"/>
    <mergeCell ref="A5:G5"/>
    <mergeCell ref="A13:B13"/>
    <mergeCell ref="A36:B36"/>
    <mergeCell ref="A37:B37"/>
    <mergeCell ref="A9:B9"/>
  </mergeCells>
  <phoneticPr fontId="0" type="noConversion"/>
  <printOptions horizontalCentered="1"/>
  <pageMargins left="0.55118110236220474" right="0.47244094488188981" top="0.98425196850393704" bottom="0.78740157480314965" header="0.59055118110236227" footer="0.59055118110236227"/>
  <pageSetup scale="65" firstPageNumber="16" orientation="portrait" useFirstPageNumber="1" r:id="rId1"/>
  <headerFooter alignWithMargins="0">
    <oddFooter>&amp;C&amp;"Tw Cen MT,Normal"&amp;P</oddFooter>
  </headerFooter>
  <rowBreaks count="2" manualBreakCount="2">
    <brk id="101" max="6" man="1"/>
    <brk id="187" max="6" man="1"/>
  </rowBreaks>
  <ignoredErrors>
    <ignoredError sqref="E29 G178" formula="1"/>
    <ignoredError sqref="A44:A61 A86:A249"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499984740745262"/>
  </sheetPr>
  <dimension ref="A1:BH124"/>
  <sheetViews>
    <sheetView workbookViewId="0"/>
  </sheetViews>
  <sheetFormatPr baseColWidth="10" defaultColWidth="8.88671875" defaultRowHeight="16.2"/>
  <cols>
    <col min="1" max="1" width="12.33203125" style="3" customWidth="1"/>
    <col min="2" max="2" width="51.5546875" style="3" customWidth="1"/>
    <col min="3" max="16" width="22.109375" style="3" customWidth="1"/>
    <col min="17" max="17" width="23.33203125" style="3" customWidth="1"/>
    <col min="18" max="18" width="22.33203125" style="3" customWidth="1"/>
    <col min="19" max="19" width="23.33203125" style="3" customWidth="1"/>
    <col min="20" max="20" width="22.33203125" style="3" customWidth="1"/>
    <col min="21" max="45" width="22.109375" style="3" customWidth="1"/>
    <col min="46" max="46" width="23.33203125" style="3" customWidth="1"/>
    <col min="47" max="47" width="22.33203125" style="3" customWidth="1"/>
    <col min="48" max="53" width="22.109375" style="3" customWidth="1"/>
    <col min="54" max="54" width="23.33203125" style="3" customWidth="1"/>
    <col min="55" max="55" width="18.5546875" style="3" customWidth="1"/>
    <col min="56" max="56" width="16.109375" style="3" bestFit="1" customWidth="1"/>
    <col min="57" max="57" width="17.109375" style="3" bestFit="1" customWidth="1"/>
    <col min="58" max="58" width="8.88671875" style="3"/>
    <col min="59" max="59" width="15.33203125" style="3" bestFit="1" customWidth="1"/>
    <col min="60" max="60" width="11.33203125" style="3" bestFit="1" customWidth="1"/>
    <col min="61" max="16384" width="8.88671875" style="3"/>
  </cols>
  <sheetData>
    <row r="1" spans="1:60" ht="16.5" customHeight="1">
      <c r="B1" s="1016" t="s">
        <v>774</v>
      </c>
    </row>
    <row r="2" spans="1:60" ht="13.95" customHeight="1">
      <c r="B2" s="1016" t="s">
        <v>6</v>
      </c>
    </row>
    <row r="3" spans="1:60" ht="15.75" customHeight="1">
      <c r="B3" s="1017" t="s">
        <v>1351</v>
      </c>
    </row>
    <row r="4" spans="1:60" ht="15.75" customHeight="1">
      <c r="B4" s="1017" t="s">
        <v>1352</v>
      </c>
    </row>
    <row r="5" spans="1:60" ht="16.5" customHeight="1">
      <c r="B5" s="1017" t="s">
        <v>1353</v>
      </c>
    </row>
    <row r="6" spans="1:60" ht="11.7" customHeight="1"/>
    <row r="7" spans="1:60" ht="15.75" customHeight="1">
      <c r="B7" s="1018" t="s">
        <v>775</v>
      </c>
    </row>
    <row r="8" spans="1:60" ht="18" customHeight="1" thickBot="1">
      <c r="B8" s="1017" t="s">
        <v>1354</v>
      </c>
    </row>
    <row r="9" spans="1:60" ht="52.95" customHeight="1" thickTop="1">
      <c r="A9" s="1019" t="s">
        <v>720</v>
      </c>
      <c r="B9" s="1019" t="s">
        <v>44</v>
      </c>
      <c r="C9" s="1019" t="s">
        <v>872</v>
      </c>
      <c r="D9" s="1019" t="s">
        <v>875</v>
      </c>
      <c r="E9" s="1019" t="s">
        <v>876</v>
      </c>
      <c r="F9" s="1019" t="s">
        <v>882</v>
      </c>
      <c r="G9" s="1019" t="s">
        <v>883</v>
      </c>
      <c r="H9" s="1019" t="s">
        <v>884</v>
      </c>
      <c r="I9" s="1019" t="s">
        <v>885</v>
      </c>
      <c r="J9" s="1019" t="s">
        <v>889</v>
      </c>
      <c r="K9" s="1019" t="s">
        <v>890</v>
      </c>
      <c r="L9" s="1019" t="s">
        <v>900</v>
      </c>
      <c r="M9" s="1019" t="s">
        <v>902</v>
      </c>
      <c r="N9" s="1019" t="s">
        <v>903</v>
      </c>
      <c r="O9" s="1019" t="s">
        <v>904</v>
      </c>
      <c r="P9" s="1019" t="s">
        <v>1081</v>
      </c>
      <c r="Q9" s="1020" t="s">
        <v>721</v>
      </c>
      <c r="R9" s="1019" t="s">
        <v>905</v>
      </c>
      <c r="S9" s="1020" t="s">
        <v>722</v>
      </c>
      <c r="T9" s="1019" t="s">
        <v>906</v>
      </c>
      <c r="U9" s="1019" t="s">
        <v>912</v>
      </c>
      <c r="V9" s="1019" t="s">
        <v>914</v>
      </c>
      <c r="W9" s="1019" t="s">
        <v>915</v>
      </c>
      <c r="X9" s="1019" t="s">
        <v>918</v>
      </c>
      <c r="Y9" s="1019" t="s">
        <v>920</v>
      </c>
      <c r="Z9" s="1019" t="s">
        <v>921</v>
      </c>
      <c r="AA9" s="1019" t="s">
        <v>922</v>
      </c>
      <c r="AB9" s="1019" t="s">
        <v>923</v>
      </c>
      <c r="AC9" s="1019" t="s">
        <v>924</v>
      </c>
      <c r="AD9" s="1019" t="s">
        <v>925</v>
      </c>
      <c r="AE9" s="1019" t="s">
        <v>926</v>
      </c>
      <c r="AF9" s="1019" t="s">
        <v>927</v>
      </c>
      <c r="AG9" s="1021" t="s">
        <v>1214</v>
      </c>
      <c r="AH9" s="1019" t="s">
        <v>928</v>
      </c>
      <c r="AI9" s="1019" t="s">
        <v>929</v>
      </c>
      <c r="AJ9" s="1019" t="s">
        <v>973</v>
      </c>
      <c r="AK9" s="1019" t="s">
        <v>931</v>
      </c>
      <c r="AL9" s="1022" t="s">
        <v>932</v>
      </c>
      <c r="AM9" s="1022" t="s">
        <v>1260</v>
      </c>
      <c r="AN9" s="1019" t="s">
        <v>934</v>
      </c>
      <c r="AO9" s="1019" t="s">
        <v>1276</v>
      </c>
      <c r="AP9" s="1022" t="s">
        <v>1284</v>
      </c>
      <c r="AQ9" s="1022" t="s">
        <v>1287</v>
      </c>
      <c r="AR9" s="1022" t="s">
        <v>1289</v>
      </c>
      <c r="AS9" s="1019" t="s">
        <v>1291</v>
      </c>
      <c r="AT9" s="1020" t="s">
        <v>723</v>
      </c>
      <c r="AU9" s="1019" t="s">
        <v>935</v>
      </c>
      <c r="AV9" s="1019" t="s">
        <v>936</v>
      </c>
      <c r="AW9" s="1019" t="s">
        <v>937</v>
      </c>
      <c r="AX9" s="1019" t="s">
        <v>938</v>
      </c>
      <c r="AY9" s="1019" t="s">
        <v>939</v>
      </c>
      <c r="AZ9" s="1019" t="s">
        <v>941</v>
      </c>
      <c r="BA9" s="1019" t="s">
        <v>943</v>
      </c>
      <c r="BB9" s="1020" t="s">
        <v>724</v>
      </c>
      <c r="BC9" s="1023" t="s">
        <v>20</v>
      </c>
      <c r="BD9" s="1024" t="s">
        <v>788</v>
      </c>
      <c r="BE9" s="1024" t="s">
        <v>789</v>
      </c>
    </row>
    <row r="10" spans="1:60" ht="13.95" customHeight="1">
      <c r="A10" s="1017" t="s">
        <v>67</v>
      </c>
      <c r="B10" s="1017" t="s">
        <v>725</v>
      </c>
      <c r="C10" s="1025">
        <v>104942000</v>
      </c>
      <c r="D10" s="1025">
        <v>4219000</v>
      </c>
      <c r="E10" s="1025">
        <v>171159000</v>
      </c>
      <c r="F10" s="1025">
        <v>118368000</v>
      </c>
      <c r="G10" s="1025">
        <v>34238000</v>
      </c>
      <c r="H10" s="1025">
        <v>41526000</v>
      </c>
      <c r="I10" s="1025">
        <v>103095000</v>
      </c>
      <c r="J10" s="1025">
        <v>62699000</v>
      </c>
      <c r="K10" s="1025">
        <v>120652000</v>
      </c>
      <c r="L10" s="1025">
        <v>28343000</v>
      </c>
      <c r="M10" s="1025">
        <v>11154000</v>
      </c>
      <c r="N10" s="1025">
        <v>303738000</v>
      </c>
      <c r="O10" s="1025">
        <v>0</v>
      </c>
      <c r="P10" s="1025">
        <v>77202000</v>
      </c>
      <c r="Q10" s="1026">
        <v>1181335000</v>
      </c>
      <c r="R10" s="1025">
        <v>237020000</v>
      </c>
      <c r="S10" s="1026">
        <v>237020000</v>
      </c>
      <c r="T10" s="1025">
        <v>101331000</v>
      </c>
      <c r="U10" s="1025">
        <v>32878000</v>
      </c>
      <c r="V10" s="1025">
        <v>86353000</v>
      </c>
      <c r="W10" s="1025">
        <v>308930000</v>
      </c>
      <c r="X10" s="1025">
        <v>24780000</v>
      </c>
      <c r="Y10" s="1025">
        <v>50833000</v>
      </c>
      <c r="Z10" s="1025">
        <v>166134000</v>
      </c>
      <c r="AA10" s="1025">
        <v>98126000</v>
      </c>
      <c r="AB10" s="1025">
        <v>49650000</v>
      </c>
      <c r="AC10" s="1025">
        <v>229200000</v>
      </c>
      <c r="AD10" s="1025">
        <v>227065000</v>
      </c>
      <c r="AE10" s="1025">
        <v>94154000</v>
      </c>
      <c r="AF10" s="1025">
        <v>72910000</v>
      </c>
      <c r="AG10" s="1025">
        <v>0</v>
      </c>
      <c r="AH10" s="1025">
        <v>27678000</v>
      </c>
      <c r="AI10" s="1025">
        <v>0</v>
      </c>
      <c r="AJ10" s="1025">
        <v>71310000</v>
      </c>
      <c r="AK10" s="1025">
        <v>45825000</v>
      </c>
      <c r="AL10" s="1025">
        <v>0</v>
      </c>
      <c r="AM10" s="1025">
        <v>0</v>
      </c>
      <c r="AN10" s="1025">
        <v>106178000</v>
      </c>
      <c r="AO10" s="1025">
        <v>115635000</v>
      </c>
      <c r="AP10" s="1025">
        <v>0</v>
      </c>
      <c r="AQ10" s="1025">
        <v>0</v>
      </c>
      <c r="AR10" s="1025">
        <v>0</v>
      </c>
      <c r="AS10" s="1025">
        <v>0</v>
      </c>
      <c r="AT10" s="1026">
        <v>1908970000</v>
      </c>
      <c r="AU10" s="1025">
        <v>46848000</v>
      </c>
      <c r="AV10" s="1025">
        <v>67104000</v>
      </c>
      <c r="AW10" s="1025">
        <v>22952000</v>
      </c>
      <c r="AX10" s="1025">
        <v>22481000</v>
      </c>
      <c r="AY10" s="1025">
        <v>34037000</v>
      </c>
      <c r="AZ10" s="1025">
        <v>0</v>
      </c>
      <c r="BA10" s="1025">
        <v>0</v>
      </c>
      <c r="BB10" s="1026">
        <v>193422000</v>
      </c>
      <c r="BC10" s="1026">
        <v>3520747000</v>
      </c>
      <c r="BD10" s="1027">
        <v>0</v>
      </c>
      <c r="BE10" s="1027">
        <v>3520747000</v>
      </c>
      <c r="BG10" s="909"/>
      <c r="BH10" s="1028"/>
    </row>
    <row r="11" spans="1:60" ht="13.95" customHeight="1">
      <c r="A11" s="1017" t="s">
        <v>68</v>
      </c>
      <c r="B11" s="1017" t="s">
        <v>367</v>
      </c>
      <c r="C11" s="1025">
        <v>0</v>
      </c>
      <c r="D11" s="1025">
        <v>0</v>
      </c>
      <c r="E11" s="1025">
        <v>0</v>
      </c>
      <c r="F11" s="1025">
        <v>0</v>
      </c>
      <c r="G11" s="1025">
        <v>0</v>
      </c>
      <c r="H11" s="1025">
        <v>0</v>
      </c>
      <c r="I11" s="1025">
        <v>0</v>
      </c>
      <c r="J11" s="1025">
        <v>0</v>
      </c>
      <c r="K11" s="1025">
        <v>0</v>
      </c>
      <c r="L11" s="1025">
        <v>0</v>
      </c>
      <c r="M11" s="1025">
        <v>0</v>
      </c>
      <c r="N11" s="1025">
        <v>0</v>
      </c>
      <c r="O11" s="1025">
        <v>0</v>
      </c>
      <c r="P11" s="1025">
        <v>0</v>
      </c>
      <c r="Q11" s="1026">
        <v>0</v>
      </c>
      <c r="R11" s="1025">
        <v>0</v>
      </c>
      <c r="S11" s="1026">
        <v>0</v>
      </c>
      <c r="T11" s="1025">
        <v>0</v>
      </c>
      <c r="U11" s="1025">
        <v>187582000</v>
      </c>
      <c r="V11" s="1025">
        <v>0</v>
      </c>
      <c r="W11" s="1025">
        <v>10115000</v>
      </c>
      <c r="X11" s="1025">
        <v>57426000</v>
      </c>
      <c r="Y11" s="1025">
        <v>0</v>
      </c>
      <c r="Z11" s="1025">
        <v>0</v>
      </c>
      <c r="AA11" s="1025">
        <v>0</v>
      </c>
      <c r="AB11" s="1025">
        <v>0</v>
      </c>
      <c r="AC11" s="1025">
        <v>0</v>
      </c>
      <c r="AD11" s="1025">
        <v>12554000</v>
      </c>
      <c r="AE11" s="1025">
        <v>0</v>
      </c>
      <c r="AF11" s="1025">
        <v>0</v>
      </c>
      <c r="AG11" s="1025">
        <v>1085037000</v>
      </c>
      <c r="AH11" s="1025">
        <v>0</v>
      </c>
      <c r="AI11" s="1025">
        <v>0</v>
      </c>
      <c r="AJ11" s="1025">
        <v>0</v>
      </c>
      <c r="AK11" s="1025">
        <v>21100000</v>
      </c>
      <c r="AL11" s="1025">
        <v>670737000</v>
      </c>
      <c r="AM11" s="1025">
        <v>84781000</v>
      </c>
      <c r="AN11" s="1025">
        <v>0</v>
      </c>
      <c r="AO11" s="1025">
        <v>0</v>
      </c>
      <c r="AP11" s="1025">
        <v>13367000</v>
      </c>
      <c r="AQ11" s="1025">
        <v>21702000</v>
      </c>
      <c r="AR11" s="1025">
        <v>30033000</v>
      </c>
      <c r="AS11" s="1025">
        <v>0</v>
      </c>
      <c r="AT11" s="1026">
        <v>2194434000</v>
      </c>
      <c r="AU11" s="1025">
        <v>0</v>
      </c>
      <c r="AV11" s="1025">
        <v>0</v>
      </c>
      <c r="AW11" s="1025">
        <v>0</v>
      </c>
      <c r="AX11" s="1025">
        <v>0</v>
      </c>
      <c r="AY11" s="1025">
        <v>0</v>
      </c>
      <c r="AZ11" s="1025">
        <v>0</v>
      </c>
      <c r="BA11" s="1025">
        <v>0</v>
      </c>
      <c r="BB11" s="1026">
        <v>0</v>
      </c>
      <c r="BC11" s="1026">
        <v>2194434000</v>
      </c>
      <c r="BD11" s="1027">
        <v>1905657000</v>
      </c>
      <c r="BE11" s="1027">
        <v>288777000</v>
      </c>
      <c r="BG11" s="909"/>
      <c r="BH11" s="1028"/>
    </row>
    <row r="12" spans="1:60" ht="13.95" customHeight="1">
      <c r="A12" s="1017" t="s">
        <v>333</v>
      </c>
      <c r="B12" s="1017" t="s">
        <v>319</v>
      </c>
      <c r="C12" s="1025">
        <v>0</v>
      </c>
      <c r="D12" s="1025">
        <v>0</v>
      </c>
      <c r="E12" s="1025">
        <v>0</v>
      </c>
      <c r="F12" s="1025">
        <v>0</v>
      </c>
      <c r="G12" s="1025">
        <v>0</v>
      </c>
      <c r="H12" s="1025">
        <v>0</v>
      </c>
      <c r="I12" s="1025">
        <v>0</v>
      </c>
      <c r="J12" s="1025">
        <v>0</v>
      </c>
      <c r="K12" s="1025">
        <v>5000000</v>
      </c>
      <c r="L12" s="1025">
        <v>0</v>
      </c>
      <c r="M12" s="1025">
        <v>0</v>
      </c>
      <c r="N12" s="1025">
        <v>0</v>
      </c>
      <c r="O12" s="1025">
        <v>0</v>
      </c>
      <c r="P12" s="1025">
        <v>0</v>
      </c>
      <c r="Q12" s="1026">
        <v>5000000</v>
      </c>
      <c r="R12" s="1025">
        <v>0</v>
      </c>
      <c r="S12" s="1026">
        <v>0</v>
      </c>
      <c r="T12" s="1025">
        <v>0</v>
      </c>
      <c r="U12" s="1025">
        <v>0</v>
      </c>
      <c r="V12" s="1025">
        <v>0</v>
      </c>
      <c r="W12" s="1025">
        <v>0</v>
      </c>
      <c r="X12" s="1025">
        <v>0</v>
      </c>
      <c r="Y12" s="1025">
        <v>0</v>
      </c>
      <c r="Z12" s="1025">
        <v>0</v>
      </c>
      <c r="AA12" s="1025">
        <v>0</v>
      </c>
      <c r="AB12" s="1025">
        <v>0</v>
      </c>
      <c r="AC12" s="1025">
        <v>0</v>
      </c>
      <c r="AD12" s="1025">
        <v>0</v>
      </c>
      <c r="AE12" s="1025">
        <v>0</v>
      </c>
      <c r="AF12" s="1025">
        <v>0</v>
      </c>
      <c r="AG12" s="1025">
        <v>0</v>
      </c>
      <c r="AH12" s="1025">
        <v>0</v>
      </c>
      <c r="AI12" s="1025">
        <v>0</v>
      </c>
      <c r="AJ12" s="1025">
        <v>0</v>
      </c>
      <c r="AK12" s="1025">
        <v>0</v>
      </c>
      <c r="AL12" s="1025">
        <v>0</v>
      </c>
      <c r="AM12" s="1025">
        <v>0</v>
      </c>
      <c r="AN12" s="1025">
        <v>0</v>
      </c>
      <c r="AO12" s="1025">
        <v>0</v>
      </c>
      <c r="AP12" s="1025">
        <v>0</v>
      </c>
      <c r="AQ12" s="1025">
        <v>0</v>
      </c>
      <c r="AR12" s="1025">
        <v>0</v>
      </c>
      <c r="AS12" s="1025">
        <v>0</v>
      </c>
      <c r="AT12" s="1026">
        <v>0</v>
      </c>
      <c r="AU12" s="1025">
        <v>0</v>
      </c>
      <c r="AV12" s="1025">
        <v>0</v>
      </c>
      <c r="AW12" s="1025">
        <v>0</v>
      </c>
      <c r="AX12" s="1025">
        <v>0</v>
      </c>
      <c r="AY12" s="1025">
        <v>0</v>
      </c>
      <c r="AZ12" s="1025">
        <v>0</v>
      </c>
      <c r="BA12" s="1025">
        <v>0</v>
      </c>
      <c r="BB12" s="1026">
        <v>0</v>
      </c>
      <c r="BC12" s="1026">
        <v>5000000</v>
      </c>
      <c r="BD12" s="1027">
        <v>0</v>
      </c>
      <c r="BE12" s="1027">
        <v>5000000</v>
      </c>
      <c r="BG12" s="909"/>
      <c r="BH12" s="1028"/>
    </row>
    <row r="13" spans="1:60" ht="13.95" customHeight="1">
      <c r="A13" s="1029"/>
      <c r="B13" s="1030" t="s">
        <v>726</v>
      </c>
      <c r="C13" s="1031">
        <v>104942000</v>
      </c>
      <c r="D13" s="1031">
        <v>4219000</v>
      </c>
      <c r="E13" s="1031">
        <v>171159000</v>
      </c>
      <c r="F13" s="1031">
        <v>118368000</v>
      </c>
      <c r="G13" s="1031">
        <v>34238000</v>
      </c>
      <c r="H13" s="1031">
        <v>41526000</v>
      </c>
      <c r="I13" s="1031">
        <v>103095000</v>
      </c>
      <c r="J13" s="1031">
        <v>62699000</v>
      </c>
      <c r="K13" s="1031">
        <v>125652000</v>
      </c>
      <c r="L13" s="1031">
        <v>28343000</v>
      </c>
      <c r="M13" s="1031">
        <v>11154000</v>
      </c>
      <c r="N13" s="1031">
        <v>303738000</v>
      </c>
      <c r="O13" s="1031">
        <v>0</v>
      </c>
      <c r="P13" s="1031">
        <v>77202000</v>
      </c>
      <c r="Q13" s="1031">
        <v>1186335000</v>
      </c>
      <c r="R13" s="1031">
        <v>237020000</v>
      </c>
      <c r="S13" s="1031">
        <v>237020000</v>
      </c>
      <c r="T13" s="1031">
        <v>101331000</v>
      </c>
      <c r="U13" s="1031">
        <v>220460000</v>
      </c>
      <c r="V13" s="1031">
        <v>86353000</v>
      </c>
      <c r="W13" s="1031">
        <v>319045000</v>
      </c>
      <c r="X13" s="1031">
        <v>82206000</v>
      </c>
      <c r="Y13" s="1031">
        <v>50833000</v>
      </c>
      <c r="Z13" s="1031">
        <v>166134000</v>
      </c>
      <c r="AA13" s="1031">
        <v>98126000</v>
      </c>
      <c r="AB13" s="1031">
        <v>49650000</v>
      </c>
      <c r="AC13" s="1031">
        <v>229200000</v>
      </c>
      <c r="AD13" s="1031">
        <v>239619000</v>
      </c>
      <c r="AE13" s="1031">
        <v>94154000</v>
      </c>
      <c r="AF13" s="1031">
        <v>72910000</v>
      </c>
      <c r="AG13" s="1031">
        <v>1085037000</v>
      </c>
      <c r="AH13" s="1031">
        <v>27678000</v>
      </c>
      <c r="AI13" s="1031">
        <v>0</v>
      </c>
      <c r="AJ13" s="1031">
        <v>71310000</v>
      </c>
      <c r="AK13" s="1031">
        <v>66925000</v>
      </c>
      <c r="AL13" s="1031">
        <v>670737000</v>
      </c>
      <c r="AM13" s="1031">
        <v>84781000</v>
      </c>
      <c r="AN13" s="1031">
        <v>106178000</v>
      </c>
      <c r="AO13" s="1031">
        <v>115635000</v>
      </c>
      <c r="AP13" s="1031">
        <v>13367000</v>
      </c>
      <c r="AQ13" s="1031">
        <v>21702000</v>
      </c>
      <c r="AR13" s="1031">
        <v>30033000</v>
      </c>
      <c r="AS13" s="1031">
        <v>0</v>
      </c>
      <c r="AT13" s="1031">
        <v>4103404000</v>
      </c>
      <c r="AU13" s="1031">
        <v>46848000</v>
      </c>
      <c r="AV13" s="1031">
        <v>67104000</v>
      </c>
      <c r="AW13" s="1031">
        <v>22952000</v>
      </c>
      <c r="AX13" s="1031">
        <v>22481000</v>
      </c>
      <c r="AY13" s="1031">
        <v>34037000</v>
      </c>
      <c r="AZ13" s="1031">
        <v>0</v>
      </c>
      <c r="BA13" s="1031">
        <v>0</v>
      </c>
      <c r="BB13" s="1031">
        <v>193422000</v>
      </c>
      <c r="BC13" s="1031">
        <v>5720181000</v>
      </c>
      <c r="BD13" s="1032">
        <v>1905657000</v>
      </c>
      <c r="BE13" s="1032">
        <v>3814524000</v>
      </c>
      <c r="BG13" s="909"/>
      <c r="BH13" s="1028"/>
    </row>
    <row r="14" spans="1:60" ht="13.95" customHeight="1">
      <c r="A14" s="1017" t="s">
        <v>71</v>
      </c>
      <c r="B14" s="1017" t="s">
        <v>33</v>
      </c>
      <c r="C14" s="1025">
        <v>0</v>
      </c>
      <c r="D14" s="1025">
        <v>540000</v>
      </c>
      <c r="E14" s="1025">
        <v>0</v>
      </c>
      <c r="F14" s="1025">
        <v>1568000</v>
      </c>
      <c r="G14" s="1025">
        <v>222000</v>
      </c>
      <c r="H14" s="1025">
        <v>4411000</v>
      </c>
      <c r="I14" s="1025">
        <v>167000</v>
      </c>
      <c r="J14" s="1025">
        <v>195000</v>
      </c>
      <c r="K14" s="1025">
        <v>157000</v>
      </c>
      <c r="L14" s="1025">
        <v>0</v>
      </c>
      <c r="M14" s="1025">
        <v>0</v>
      </c>
      <c r="N14" s="1025">
        <v>1602000</v>
      </c>
      <c r="O14" s="1025">
        <v>0</v>
      </c>
      <c r="P14" s="1025">
        <v>0</v>
      </c>
      <c r="Q14" s="1026">
        <v>8862000</v>
      </c>
      <c r="R14" s="1025">
        <v>718000</v>
      </c>
      <c r="S14" s="1026">
        <v>718000</v>
      </c>
      <c r="T14" s="1025">
        <v>152000</v>
      </c>
      <c r="U14" s="1025">
        <v>60177000</v>
      </c>
      <c r="V14" s="1025">
        <v>3219000</v>
      </c>
      <c r="W14" s="1025">
        <v>11161000</v>
      </c>
      <c r="X14" s="1025">
        <v>17000000</v>
      </c>
      <c r="Y14" s="1025">
        <v>167000</v>
      </c>
      <c r="Z14" s="1025">
        <v>93000</v>
      </c>
      <c r="AA14" s="1025">
        <v>727000</v>
      </c>
      <c r="AB14" s="1025">
        <v>224000</v>
      </c>
      <c r="AC14" s="1025">
        <v>2666000</v>
      </c>
      <c r="AD14" s="1025">
        <v>5183000</v>
      </c>
      <c r="AE14" s="1025">
        <v>1950000</v>
      </c>
      <c r="AF14" s="1025">
        <v>184000</v>
      </c>
      <c r="AG14" s="1025">
        <v>15500000</v>
      </c>
      <c r="AH14" s="1025">
        <v>0</v>
      </c>
      <c r="AI14" s="1025">
        <v>0</v>
      </c>
      <c r="AJ14" s="1025">
        <v>2050000</v>
      </c>
      <c r="AK14" s="1025">
        <v>131000</v>
      </c>
      <c r="AL14" s="1025">
        <v>51900000</v>
      </c>
      <c r="AM14" s="1025">
        <v>5506000</v>
      </c>
      <c r="AN14" s="1025">
        <v>0</v>
      </c>
      <c r="AO14" s="1025">
        <v>5085000</v>
      </c>
      <c r="AP14" s="1025">
        <v>5100000</v>
      </c>
      <c r="AQ14" s="1025">
        <v>0</v>
      </c>
      <c r="AR14" s="1025">
        <v>0</v>
      </c>
      <c r="AS14" s="1025">
        <v>0</v>
      </c>
      <c r="AT14" s="1026">
        <v>188175000</v>
      </c>
      <c r="AU14" s="1025">
        <v>1728000</v>
      </c>
      <c r="AV14" s="1025">
        <v>0</v>
      </c>
      <c r="AW14" s="1025">
        <v>0</v>
      </c>
      <c r="AX14" s="1025">
        <v>0</v>
      </c>
      <c r="AY14" s="1025">
        <v>0</v>
      </c>
      <c r="AZ14" s="1025">
        <v>0</v>
      </c>
      <c r="BA14" s="1025">
        <v>0</v>
      </c>
      <c r="BB14" s="1026">
        <v>1728000</v>
      </c>
      <c r="BC14" s="1026">
        <v>199483000</v>
      </c>
      <c r="BD14" s="1027">
        <v>78006000</v>
      </c>
      <c r="BE14" s="1027">
        <v>121477000</v>
      </c>
      <c r="BG14" s="909"/>
      <c r="BH14" s="1028"/>
    </row>
    <row r="15" spans="1:60" ht="13.95" customHeight="1">
      <c r="A15" s="1017" t="s">
        <v>477</v>
      </c>
      <c r="B15" s="1017" t="s">
        <v>478</v>
      </c>
      <c r="C15" s="1025">
        <v>0</v>
      </c>
      <c r="D15" s="1025">
        <v>0</v>
      </c>
      <c r="E15" s="1025">
        <v>0</v>
      </c>
      <c r="F15" s="1025">
        <v>0</v>
      </c>
      <c r="G15" s="1025">
        <v>0</v>
      </c>
      <c r="H15" s="1025">
        <v>0</v>
      </c>
      <c r="I15" s="1025">
        <v>0</v>
      </c>
      <c r="J15" s="1025">
        <v>0</v>
      </c>
      <c r="K15" s="1025">
        <v>2119180.08</v>
      </c>
      <c r="L15" s="1025">
        <v>0</v>
      </c>
      <c r="M15" s="1025">
        <v>0</v>
      </c>
      <c r="N15" s="1025">
        <v>0</v>
      </c>
      <c r="O15" s="1025">
        <v>0</v>
      </c>
      <c r="P15" s="1025">
        <v>0</v>
      </c>
      <c r="Q15" s="1026">
        <v>2119180.08</v>
      </c>
      <c r="R15" s="1025">
        <v>0</v>
      </c>
      <c r="S15" s="1026">
        <v>0</v>
      </c>
      <c r="T15" s="1025">
        <v>0</v>
      </c>
      <c r="U15" s="1025">
        <v>0</v>
      </c>
      <c r="V15" s="1025">
        <v>0</v>
      </c>
      <c r="W15" s="1025">
        <v>0</v>
      </c>
      <c r="X15" s="1025">
        <v>0</v>
      </c>
      <c r="Y15" s="1025">
        <v>0</v>
      </c>
      <c r="Z15" s="1025">
        <v>0</v>
      </c>
      <c r="AA15" s="1025">
        <v>0</v>
      </c>
      <c r="AB15" s="1025">
        <v>0</v>
      </c>
      <c r="AC15" s="1025">
        <v>0</v>
      </c>
      <c r="AD15" s="1025">
        <v>0</v>
      </c>
      <c r="AE15" s="1025">
        <v>0</v>
      </c>
      <c r="AF15" s="1025">
        <v>0</v>
      </c>
      <c r="AG15" s="1025">
        <v>0</v>
      </c>
      <c r="AH15" s="1025">
        <v>0</v>
      </c>
      <c r="AI15" s="1025">
        <v>0</v>
      </c>
      <c r="AJ15" s="1025">
        <v>0</v>
      </c>
      <c r="AK15" s="1025">
        <v>0</v>
      </c>
      <c r="AL15" s="1025">
        <v>0</v>
      </c>
      <c r="AM15" s="1025">
        <v>0</v>
      </c>
      <c r="AN15" s="1025">
        <v>0</v>
      </c>
      <c r="AO15" s="1025">
        <v>0</v>
      </c>
      <c r="AP15" s="1025">
        <v>0</v>
      </c>
      <c r="AQ15" s="1025">
        <v>0</v>
      </c>
      <c r="AR15" s="1025">
        <v>0</v>
      </c>
      <c r="AS15" s="1025">
        <v>0</v>
      </c>
      <c r="AT15" s="1026">
        <v>0</v>
      </c>
      <c r="AU15" s="1025">
        <v>0</v>
      </c>
      <c r="AV15" s="1025">
        <v>0</v>
      </c>
      <c r="AW15" s="1025">
        <v>0</v>
      </c>
      <c r="AX15" s="1025">
        <v>0</v>
      </c>
      <c r="AY15" s="1025">
        <v>0</v>
      </c>
      <c r="AZ15" s="1025">
        <v>0</v>
      </c>
      <c r="BA15" s="1025">
        <v>0</v>
      </c>
      <c r="BB15" s="1026">
        <v>0</v>
      </c>
      <c r="BC15" s="1026">
        <v>2119180.08</v>
      </c>
      <c r="BD15" s="1027">
        <v>0</v>
      </c>
      <c r="BE15" s="1027">
        <v>2119180.08</v>
      </c>
      <c r="BG15" s="909"/>
      <c r="BH15" s="1028"/>
    </row>
    <row r="16" spans="1:60" ht="13.95" customHeight="1">
      <c r="A16" s="1017" t="s">
        <v>72</v>
      </c>
      <c r="B16" s="1017" t="s">
        <v>17</v>
      </c>
      <c r="C16" s="1025">
        <v>0</v>
      </c>
      <c r="D16" s="1025">
        <v>13500000</v>
      </c>
      <c r="E16" s="1025">
        <v>0</v>
      </c>
      <c r="F16" s="1025">
        <v>0</v>
      </c>
      <c r="G16" s="1025">
        <v>0</v>
      </c>
      <c r="H16" s="1025">
        <v>0</v>
      </c>
      <c r="I16" s="1025">
        <v>0</v>
      </c>
      <c r="J16" s="1025">
        <v>0</v>
      </c>
      <c r="K16" s="1025">
        <v>0</v>
      </c>
      <c r="L16" s="1025">
        <v>0</v>
      </c>
      <c r="M16" s="1025">
        <v>0</v>
      </c>
      <c r="N16" s="1025">
        <v>0</v>
      </c>
      <c r="O16" s="1025">
        <v>0</v>
      </c>
      <c r="P16" s="1025">
        <v>0</v>
      </c>
      <c r="Q16" s="1026">
        <v>13500000</v>
      </c>
      <c r="R16" s="1025">
        <v>0</v>
      </c>
      <c r="S16" s="1026">
        <v>0</v>
      </c>
      <c r="T16" s="1025">
        <v>0</v>
      </c>
      <c r="U16" s="1025">
        <v>0</v>
      </c>
      <c r="V16" s="1025">
        <v>0</v>
      </c>
      <c r="W16" s="1025">
        <v>0</v>
      </c>
      <c r="X16" s="1025">
        <v>0</v>
      </c>
      <c r="Y16" s="1025">
        <v>0</v>
      </c>
      <c r="Z16" s="1025">
        <v>0</v>
      </c>
      <c r="AA16" s="1025">
        <v>0</v>
      </c>
      <c r="AB16" s="1025">
        <v>0</v>
      </c>
      <c r="AC16" s="1025">
        <v>0</v>
      </c>
      <c r="AD16" s="1025">
        <v>0</v>
      </c>
      <c r="AE16" s="1025">
        <v>0</v>
      </c>
      <c r="AF16" s="1025">
        <v>0</v>
      </c>
      <c r="AG16" s="1025">
        <v>0</v>
      </c>
      <c r="AH16" s="1025">
        <v>0</v>
      </c>
      <c r="AI16" s="1025">
        <v>0</v>
      </c>
      <c r="AJ16" s="1025">
        <v>0</v>
      </c>
      <c r="AK16" s="1025">
        <v>0</v>
      </c>
      <c r="AL16" s="1025">
        <v>0</v>
      </c>
      <c r="AM16" s="1025">
        <v>0</v>
      </c>
      <c r="AN16" s="1025">
        <v>0</v>
      </c>
      <c r="AO16" s="1025">
        <v>0</v>
      </c>
      <c r="AP16" s="1025">
        <v>0</v>
      </c>
      <c r="AQ16" s="1025">
        <v>0</v>
      </c>
      <c r="AR16" s="1025">
        <v>0</v>
      </c>
      <c r="AS16" s="1025">
        <v>0</v>
      </c>
      <c r="AT16" s="1026">
        <v>0</v>
      </c>
      <c r="AU16" s="1025">
        <v>0</v>
      </c>
      <c r="AV16" s="1025">
        <v>0</v>
      </c>
      <c r="AW16" s="1025">
        <v>0</v>
      </c>
      <c r="AX16" s="1025">
        <v>0</v>
      </c>
      <c r="AY16" s="1025">
        <v>0</v>
      </c>
      <c r="AZ16" s="1025">
        <v>0</v>
      </c>
      <c r="BA16" s="1025">
        <v>0</v>
      </c>
      <c r="BB16" s="1026">
        <v>0</v>
      </c>
      <c r="BC16" s="1026">
        <v>13500000</v>
      </c>
      <c r="BD16" s="1027">
        <v>0</v>
      </c>
      <c r="BE16" s="1027">
        <v>13500000</v>
      </c>
      <c r="BG16" s="909"/>
      <c r="BH16" s="1028"/>
    </row>
    <row r="17" spans="1:60" ht="13.95" customHeight="1">
      <c r="A17" s="1029"/>
      <c r="B17" s="1030" t="s">
        <v>727</v>
      </c>
      <c r="C17" s="1031">
        <v>0</v>
      </c>
      <c r="D17" s="1031">
        <v>14040000</v>
      </c>
      <c r="E17" s="1031">
        <v>0</v>
      </c>
      <c r="F17" s="1031">
        <v>1568000</v>
      </c>
      <c r="G17" s="1031">
        <v>222000</v>
      </c>
      <c r="H17" s="1031">
        <v>4411000</v>
      </c>
      <c r="I17" s="1031">
        <v>167000</v>
      </c>
      <c r="J17" s="1031">
        <v>195000</v>
      </c>
      <c r="K17" s="1031">
        <v>2276180.08</v>
      </c>
      <c r="L17" s="1031">
        <v>0</v>
      </c>
      <c r="M17" s="1031">
        <v>0</v>
      </c>
      <c r="N17" s="1031">
        <v>1602000</v>
      </c>
      <c r="O17" s="1031">
        <v>0</v>
      </c>
      <c r="P17" s="1031">
        <v>0</v>
      </c>
      <c r="Q17" s="1031">
        <v>24481180.079999998</v>
      </c>
      <c r="R17" s="1031">
        <v>718000</v>
      </c>
      <c r="S17" s="1031">
        <v>718000</v>
      </c>
      <c r="T17" s="1031">
        <v>152000</v>
      </c>
      <c r="U17" s="1031">
        <v>60177000</v>
      </c>
      <c r="V17" s="1031">
        <v>3219000</v>
      </c>
      <c r="W17" s="1031">
        <v>11161000</v>
      </c>
      <c r="X17" s="1031">
        <v>17000000</v>
      </c>
      <c r="Y17" s="1031">
        <v>167000</v>
      </c>
      <c r="Z17" s="1031">
        <v>93000</v>
      </c>
      <c r="AA17" s="1031">
        <v>727000</v>
      </c>
      <c r="AB17" s="1031">
        <v>224000</v>
      </c>
      <c r="AC17" s="1031">
        <v>2666000</v>
      </c>
      <c r="AD17" s="1031">
        <v>5183000</v>
      </c>
      <c r="AE17" s="1031">
        <v>1950000</v>
      </c>
      <c r="AF17" s="1031">
        <v>184000</v>
      </c>
      <c r="AG17" s="1031">
        <v>15500000</v>
      </c>
      <c r="AH17" s="1031">
        <v>0</v>
      </c>
      <c r="AI17" s="1031">
        <v>0</v>
      </c>
      <c r="AJ17" s="1031">
        <v>2050000</v>
      </c>
      <c r="AK17" s="1031">
        <v>131000</v>
      </c>
      <c r="AL17" s="1031">
        <v>51900000</v>
      </c>
      <c r="AM17" s="1031">
        <v>5506000</v>
      </c>
      <c r="AN17" s="1031">
        <v>0</v>
      </c>
      <c r="AO17" s="1031">
        <v>5085000</v>
      </c>
      <c r="AP17" s="1031">
        <v>5100000</v>
      </c>
      <c r="AQ17" s="1031">
        <v>0</v>
      </c>
      <c r="AR17" s="1031">
        <v>0</v>
      </c>
      <c r="AS17" s="1031">
        <v>0</v>
      </c>
      <c r="AT17" s="1031">
        <v>188175000</v>
      </c>
      <c r="AU17" s="1031">
        <v>1728000</v>
      </c>
      <c r="AV17" s="1031">
        <v>0</v>
      </c>
      <c r="AW17" s="1031">
        <v>0</v>
      </c>
      <c r="AX17" s="1031">
        <v>0</v>
      </c>
      <c r="AY17" s="1031">
        <v>0</v>
      </c>
      <c r="AZ17" s="1031">
        <v>0</v>
      </c>
      <c r="BA17" s="1031">
        <v>0</v>
      </c>
      <c r="BB17" s="1031">
        <v>1728000</v>
      </c>
      <c r="BC17" s="1031">
        <v>215102180.07999998</v>
      </c>
      <c r="BD17" s="1032">
        <v>78006000</v>
      </c>
      <c r="BE17" s="1032">
        <v>137096180.07999998</v>
      </c>
      <c r="BG17" s="909"/>
      <c r="BH17" s="1028"/>
    </row>
    <row r="18" spans="1:60" ht="13.95" customHeight="1">
      <c r="A18" s="1017" t="s">
        <v>75</v>
      </c>
      <c r="B18" s="1017" t="s">
        <v>971</v>
      </c>
      <c r="C18" s="1025">
        <v>5183000</v>
      </c>
      <c r="D18" s="1025">
        <v>2569000</v>
      </c>
      <c r="E18" s="1025">
        <v>6600000</v>
      </c>
      <c r="F18" s="1025">
        <v>15242000</v>
      </c>
      <c r="G18" s="1025">
        <v>13373000</v>
      </c>
      <c r="H18" s="1025">
        <v>7022000</v>
      </c>
      <c r="I18" s="1025">
        <v>16182000</v>
      </c>
      <c r="J18" s="1025">
        <v>19160000</v>
      </c>
      <c r="K18" s="1025">
        <v>35001000</v>
      </c>
      <c r="L18" s="1025">
        <v>1650000</v>
      </c>
      <c r="M18" s="1025">
        <v>4131000</v>
      </c>
      <c r="N18" s="1025">
        <v>50490000</v>
      </c>
      <c r="O18" s="1025">
        <v>0</v>
      </c>
      <c r="P18" s="1025">
        <v>11064000</v>
      </c>
      <c r="Q18" s="1026">
        <v>187667000</v>
      </c>
      <c r="R18" s="1025">
        <v>36608000</v>
      </c>
      <c r="S18" s="1026">
        <v>36608000</v>
      </c>
      <c r="T18" s="1025">
        <v>2095000</v>
      </c>
      <c r="U18" s="1025">
        <v>8239000</v>
      </c>
      <c r="V18" s="1025">
        <v>21337000</v>
      </c>
      <c r="W18" s="1025">
        <v>40123000</v>
      </c>
      <c r="X18" s="1025">
        <v>3369000</v>
      </c>
      <c r="Y18" s="1025">
        <v>14109000</v>
      </c>
      <c r="Z18" s="1025">
        <v>54000000</v>
      </c>
      <c r="AA18" s="1025">
        <v>7921000</v>
      </c>
      <c r="AB18" s="1025">
        <v>10236000</v>
      </c>
      <c r="AC18" s="1025">
        <v>29655000</v>
      </c>
      <c r="AD18" s="1025">
        <v>22168000</v>
      </c>
      <c r="AE18" s="1025">
        <v>6563000</v>
      </c>
      <c r="AF18" s="1025">
        <v>7553000</v>
      </c>
      <c r="AG18" s="1025">
        <v>0</v>
      </c>
      <c r="AH18" s="1025">
        <v>3679000</v>
      </c>
      <c r="AI18" s="1025">
        <v>0</v>
      </c>
      <c r="AJ18" s="1025">
        <v>8028000</v>
      </c>
      <c r="AK18" s="1025">
        <v>3656000</v>
      </c>
      <c r="AL18" s="1025">
        <v>0</v>
      </c>
      <c r="AM18" s="1025">
        <v>4416000</v>
      </c>
      <c r="AN18" s="1025">
        <v>6906000</v>
      </c>
      <c r="AO18" s="1025">
        <v>4748000</v>
      </c>
      <c r="AP18" s="1025">
        <v>4416000</v>
      </c>
      <c r="AQ18" s="1025">
        <v>0</v>
      </c>
      <c r="AR18" s="1025">
        <v>0</v>
      </c>
      <c r="AS18" s="1025">
        <v>0</v>
      </c>
      <c r="AT18" s="1026">
        <v>263217000</v>
      </c>
      <c r="AU18" s="1025">
        <v>9074000</v>
      </c>
      <c r="AV18" s="1025">
        <v>14218000</v>
      </c>
      <c r="AW18" s="1025">
        <v>10096000</v>
      </c>
      <c r="AX18" s="1025">
        <v>4569000</v>
      </c>
      <c r="AY18" s="1025">
        <v>6244000</v>
      </c>
      <c r="AZ18" s="1025">
        <v>0</v>
      </c>
      <c r="BA18" s="1025">
        <v>0</v>
      </c>
      <c r="BB18" s="1026">
        <v>44201000</v>
      </c>
      <c r="BC18" s="1026">
        <v>531693000</v>
      </c>
      <c r="BD18" s="1027">
        <v>8832000</v>
      </c>
      <c r="BE18" s="1027">
        <v>522861000</v>
      </c>
      <c r="BG18" s="909"/>
      <c r="BH18" s="1028"/>
    </row>
    <row r="19" spans="1:60" ht="13.95" customHeight="1">
      <c r="A19" s="1017" t="s">
        <v>76</v>
      </c>
      <c r="B19" s="1017" t="s">
        <v>972</v>
      </c>
      <c r="C19" s="1025">
        <v>3905000</v>
      </c>
      <c r="D19" s="1025">
        <v>0</v>
      </c>
      <c r="E19" s="1025">
        <v>14925000</v>
      </c>
      <c r="F19" s="1025">
        <v>26005000</v>
      </c>
      <c r="G19" s="1025">
        <v>9338000</v>
      </c>
      <c r="H19" s="1025">
        <v>9218000</v>
      </c>
      <c r="I19" s="1025">
        <v>25487000</v>
      </c>
      <c r="J19" s="1025">
        <v>21832000</v>
      </c>
      <c r="K19" s="1025">
        <v>28738000</v>
      </c>
      <c r="L19" s="1025">
        <v>0</v>
      </c>
      <c r="M19" s="1025">
        <v>6135000</v>
      </c>
      <c r="N19" s="1025">
        <v>70758000</v>
      </c>
      <c r="O19" s="1025">
        <v>0</v>
      </c>
      <c r="P19" s="1025">
        <v>7049000</v>
      </c>
      <c r="Q19" s="1026">
        <v>223390000</v>
      </c>
      <c r="R19" s="1025">
        <v>52035000</v>
      </c>
      <c r="S19" s="1026">
        <v>52035000</v>
      </c>
      <c r="T19" s="1025">
        <v>0</v>
      </c>
      <c r="U19" s="1025">
        <v>13513000</v>
      </c>
      <c r="V19" s="1025">
        <v>13192000</v>
      </c>
      <c r="W19" s="1025">
        <v>10809000</v>
      </c>
      <c r="X19" s="1025">
        <v>2943000</v>
      </c>
      <c r="Y19" s="1025">
        <v>11270000</v>
      </c>
      <c r="Z19" s="1025">
        <v>27113000</v>
      </c>
      <c r="AA19" s="1025">
        <v>6347000</v>
      </c>
      <c r="AB19" s="1025">
        <v>7085000</v>
      </c>
      <c r="AC19" s="1025">
        <v>18898000</v>
      </c>
      <c r="AD19" s="1025">
        <v>17937000</v>
      </c>
      <c r="AE19" s="1025">
        <v>10130000</v>
      </c>
      <c r="AF19" s="1025">
        <v>9729000</v>
      </c>
      <c r="AG19" s="1025">
        <v>0</v>
      </c>
      <c r="AH19" s="1025">
        <v>2302000</v>
      </c>
      <c r="AI19" s="1025">
        <v>0</v>
      </c>
      <c r="AJ19" s="1025">
        <v>15637000</v>
      </c>
      <c r="AK19" s="1025">
        <v>5065000</v>
      </c>
      <c r="AL19" s="1025">
        <v>0</v>
      </c>
      <c r="AM19" s="1025">
        <v>5563000</v>
      </c>
      <c r="AN19" s="1025">
        <v>13976000</v>
      </c>
      <c r="AO19" s="1025">
        <v>5065000</v>
      </c>
      <c r="AP19" s="1025">
        <v>5563000</v>
      </c>
      <c r="AQ19" s="1025">
        <v>0</v>
      </c>
      <c r="AR19" s="1025">
        <v>0</v>
      </c>
      <c r="AS19" s="1025">
        <v>0</v>
      </c>
      <c r="AT19" s="1026">
        <v>202137000</v>
      </c>
      <c r="AU19" s="1025">
        <v>8747000</v>
      </c>
      <c r="AV19" s="1025">
        <v>10892000</v>
      </c>
      <c r="AW19" s="1025">
        <v>5065000</v>
      </c>
      <c r="AX19" s="1025">
        <v>7368000</v>
      </c>
      <c r="AY19" s="1025">
        <v>6207000</v>
      </c>
      <c r="AZ19" s="1025">
        <v>0</v>
      </c>
      <c r="BA19" s="1025">
        <v>0</v>
      </c>
      <c r="BB19" s="1026">
        <v>38279000</v>
      </c>
      <c r="BC19" s="1026">
        <v>515841000</v>
      </c>
      <c r="BD19" s="1027">
        <v>11126000</v>
      </c>
      <c r="BE19" s="1027">
        <v>504715000</v>
      </c>
      <c r="BG19" s="909"/>
      <c r="BH19" s="1028"/>
    </row>
    <row r="20" spans="1:60" ht="13.95" customHeight="1">
      <c r="A20" s="1017" t="s">
        <v>77</v>
      </c>
      <c r="B20" s="1017" t="s">
        <v>728</v>
      </c>
      <c r="C20" s="1025">
        <v>10309000</v>
      </c>
      <c r="D20" s="1025">
        <v>662000</v>
      </c>
      <c r="E20" s="1025">
        <v>17532000</v>
      </c>
      <c r="F20" s="1025">
        <v>14993000</v>
      </c>
      <c r="G20" s="1025">
        <v>5416000</v>
      </c>
      <c r="H20" s="1025">
        <v>5843000</v>
      </c>
      <c r="I20" s="1025">
        <v>13528000</v>
      </c>
      <c r="J20" s="1025">
        <v>9839000</v>
      </c>
      <c r="K20" s="1025">
        <v>17313000</v>
      </c>
      <c r="L20" s="1025">
        <v>2708000</v>
      </c>
      <c r="M20" s="1025">
        <v>2651000</v>
      </c>
      <c r="N20" s="1025">
        <v>39686000</v>
      </c>
      <c r="O20" s="1025">
        <v>0</v>
      </c>
      <c r="P20" s="1025">
        <v>8772000</v>
      </c>
      <c r="Q20" s="1026">
        <v>149252000</v>
      </c>
      <c r="R20" s="1025">
        <v>30697000</v>
      </c>
      <c r="S20" s="1026">
        <v>30697000</v>
      </c>
      <c r="T20" s="1025">
        <v>9351000</v>
      </c>
      <c r="U20" s="1025">
        <v>27665000</v>
      </c>
      <c r="V20" s="1025">
        <v>11769000</v>
      </c>
      <c r="W20" s="1025">
        <v>34519000</v>
      </c>
      <c r="X20" s="1025">
        <v>9550000</v>
      </c>
      <c r="Y20" s="1025">
        <v>7085000</v>
      </c>
      <c r="Z20" s="1025">
        <v>22867000</v>
      </c>
      <c r="AA20" s="1025">
        <v>10530000</v>
      </c>
      <c r="AB20" s="1025">
        <v>6183000</v>
      </c>
      <c r="AC20" s="1025">
        <v>25661000</v>
      </c>
      <c r="AD20" s="1025">
        <v>26023000</v>
      </c>
      <c r="AE20" s="1025">
        <v>10347000</v>
      </c>
      <c r="AF20" s="1025">
        <v>8385000</v>
      </c>
      <c r="AG20" s="1025">
        <v>99351000</v>
      </c>
      <c r="AH20" s="1025">
        <v>3046000</v>
      </c>
      <c r="AI20" s="1025">
        <v>0</v>
      </c>
      <c r="AJ20" s="1025">
        <v>8973000</v>
      </c>
      <c r="AK20" s="1025">
        <v>6986000</v>
      </c>
      <c r="AL20" s="1025">
        <v>65236000</v>
      </c>
      <c r="AM20" s="1025">
        <v>9209000</v>
      </c>
      <c r="AN20" s="1025">
        <v>11655000</v>
      </c>
      <c r="AO20" s="1025">
        <v>11900000</v>
      </c>
      <c r="AP20" s="1025">
        <v>2756000</v>
      </c>
      <c r="AQ20" s="1025">
        <v>1959000</v>
      </c>
      <c r="AR20" s="1025">
        <v>2711000</v>
      </c>
      <c r="AS20" s="1025">
        <v>0</v>
      </c>
      <c r="AT20" s="1026">
        <v>433717000</v>
      </c>
      <c r="AU20" s="1025">
        <v>6217000</v>
      </c>
      <c r="AV20" s="1025">
        <v>8646000</v>
      </c>
      <c r="AW20" s="1025">
        <v>3521000</v>
      </c>
      <c r="AX20" s="1025">
        <v>3254000</v>
      </c>
      <c r="AY20" s="1025">
        <v>4370000</v>
      </c>
      <c r="AZ20" s="1025">
        <v>0</v>
      </c>
      <c r="BA20" s="1025">
        <v>0</v>
      </c>
      <c r="BB20" s="1026">
        <v>26008000</v>
      </c>
      <c r="BC20" s="1026">
        <v>639674000</v>
      </c>
      <c r="BD20" s="1027">
        <v>181222000</v>
      </c>
      <c r="BE20" s="1027">
        <v>458452000</v>
      </c>
      <c r="BG20" s="909"/>
      <c r="BH20" s="1028"/>
    </row>
    <row r="21" spans="1:60" ht="13.95" customHeight="1">
      <c r="A21" s="1017" t="s">
        <v>78</v>
      </c>
      <c r="B21" s="1017" t="s">
        <v>18</v>
      </c>
      <c r="C21" s="1025">
        <v>9587000</v>
      </c>
      <c r="D21" s="1025">
        <v>648000</v>
      </c>
      <c r="E21" s="1025">
        <v>16327000</v>
      </c>
      <c r="F21" s="1025">
        <v>14008000</v>
      </c>
      <c r="G21" s="1025">
        <v>5092000</v>
      </c>
      <c r="H21" s="1025">
        <v>5493000</v>
      </c>
      <c r="I21" s="1025">
        <v>12785000</v>
      </c>
      <c r="J21" s="1025">
        <v>9352000</v>
      </c>
      <c r="K21" s="1025">
        <v>16329000</v>
      </c>
      <c r="L21" s="1025">
        <v>2549000</v>
      </c>
      <c r="M21" s="1025">
        <v>2447000</v>
      </c>
      <c r="N21" s="1025">
        <v>37284000</v>
      </c>
      <c r="O21" s="1025">
        <v>0</v>
      </c>
      <c r="P21" s="1025">
        <v>8285000</v>
      </c>
      <c r="Q21" s="1026">
        <v>140186000</v>
      </c>
      <c r="R21" s="1025">
        <v>29034000</v>
      </c>
      <c r="S21" s="1026">
        <v>29034000</v>
      </c>
      <c r="T21" s="1025">
        <v>8739000</v>
      </c>
      <c r="U21" s="1025">
        <v>25973000</v>
      </c>
      <c r="V21" s="1025">
        <v>11165000</v>
      </c>
      <c r="W21" s="1025">
        <v>33679000</v>
      </c>
      <c r="X21" s="1025">
        <v>9085000</v>
      </c>
      <c r="Y21" s="1025">
        <v>7183000</v>
      </c>
      <c r="Z21" s="1025">
        <v>21630000</v>
      </c>
      <c r="AA21" s="1025">
        <v>9782000</v>
      </c>
      <c r="AB21" s="1025">
        <v>5872000</v>
      </c>
      <c r="AC21" s="1025">
        <v>24622000</v>
      </c>
      <c r="AD21" s="1025">
        <v>25009000</v>
      </c>
      <c r="AE21" s="1025">
        <v>9744000</v>
      </c>
      <c r="AF21" s="1025">
        <v>7870000</v>
      </c>
      <c r="AG21" s="1025">
        <v>91675000</v>
      </c>
      <c r="AH21" s="1025">
        <v>2811000</v>
      </c>
      <c r="AI21" s="1025">
        <v>0</v>
      </c>
      <c r="AJ21" s="1025">
        <v>8482000</v>
      </c>
      <c r="AK21" s="1025">
        <v>7816000</v>
      </c>
      <c r="AL21" s="1025">
        <v>60272000</v>
      </c>
      <c r="AM21" s="1025">
        <v>8569000</v>
      </c>
      <c r="AN21" s="1025">
        <v>10976000</v>
      </c>
      <c r="AO21" s="1025">
        <v>10980000</v>
      </c>
      <c r="AP21" s="1025">
        <v>2923000</v>
      </c>
      <c r="AQ21" s="1025">
        <v>1808000</v>
      </c>
      <c r="AR21" s="1025">
        <v>2502000</v>
      </c>
      <c r="AS21" s="1025">
        <v>0</v>
      </c>
      <c r="AT21" s="1026">
        <v>409167000</v>
      </c>
      <c r="AU21" s="1025">
        <v>5773000</v>
      </c>
      <c r="AV21" s="1025">
        <v>8158000</v>
      </c>
      <c r="AW21" s="1025">
        <v>3348000</v>
      </c>
      <c r="AX21" s="1025">
        <v>3047000</v>
      </c>
      <c r="AY21" s="1025">
        <v>4033000</v>
      </c>
      <c r="AZ21" s="1025">
        <v>0</v>
      </c>
      <c r="BA21" s="1025">
        <v>0</v>
      </c>
      <c r="BB21" s="1026">
        <v>24359000</v>
      </c>
      <c r="BC21" s="1026">
        <v>602746000</v>
      </c>
      <c r="BD21" s="1027">
        <v>167749000</v>
      </c>
      <c r="BE21" s="1027">
        <v>434997000</v>
      </c>
      <c r="BG21" s="909"/>
      <c r="BH21" s="1028"/>
    </row>
    <row r="22" spans="1:60" ht="13.95" customHeight="1">
      <c r="A22" s="1017" t="s">
        <v>79</v>
      </c>
      <c r="B22" s="1017" t="s">
        <v>80</v>
      </c>
      <c r="C22" s="1025">
        <v>164000</v>
      </c>
      <c r="D22" s="1025">
        <v>0</v>
      </c>
      <c r="E22" s="1025">
        <v>1527000</v>
      </c>
      <c r="F22" s="1025">
        <v>4896000</v>
      </c>
      <c r="G22" s="1025">
        <v>2823000</v>
      </c>
      <c r="H22" s="1025">
        <v>2550000</v>
      </c>
      <c r="I22" s="1025">
        <v>4923000</v>
      </c>
      <c r="J22" s="1025">
        <v>5101000</v>
      </c>
      <c r="K22" s="1025">
        <v>7228000</v>
      </c>
      <c r="L22" s="1025">
        <v>0</v>
      </c>
      <c r="M22" s="1025">
        <v>7952000</v>
      </c>
      <c r="N22" s="1025">
        <v>13024000</v>
      </c>
      <c r="O22" s="1025">
        <v>0</v>
      </c>
      <c r="P22" s="1025">
        <v>1855000</v>
      </c>
      <c r="Q22" s="1026">
        <v>52043000</v>
      </c>
      <c r="R22" s="1025">
        <v>13656000</v>
      </c>
      <c r="S22" s="1026">
        <v>13656000</v>
      </c>
      <c r="T22" s="1025">
        <v>0</v>
      </c>
      <c r="U22" s="1025">
        <v>4069000</v>
      </c>
      <c r="V22" s="1025">
        <v>6264000</v>
      </c>
      <c r="W22" s="1025">
        <v>1241000</v>
      </c>
      <c r="X22" s="1025">
        <v>273000</v>
      </c>
      <c r="Y22" s="1025">
        <v>2100000</v>
      </c>
      <c r="Z22" s="1025">
        <v>5960000</v>
      </c>
      <c r="AA22" s="1025">
        <v>3523000</v>
      </c>
      <c r="AB22" s="1025">
        <v>1296000</v>
      </c>
      <c r="AC22" s="1025">
        <v>3832000</v>
      </c>
      <c r="AD22" s="1025">
        <v>3355000</v>
      </c>
      <c r="AE22" s="1025">
        <v>1814000</v>
      </c>
      <c r="AF22" s="1025">
        <v>2509000</v>
      </c>
      <c r="AG22" s="1025">
        <v>0</v>
      </c>
      <c r="AH22" s="1025">
        <v>82000</v>
      </c>
      <c r="AI22" s="1025">
        <v>0</v>
      </c>
      <c r="AJ22" s="1025">
        <v>2373000</v>
      </c>
      <c r="AK22" s="1025">
        <v>1609000</v>
      </c>
      <c r="AL22" s="1025">
        <v>0</v>
      </c>
      <c r="AM22" s="1025">
        <v>1746000</v>
      </c>
      <c r="AN22" s="1025">
        <v>2046000</v>
      </c>
      <c r="AO22" s="1025">
        <v>1282000</v>
      </c>
      <c r="AP22" s="1025">
        <v>2087000</v>
      </c>
      <c r="AQ22" s="1025">
        <v>0</v>
      </c>
      <c r="AR22" s="1025">
        <v>0</v>
      </c>
      <c r="AS22" s="1025">
        <v>0</v>
      </c>
      <c r="AT22" s="1026">
        <v>47461000</v>
      </c>
      <c r="AU22" s="1025">
        <v>2468000</v>
      </c>
      <c r="AV22" s="1025">
        <v>3561000</v>
      </c>
      <c r="AW22" s="1025">
        <v>886000</v>
      </c>
      <c r="AX22" s="1025">
        <v>1623000</v>
      </c>
      <c r="AY22" s="1025">
        <v>1923000</v>
      </c>
      <c r="AZ22" s="1025">
        <v>0</v>
      </c>
      <c r="BA22" s="1025">
        <v>0</v>
      </c>
      <c r="BB22" s="1026">
        <v>10461000</v>
      </c>
      <c r="BC22" s="1026">
        <v>123621000</v>
      </c>
      <c r="BD22" s="1027">
        <v>3833000</v>
      </c>
      <c r="BE22" s="1027">
        <v>119788000</v>
      </c>
      <c r="BG22" s="909"/>
      <c r="BH22" s="1028"/>
    </row>
    <row r="23" spans="1:60" ht="13.95" customHeight="1">
      <c r="A23" s="1029"/>
      <c r="B23" s="1030" t="s">
        <v>729</v>
      </c>
      <c r="C23" s="1031">
        <v>29148000</v>
      </c>
      <c r="D23" s="1031">
        <v>3879000</v>
      </c>
      <c r="E23" s="1031">
        <v>56911000</v>
      </c>
      <c r="F23" s="1031">
        <v>75144000</v>
      </c>
      <c r="G23" s="1031">
        <v>36042000</v>
      </c>
      <c r="H23" s="1031">
        <v>30126000</v>
      </c>
      <c r="I23" s="1031">
        <v>72905000</v>
      </c>
      <c r="J23" s="1031">
        <v>65284000</v>
      </c>
      <c r="K23" s="1031">
        <v>104609000</v>
      </c>
      <c r="L23" s="1031">
        <v>6907000</v>
      </c>
      <c r="M23" s="1031">
        <v>23316000</v>
      </c>
      <c r="N23" s="1031">
        <v>211242000</v>
      </c>
      <c r="O23" s="1031">
        <v>0</v>
      </c>
      <c r="P23" s="1031">
        <v>37025000</v>
      </c>
      <c r="Q23" s="1031">
        <v>752538000</v>
      </c>
      <c r="R23" s="1031">
        <v>162030000</v>
      </c>
      <c r="S23" s="1031">
        <v>162030000</v>
      </c>
      <c r="T23" s="1031">
        <v>20185000</v>
      </c>
      <c r="U23" s="1031">
        <v>79459000</v>
      </c>
      <c r="V23" s="1031">
        <v>63727000</v>
      </c>
      <c r="W23" s="1031">
        <v>120371000</v>
      </c>
      <c r="X23" s="1031">
        <v>25220000</v>
      </c>
      <c r="Y23" s="1031">
        <v>41747000</v>
      </c>
      <c r="Z23" s="1031">
        <v>131570000</v>
      </c>
      <c r="AA23" s="1031">
        <v>38103000</v>
      </c>
      <c r="AB23" s="1031">
        <v>30672000</v>
      </c>
      <c r="AC23" s="1031">
        <v>102668000</v>
      </c>
      <c r="AD23" s="1031">
        <v>94492000</v>
      </c>
      <c r="AE23" s="1031">
        <v>38598000</v>
      </c>
      <c r="AF23" s="1031">
        <v>36046000</v>
      </c>
      <c r="AG23" s="1031">
        <v>191026000</v>
      </c>
      <c r="AH23" s="1031">
        <v>11920000</v>
      </c>
      <c r="AI23" s="1031">
        <v>0</v>
      </c>
      <c r="AJ23" s="1031">
        <v>43493000</v>
      </c>
      <c r="AK23" s="1031">
        <v>25132000</v>
      </c>
      <c r="AL23" s="1031">
        <v>125508000</v>
      </c>
      <c r="AM23" s="1031">
        <v>29503000</v>
      </c>
      <c r="AN23" s="1031">
        <v>45559000</v>
      </c>
      <c r="AO23" s="1031">
        <v>33975000</v>
      </c>
      <c r="AP23" s="1031">
        <v>17745000</v>
      </c>
      <c r="AQ23" s="1031">
        <v>3767000</v>
      </c>
      <c r="AR23" s="1031">
        <v>5213000</v>
      </c>
      <c r="AS23" s="1031">
        <v>0</v>
      </c>
      <c r="AT23" s="1031">
        <v>1355699000</v>
      </c>
      <c r="AU23" s="1031">
        <v>32279000</v>
      </c>
      <c r="AV23" s="1031">
        <v>45475000</v>
      </c>
      <c r="AW23" s="1031">
        <v>22916000</v>
      </c>
      <c r="AX23" s="1031">
        <v>19861000</v>
      </c>
      <c r="AY23" s="1031">
        <v>22777000</v>
      </c>
      <c r="AZ23" s="1031">
        <v>0</v>
      </c>
      <c r="BA23" s="1031">
        <v>0</v>
      </c>
      <c r="BB23" s="1031">
        <v>143308000</v>
      </c>
      <c r="BC23" s="1031">
        <v>2413575000</v>
      </c>
      <c r="BD23" s="1032">
        <v>372762000</v>
      </c>
      <c r="BE23" s="1032">
        <v>2040813000</v>
      </c>
      <c r="BG23" s="909"/>
      <c r="BH23" s="1028"/>
    </row>
    <row r="24" spans="1:60" ht="13.95" customHeight="1">
      <c r="A24" s="1017" t="s">
        <v>82</v>
      </c>
      <c r="B24" s="1017" t="s">
        <v>730</v>
      </c>
      <c r="C24" s="1025">
        <v>11450000</v>
      </c>
      <c r="D24" s="1025">
        <v>738000</v>
      </c>
      <c r="E24" s="1025">
        <v>19475000</v>
      </c>
      <c r="F24" s="1025">
        <v>16658000</v>
      </c>
      <c r="G24" s="1025">
        <v>6020000</v>
      </c>
      <c r="H24" s="1025">
        <v>6495000</v>
      </c>
      <c r="I24" s="1025">
        <v>15044000</v>
      </c>
      <c r="J24" s="1025">
        <v>10946000</v>
      </c>
      <c r="K24" s="1025">
        <v>19250000</v>
      </c>
      <c r="L24" s="1025">
        <v>3010000</v>
      </c>
      <c r="M24" s="1025">
        <v>2943000</v>
      </c>
      <c r="N24" s="1025">
        <v>44113000</v>
      </c>
      <c r="O24" s="1025">
        <v>0</v>
      </c>
      <c r="P24" s="1025">
        <v>9755000</v>
      </c>
      <c r="Q24" s="1026">
        <v>165897000</v>
      </c>
      <c r="R24" s="1025">
        <v>34139000</v>
      </c>
      <c r="S24" s="1026">
        <v>34139000</v>
      </c>
      <c r="T24" s="1025">
        <v>10389000</v>
      </c>
      <c r="U24" s="1025">
        <v>30750000</v>
      </c>
      <c r="V24" s="1025">
        <v>13091000</v>
      </c>
      <c r="W24" s="1025">
        <v>38485000</v>
      </c>
      <c r="X24" s="1025">
        <v>10626000</v>
      </c>
      <c r="Y24" s="1025">
        <v>7924000</v>
      </c>
      <c r="Z24" s="1025">
        <v>25431000</v>
      </c>
      <c r="AA24" s="1025">
        <v>11694000</v>
      </c>
      <c r="AB24" s="1025">
        <v>6879000</v>
      </c>
      <c r="AC24" s="1025">
        <v>28571000</v>
      </c>
      <c r="AD24" s="1025">
        <v>28978000</v>
      </c>
      <c r="AE24" s="1025">
        <v>11503000</v>
      </c>
      <c r="AF24" s="1025">
        <v>9320000</v>
      </c>
      <c r="AG24" s="1025">
        <v>110280000</v>
      </c>
      <c r="AH24" s="1025">
        <v>3381000</v>
      </c>
      <c r="AI24" s="1025">
        <v>0</v>
      </c>
      <c r="AJ24" s="1025">
        <v>9979000</v>
      </c>
      <c r="AK24" s="1025">
        <v>7881000</v>
      </c>
      <c r="AL24" s="1025">
        <v>72419000</v>
      </c>
      <c r="AM24" s="1025">
        <v>10229000</v>
      </c>
      <c r="AN24" s="1025">
        <v>12958000</v>
      </c>
      <c r="AO24" s="1025">
        <v>13209000</v>
      </c>
      <c r="AP24" s="1025">
        <v>3095000</v>
      </c>
      <c r="AQ24" s="1025">
        <v>2175000</v>
      </c>
      <c r="AR24" s="1025">
        <v>3009000</v>
      </c>
      <c r="AS24" s="1025">
        <v>0</v>
      </c>
      <c r="AT24" s="1026">
        <v>482256000</v>
      </c>
      <c r="AU24" s="1025">
        <v>6904000</v>
      </c>
      <c r="AV24" s="1025">
        <v>9614000</v>
      </c>
      <c r="AW24" s="1025">
        <v>3917000</v>
      </c>
      <c r="AX24" s="1025">
        <v>3616000</v>
      </c>
      <c r="AY24" s="1025">
        <v>4851000</v>
      </c>
      <c r="AZ24" s="1025">
        <v>0</v>
      </c>
      <c r="BA24" s="1025">
        <v>0</v>
      </c>
      <c r="BB24" s="1026">
        <v>28902000</v>
      </c>
      <c r="BC24" s="1026">
        <v>711194000</v>
      </c>
      <c r="BD24" s="1027">
        <v>201207000</v>
      </c>
      <c r="BE24" s="1027">
        <v>509987000</v>
      </c>
      <c r="BG24" s="909"/>
      <c r="BH24" s="1028"/>
    </row>
    <row r="25" spans="1:60" ht="13.95" customHeight="1">
      <c r="A25" s="1017" t="s">
        <v>83</v>
      </c>
      <c r="B25" s="1017" t="s">
        <v>372</v>
      </c>
      <c r="C25" s="1025">
        <v>619000</v>
      </c>
      <c r="D25" s="1025">
        <v>40000</v>
      </c>
      <c r="E25" s="1025">
        <v>1053000</v>
      </c>
      <c r="F25" s="1025">
        <v>900000</v>
      </c>
      <c r="G25" s="1025">
        <v>325000</v>
      </c>
      <c r="H25" s="1025">
        <v>351000</v>
      </c>
      <c r="I25" s="1025">
        <v>813000</v>
      </c>
      <c r="J25" s="1025">
        <v>592000</v>
      </c>
      <c r="K25" s="1025">
        <v>1041000</v>
      </c>
      <c r="L25" s="1025">
        <v>163000</v>
      </c>
      <c r="M25" s="1025">
        <v>159000</v>
      </c>
      <c r="N25" s="1025">
        <v>2384000</v>
      </c>
      <c r="O25" s="1025">
        <v>0</v>
      </c>
      <c r="P25" s="1025">
        <v>527000</v>
      </c>
      <c r="Q25" s="1026">
        <v>8967000</v>
      </c>
      <c r="R25" s="1025">
        <v>1845000</v>
      </c>
      <c r="S25" s="1026">
        <v>1845000</v>
      </c>
      <c r="T25" s="1025">
        <v>562000</v>
      </c>
      <c r="U25" s="1025">
        <v>1662000</v>
      </c>
      <c r="V25" s="1025">
        <v>708000</v>
      </c>
      <c r="W25" s="1025">
        <v>2080000</v>
      </c>
      <c r="X25" s="1025">
        <v>574000</v>
      </c>
      <c r="Y25" s="1025">
        <v>428000</v>
      </c>
      <c r="Z25" s="1025">
        <v>1375000</v>
      </c>
      <c r="AA25" s="1025">
        <v>632000</v>
      </c>
      <c r="AB25" s="1025">
        <v>372000</v>
      </c>
      <c r="AC25" s="1025">
        <v>1544000</v>
      </c>
      <c r="AD25" s="1025">
        <v>1566000</v>
      </c>
      <c r="AE25" s="1025">
        <v>622000</v>
      </c>
      <c r="AF25" s="1025">
        <v>504000</v>
      </c>
      <c r="AG25" s="1025">
        <v>5961000</v>
      </c>
      <c r="AH25" s="1025">
        <v>183000</v>
      </c>
      <c r="AI25" s="1025">
        <v>0</v>
      </c>
      <c r="AJ25" s="1025">
        <v>539000</v>
      </c>
      <c r="AK25" s="1025">
        <v>426000</v>
      </c>
      <c r="AL25" s="1025">
        <v>3915000</v>
      </c>
      <c r="AM25" s="1025">
        <v>553000</v>
      </c>
      <c r="AN25" s="1025">
        <v>700000</v>
      </c>
      <c r="AO25" s="1025">
        <v>714000</v>
      </c>
      <c r="AP25" s="1025">
        <v>167000</v>
      </c>
      <c r="AQ25" s="1025">
        <v>118000</v>
      </c>
      <c r="AR25" s="1025">
        <v>163000</v>
      </c>
      <c r="AS25" s="1025">
        <v>0</v>
      </c>
      <c r="AT25" s="1026">
        <v>26068000</v>
      </c>
      <c r="AU25" s="1025">
        <v>373000</v>
      </c>
      <c r="AV25" s="1025">
        <v>520000</v>
      </c>
      <c r="AW25" s="1025">
        <v>212000</v>
      </c>
      <c r="AX25" s="1025">
        <v>195000</v>
      </c>
      <c r="AY25" s="1025">
        <v>262000</v>
      </c>
      <c r="AZ25" s="1025">
        <v>0</v>
      </c>
      <c r="BA25" s="1025">
        <v>0</v>
      </c>
      <c r="BB25" s="1026">
        <v>1562000</v>
      </c>
      <c r="BC25" s="1026">
        <v>38442000</v>
      </c>
      <c r="BD25" s="1027">
        <v>10877000</v>
      </c>
      <c r="BE25" s="1027">
        <v>27565000</v>
      </c>
      <c r="BG25" s="909"/>
      <c r="BH25" s="1028"/>
    </row>
    <row r="26" spans="1:60" ht="13.95" customHeight="1">
      <c r="A26" s="1017" t="s">
        <v>84</v>
      </c>
      <c r="B26" s="1017" t="s">
        <v>373</v>
      </c>
      <c r="C26" s="1025">
        <v>1857000</v>
      </c>
      <c r="D26" s="1025">
        <v>120000</v>
      </c>
      <c r="E26" s="1025">
        <v>3158000</v>
      </c>
      <c r="F26" s="1025">
        <v>2701000</v>
      </c>
      <c r="G26" s="1025">
        <v>976000</v>
      </c>
      <c r="H26" s="1025">
        <v>1053000</v>
      </c>
      <c r="I26" s="1025">
        <v>2440000</v>
      </c>
      <c r="J26" s="1025">
        <v>1775000</v>
      </c>
      <c r="K26" s="1025">
        <v>3122000</v>
      </c>
      <c r="L26" s="1025">
        <v>488000</v>
      </c>
      <c r="M26" s="1025">
        <v>477000</v>
      </c>
      <c r="N26" s="1025">
        <v>7153000</v>
      </c>
      <c r="O26" s="1025">
        <v>0</v>
      </c>
      <c r="P26" s="1025">
        <v>1582000</v>
      </c>
      <c r="Q26" s="1026">
        <v>26902000</v>
      </c>
      <c r="R26" s="1025">
        <v>5536000</v>
      </c>
      <c r="S26" s="1026">
        <v>5536000</v>
      </c>
      <c r="T26" s="1025">
        <v>1685000</v>
      </c>
      <c r="U26" s="1025">
        <v>4986000</v>
      </c>
      <c r="V26" s="1025">
        <v>2123000</v>
      </c>
      <c r="W26" s="1025">
        <v>6241000</v>
      </c>
      <c r="X26" s="1025">
        <v>1723000</v>
      </c>
      <c r="Y26" s="1025">
        <v>1285000</v>
      </c>
      <c r="Z26" s="1025">
        <v>4124000</v>
      </c>
      <c r="AA26" s="1025">
        <v>1896000</v>
      </c>
      <c r="AB26" s="1025">
        <v>1115000</v>
      </c>
      <c r="AC26" s="1025">
        <v>4633000</v>
      </c>
      <c r="AD26" s="1025">
        <v>4699000</v>
      </c>
      <c r="AE26" s="1025">
        <v>1865000</v>
      </c>
      <c r="AF26" s="1025">
        <v>1511000</v>
      </c>
      <c r="AG26" s="1025">
        <v>17883000</v>
      </c>
      <c r="AH26" s="1025">
        <v>548000</v>
      </c>
      <c r="AI26" s="1025">
        <v>0</v>
      </c>
      <c r="AJ26" s="1025">
        <v>1618000</v>
      </c>
      <c r="AK26" s="1025">
        <v>1278000</v>
      </c>
      <c r="AL26" s="1025">
        <v>11744000</v>
      </c>
      <c r="AM26" s="1025">
        <v>1659000</v>
      </c>
      <c r="AN26" s="1025">
        <v>2101000</v>
      </c>
      <c r="AO26" s="1025">
        <v>2142000</v>
      </c>
      <c r="AP26" s="1025">
        <v>502000</v>
      </c>
      <c r="AQ26" s="1025">
        <v>353000</v>
      </c>
      <c r="AR26" s="1025">
        <v>488000</v>
      </c>
      <c r="AS26" s="1025">
        <v>0</v>
      </c>
      <c r="AT26" s="1026">
        <v>78202000</v>
      </c>
      <c r="AU26" s="1025">
        <v>1120000</v>
      </c>
      <c r="AV26" s="1025">
        <v>1559000</v>
      </c>
      <c r="AW26" s="1025">
        <v>635000</v>
      </c>
      <c r="AX26" s="1025">
        <v>586000</v>
      </c>
      <c r="AY26" s="1025">
        <v>787000</v>
      </c>
      <c r="AZ26" s="1025">
        <v>0</v>
      </c>
      <c r="BA26" s="1025">
        <v>0</v>
      </c>
      <c r="BB26" s="1026">
        <v>4687000</v>
      </c>
      <c r="BC26" s="1026">
        <v>115327000</v>
      </c>
      <c r="BD26" s="1027">
        <v>32629000</v>
      </c>
      <c r="BE26" s="1027">
        <v>82698000</v>
      </c>
      <c r="BG26" s="909"/>
      <c r="BH26" s="1028"/>
    </row>
    <row r="27" spans="1:60" ht="13.95" customHeight="1">
      <c r="A27" s="1017" t="s">
        <v>85</v>
      </c>
      <c r="B27" s="1017" t="s">
        <v>499</v>
      </c>
      <c r="C27" s="1025">
        <v>6189000</v>
      </c>
      <c r="D27" s="1025">
        <v>399000</v>
      </c>
      <c r="E27" s="1025">
        <v>10527000</v>
      </c>
      <c r="F27" s="1025">
        <v>9004000</v>
      </c>
      <c r="G27" s="1025">
        <v>3254000</v>
      </c>
      <c r="H27" s="1025">
        <v>3511000</v>
      </c>
      <c r="I27" s="1025">
        <v>8132000</v>
      </c>
      <c r="J27" s="1025">
        <v>5917000</v>
      </c>
      <c r="K27" s="1025">
        <v>10405000</v>
      </c>
      <c r="L27" s="1025">
        <v>1627000</v>
      </c>
      <c r="M27" s="1025">
        <v>1591000</v>
      </c>
      <c r="N27" s="1025">
        <v>23845000</v>
      </c>
      <c r="O27" s="1025">
        <v>0</v>
      </c>
      <c r="P27" s="1025">
        <v>5273000</v>
      </c>
      <c r="Q27" s="1026">
        <v>89674000</v>
      </c>
      <c r="R27" s="1025">
        <v>18454000</v>
      </c>
      <c r="S27" s="1026">
        <v>18454000</v>
      </c>
      <c r="T27" s="1025">
        <v>5616000</v>
      </c>
      <c r="U27" s="1025">
        <v>16622000</v>
      </c>
      <c r="V27" s="1025">
        <v>7076000</v>
      </c>
      <c r="W27" s="1025">
        <v>20803000</v>
      </c>
      <c r="X27" s="1025">
        <v>5744000</v>
      </c>
      <c r="Y27" s="1025">
        <v>4283000</v>
      </c>
      <c r="Z27" s="1025">
        <v>13747000</v>
      </c>
      <c r="AA27" s="1025">
        <v>6321000</v>
      </c>
      <c r="AB27" s="1025">
        <v>3718000</v>
      </c>
      <c r="AC27" s="1025">
        <v>15444000</v>
      </c>
      <c r="AD27" s="1025">
        <v>15664000</v>
      </c>
      <c r="AE27" s="1025">
        <v>6218000</v>
      </c>
      <c r="AF27" s="1025">
        <v>5038000</v>
      </c>
      <c r="AG27" s="1025">
        <v>59611000</v>
      </c>
      <c r="AH27" s="1025">
        <v>1828000</v>
      </c>
      <c r="AI27" s="1025">
        <v>0</v>
      </c>
      <c r="AJ27" s="1025">
        <v>5394000</v>
      </c>
      <c r="AK27" s="1025">
        <v>4260000</v>
      </c>
      <c r="AL27" s="1025">
        <v>39145000</v>
      </c>
      <c r="AM27" s="1025">
        <v>5529000</v>
      </c>
      <c r="AN27" s="1025">
        <v>7004000</v>
      </c>
      <c r="AO27" s="1025">
        <v>7140000</v>
      </c>
      <c r="AP27" s="1025">
        <v>1673000</v>
      </c>
      <c r="AQ27" s="1025">
        <v>1176000</v>
      </c>
      <c r="AR27" s="1025">
        <v>1627000</v>
      </c>
      <c r="AS27" s="1025">
        <v>0</v>
      </c>
      <c r="AT27" s="1026">
        <v>260681000</v>
      </c>
      <c r="AU27" s="1025">
        <v>3732000</v>
      </c>
      <c r="AV27" s="1025">
        <v>5197000</v>
      </c>
      <c r="AW27" s="1025">
        <v>2117000</v>
      </c>
      <c r="AX27" s="1025">
        <v>1954000</v>
      </c>
      <c r="AY27" s="1025">
        <v>2622000</v>
      </c>
      <c r="AZ27" s="1025">
        <v>0</v>
      </c>
      <c r="BA27" s="1025">
        <v>0</v>
      </c>
      <c r="BB27" s="1026">
        <v>15622000</v>
      </c>
      <c r="BC27" s="1026">
        <v>384431000</v>
      </c>
      <c r="BD27" s="1027">
        <v>108761000</v>
      </c>
      <c r="BE27" s="1027">
        <v>275670000</v>
      </c>
      <c r="BG27" s="909"/>
      <c r="BH27" s="1028"/>
    </row>
    <row r="28" spans="1:60" ht="13.95" customHeight="1">
      <c r="A28" s="1017" t="s">
        <v>86</v>
      </c>
      <c r="B28" s="1017" t="s">
        <v>731</v>
      </c>
      <c r="C28" s="1025">
        <v>619000</v>
      </c>
      <c r="D28" s="1025">
        <v>40000</v>
      </c>
      <c r="E28" s="1025">
        <v>1053000</v>
      </c>
      <c r="F28" s="1025">
        <v>900000</v>
      </c>
      <c r="G28" s="1025">
        <v>325000</v>
      </c>
      <c r="H28" s="1025">
        <v>351000</v>
      </c>
      <c r="I28" s="1025">
        <v>813000</v>
      </c>
      <c r="J28" s="1025">
        <v>592000</v>
      </c>
      <c r="K28" s="1025">
        <v>1041000</v>
      </c>
      <c r="L28" s="1025">
        <v>163000</v>
      </c>
      <c r="M28" s="1025">
        <v>159000</v>
      </c>
      <c r="N28" s="1025">
        <v>2384000</v>
      </c>
      <c r="O28" s="1025">
        <v>0</v>
      </c>
      <c r="P28" s="1025">
        <v>527000</v>
      </c>
      <c r="Q28" s="1026">
        <v>8967000</v>
      </c>
      <c r="R28" s="1025">
        <v>1845000</v>
      </c>
      <c r="S28" s="1026">
        <v>1845000</v>
      </c>
      <c r="T28" s="1025">
        <v>562000</v>
      </c>
      <c r="U28" s="1025">
        <v>1662000</v>
      </c>
      <c r="V28" s="1025">
        <v>708000</v>
      </c>
      <c r="W28" s="1025">
        <v>2080000</v>
      </c>
      <c r="X28" s="1025">
        <v>574000</v>
      </c>
      <c r="Y28" s="1025">
        <v>428000</v>
      </c>
      <c r="Z28" s="1025">
        <v>1375000</v>
      </c>
      <c r="AA28" s="1025">
        <v>632000</v>
      </c>
      <c r="AB28" s="1025">
        <v>372000</v>
      </c>
      <c r="AC28" s="1025">
        <v>1544000</v>
      </c>
      <c r="AD28" s="1025">
        <v>1566000</v>
      </c>
      <c r="AE28" s="1025">
        <v>622000</v>
      </c>
      <c r="AF28" s="1025">
        <v>504000</v>
      </c>
      <c r="AG28" s="1025">
        <v>5961000</v>
      </c>
      <c r="AH28" s="1025">
        <v>183000</v>
      </c>
      <c r="AI28" s="1025">
        <v>0</v>
      </c>
      <c r="AJ28" s="1025">
        <v>539000</v>
      </c>
      <c r="AK28" s="1025">
        <v>426000</v>
      </c>
      <c r="AL28" s="1025">
        <v>3915000</v>
      </c>
      <c r="AM28" s="1025">
        <v>553000</v>
      </c>
      <c r="AN28" s="1025">
        <v>700000</v>
      </c>
      <c r="AO28" s="1025">
        <v>714000</v>
      </c>
      <c r="AP28" s="1025">
        <v>167000</v>
      </c>
      <c r="AQ28" s="1025">
        <v>118000</v>
      </c>
      <c r="AR28" s="1025">
        <v>163000</v>
      </c>
      <c r="AS28" s="1025">
        <v>0</v>
      </c>
      <c r="AT28" s="1026">
        <v>26068000</v>
      </c>
      <c r="AU28" s="1025">
        <v>373000</v>
      </c>
      <c r="AV28" s="1025">
        <v>520000</v>
      </c>
      <c r="AW28" s="1025">
        <v>212000</v>
      </c>
      <c r="AX28" s="1025">
        <v>195000</v>
      </c>
      <c r="AY28" s="1025">
        <v>262000</v>
      </c>
      <c r="AZ28" s="1025">
        <v>0</v>
      </c>
      <c r="BA28" s="1025">
        <v>0</v>
      </c>
      <c r="BB28" s="1026">
        <v>1562000</v>
      </c>
      <c r="BC28" s="1026">
        <v>38442000</v>
      </c>
      <c r="BD28" s="1027">
        <v>10877000</v>
      </c>
      <c r="BE28" s="1027">
        <v>27565000</v>
      </c>
      <c r="BG28" s="909"/>
      <c r="BH28" s="1028"/>
    </row>
    <row r="29" spans="1:60" ht="13.95" customHeight="1">
      <c r="A29" s="1029"/>
      <c r="B29" s="1030" t="s">
        <v>732</v>
      </c>
      <c r="C29" s="1031">
        <v>20734000</v>
      </c>
      <c r="D29" s="1031">
        <v>1337000</v>
      </c>
      <c r="E29" s="1031">
        <v>35266000</v>
      </c>
      <c r="F29" s="1031">
        <v>30163000</v>
      </c>
      <c r="G29" s="1031">
        <v>10900000</v>
      </c>
      <c r="H29" s="1031">
        <v>11761000</v>
      </c>
      <c r="I29" s="1031">
        <v>27242000</v>
      </c>
      <c r="J29" s="1031">
        <v>19822000</v>
      </c>
      <c r="K29" s="1031">
        <v>34859000</v>
      </c>
      <c r="L29" s="1031">
        <v>5451000</v>
      </c>
      <c r="M29" s="1031">
        <v>5329000</v>
      </c>
      <c r="N29" s="1031">
        <v>79879000</v>
      </c>
      <c r="O29" s="1031">
        <v>0</v>
      </c>
      <c r="P29" s="1031">
        <v>17664000</v>
      </c>
      <c r="Q29" s="1031">
        <v>300407000</v>
      </c>
      <c r="R29" s="1031">
        <v>61819000</v>
      </c>
      <c r="S29" s="1031">
        <v>61819000</v>
      </c>
      <c r="T29" s="1031">
        <v>18814000</v>
      </c>
      <c r="U29" s="1031">
        <v>55682000</v>
      </c>
      <c r="V29" s="1031">
        <v>23706000</v>
      </c>
      <c r="W29" s="1031">
        <v>69689000</v>
      </c>
      <c r="X29" s="1031">
        <v>19241000</v>
      </c>
      <c r="Y29" s="1031">
        <v>14348000</v>
      </c>
      <c r="Z29" s="1031">
        <v>46052000</v>
      </c>
      <c r="AA29" s="1031">
        <v>21175000</v>
      </c>
      <c r="AB29" s="1031">
        <v>12456000</v>
      </c>
      <c r="AC29" s="1031">
        <v>51736000</v>
      </c>
      <c r="AD29" s="1031">
        <v>52473000</v>
      </c>
      <c r="AE29" s="1031">
        <v>20830000</v>
      </c>
      <c r="AF29" s="1031">
        <v>16877000</v>
      </c>
      <c r="AG29" s="1031">
        <v>199696000</v>
      </c>
      <c r="AH29" s="1031">
        <v>6123000</v>
      </c>
      <c r="AI29" s="1031">
        <v>0</v>
      </c>
      <c r="AJ29" s="1031">
        <v>18069000</v>
      </c>
      <c r="AK29" s="1031">
        <v>14271000</v>
      </c>
      <c r="AL29" s="1031">
        <v>131138000</v>
      </c>
      <c r="AM29" s="1031">
        <v>18523000</v>
      </c>
      <c r="AN29" s="1031">
        <v>23463000</v>
      </c>
      <c r="AO29" s="1031">
        <v>23919000</v>
      </c>
      <c r="AP29" s="1031">
        <v>5604000</v>
      </c>
      <c r="AQ29" s="1031">
        <v>3940000</v>
      </c>
      <c r="AR29" s="1031">
        <v>5450000</v>
      </c>
      <c r="AS29" s="1031">
        <v>0</v>
      </c>
      <c r="AT29" s="1031">
        <v>873275000</v>
      </c>
      <c r="AU29" s="1031">
        <v>12502000</v>
      </c>
      <c r="AV29" s="1031">
        <v>17410000</v>
      </c>
      <c r="AW29" s="1031">
        <v>7093000</v>
      </c>
      <c r="AX29" s="1031">
        <v>6546000</v>
      </c>
      <c r="AY29" s="1031">
        <v>8784000</v>
      </c>
      <c r="AZ29" s="1031">
        <v>0</v>
      </c>
      <c r="BA29" s="1031">
        <v>0</v>
      </c>
      <c r="BB29" s="1031">
        <v>52335000</v>
      </c>
      <c r="BC29" s="1031">
        <v>1287836000</v>
      </c>
      <c r="BD29" s="1032">
        <v>364351000</v>
      </c>
      <c r="BE29" s="1032">
        <v>923485000</v>
      </c>
      <c r="BG29" s="909"/>
      <c r="BH29" s="1028"/>
    </row>
    <row r="30" spans="1:60" ht="13.95" customHeight="1">
      <c r="A30" s="1017" t="s">
        <v>425</v>
      </c>
      <c r="B30" s="1017" t="s">
        <v>733</v>
      </c>
      <c r="C30" s="1025">
        <v>6709000</v>
      </c>
      <c r="D30" s="1025">
        <v>432000</v>
      </c>
      <c r="E30" s="1025">
        <v>11411000</v>
      </c>
      <c r="F30" s="1025">
        <v>9761000</v>
      </c>
      <c r="G30" s="1025">
        <v>3528000</v>
      </c>
      <c r="H30" s="1025">
        <v>3806000</v>
      </c>
      <c r="I30" s="1025">
        <v>8815000</v>
      </c>
      <c r="J30" s="1025">
        <v>6414000</v>
      </c>
      <c r="K30" s="1025">
        <v>11279000</v>
      </c>
      <c r="L30" s="1025">
        <v>1764000</v>
      </c>
      <c r="M30" s="1025">
        <v>1725000</v>
      </c>
      <c r="N30" s="1025">
        <v>25848000</v>
      </c>
      <c r="O30" s="1025">
        <v>0</v>
      </c>
      <c r="P30" s="1025">
        <v>5716000</v>
      </c>
      <c r="Q30" s="1026">
        <v>97208000</v>
      </c>
      <c r="R30" s="1025">
        <v>20004000</v>
      </c>
      <c r="S30" s="1026">
        <v>20004000</v>
      </c>
      <c r="T30" s="1025">
        <v>6088000</v>
      </c>
      <c r="U30" s="1025">
        <v>18018000</v>
      </c>
      <c r="V30" s="1025">
        <v>7671000</v>
      </c>
      <c r="W30" s="1025">
        <v>22550000</v>
      </c>
      <c r="X30" s="1025">
        <v>6226000</v>
      </c>
      <c r="Y30" s="1025">
        <v>4643000</v>
      </c>
      <c r="Z30" s="1025">
        <v>14901000</v>
      </c>
      <c r="AA30" s="1025">
        <v>6852000</v>
      </c>
      <c r="AB30" s="1025">
        <v>4030000</v>
      </c>
      <c r="AC30" s="1025">
        <v>16741000</v>
      </c>
      <c r="AD30" s="1025">
        <v>16979000</v>
      </c>
      <c r="AE30" s="1025">
        <v>6740000</v>
      </c>
      <c r="AF30" s="1025">
        <v>5461000</v>
      </c>
      <c r="AG30" s="1025">
        <v>64618000</v>
      </c>
      <c r="AH30" s="1025">
        <v>1981000</v>
      </c>
      <c r="AI30" s="1025">
        <v>0</v>
      </c>
      <c r="AJ30" s="1025">
        <v>5847000</v>
      </c>
      <c r="AK30" s="1025">
        <v>4618000</v>
      </c>
      <c r="AL30" s="1025">
        <v>42434000</v>
      </c>
      <c r="AM30" s="1025">
        <v>5994000</v>
      </c>
      <c r="AN30" s="1025">
        <v>7592000</v>
      </c>
      <c r="AO30" s="1025">
        <v>7740000</v>
      </c>
      <c r="AP30" s="1025">
        <v>1813000</v>
      </c>
      <c r="AQ30" s="1025">
        <v>1274000</v>
      </c>
      <c r="AR30" s="1025">
        <v>1763000</v>
      </c>
      <c r="AS30" s="1025">
        <v>0</v>
      </c>
      <c r="AT30" s="1026">
        <v>282574000</v>
      </c>
      <c r="AU30" s="1025">
        <v>4045000</v>
      </c>
      <c r="AV30" s="1025">
        <v>5633000</v>
      </c>
      <c r="AW30" s="1025">
        <v>2295000</v>
      </c>
      <c r="AX30" s="1025">
        <v>2118000</v>
      </c>
      <c r="AY30" s="1025">
        <v>2842000</v>
      </c>
      <c r="AZ30" s="1025">
        <v>0</v>
      </c>
      <c r="BA30" s="1025">
        <v>0</v>
      </c>
      <c r="BB30" s="1026">
        <v>16933000</v>
      </c>
      <c r="BC30" s="1026">
        <v>416719000</v>
      </c>
      <c r="BD30" s="1027">
        <v>117896000</v>
      </c>
      <c r="BE30" s="1027">
        <v>298823000</v>
      </c>
      <c r="BG30" s="909"/>
      <c r="BH30" s="1028"/>
    </row>
    <row r="31" spans="1:60" ht="13.95" customHeight="1">
      <c r="A31" s="1017" t="s">
        <v>89</v>
      </c>
      <c r="B31" s="1017" t="s">
        <v>734</v>
      </c>
      <c r="C31" s="1025">
        <v>3714000</v>
      </c>
      <c r="D31" s="1025">
        <v>240000</v>
      </c>
      <c r="E31" s="1025">
        <v>6316000</v>
      </c>
      <c r="F31" s="1025">
        <v>5403000</v>
      </c>
      <c r="G31" s="1025">
        <v>1953000</v>
      </c>
      <c r="H31" s="1025">
        <v>2106000</v>
      </c>
      <c r="I31" s="1025">
        <v>4879000</v>
      </c>
      <c r="J31" s="1025">
        <v>3550000</v>
      </c>
      <c r="K31" s="1025">
        <v>6243000</v>
      </c>
      <c r="L31" s="1025">
        <v>976000</v>
      </c>
      <c r="M31" s="1025">
        <v>954000</v>
      </c>
      <c r="N31" s="1025">
        <v>14307000</v>
      </c>
      <c r="O31" s="1025">
        <v>0</v>
      </c>
      <c r="P31" s="1025">
        <v>3164000</v>
      </c>
      <c r="Q31" s="1026">
        <v>53805000</v>
      </c>
      <c r="R31" s="1025">
        <v>11072000</v>
      </c>
      <c r="S31" s="1026">
        <v>11072000</v>
      </c>
      <c r="T31" s="1025">
        <v>3369000</v>
      </c>
      <c r="U31" s="1025">
        <v>9973000</v>
      </c>
      <c r="V31" s="1025">
        <v>4246000</v>
      </c>
      <c r="W31" s="1025">
        <v>12482000</v>
      </c>
      <c r="X31" s="1025">
        <v>3447000</v>
      </c>
      <c r="Y31" s="1025">
        <v>2570000</v>
      </c>
      <c r="Z31" s="1025">
        <v>8248000</v>
      </c>
      <c r="AA31" s="1025">
        <v>3793000</v>
      </c>
      <c r="AB31" s="1025">
        <v>2231000</v>
      </c>
      <c r="AC31" s="1025">
        <v>9266000</v>
      </c>
      <c r="AD31" s="1025">
        <v>9398000</v>
      </c>
      <c r="AE31" s="1025">
        <v>3731000</v>
      </c>
      <c r="AF31" s="1025">
        <v>3023000</v>
      </c>
      <c r="AG31" s="1025">
        <v>35766000</v>
      </c>
      <c r="AH31" s="1025">
        <v>1097000</v>
      </c>
      <c r="AI31" s="1025">
        <v>0</v>
      </c>
      <c r="AJ31" s="1025">
        <v>3237000</v>
      </c>
      <c r="AK31" s="1025">
        <v>2556000</v>
      </c>
      <c r="AL31" s="1025">
        <v>23487000</v>
      </c>
      <c r="AM31" s="1025">
        <v>3318000</v>
      </c>
      <c r="AN31" s="1025">
        <v>4203000</v>
      </c>
      <c r="AO31" s="1025">
        <v>4284000</v>
      </c>
      <c r="AP31" s="1025">
        <v>1004000</v>
      </c>
      <c r="AQ31" s="1025">
        <v>705000</v>
      </c>
      <c r="AR31" s="1025">
        <v>976000</v>
      </c>
      <c r="AS31" s="1025">
        <v>0</v>
      </c>
      <c r="AT31" s="1026">
        <v>156410000</v>
      </c>
      <c r="AU31" s="1025">
        <v>2239000</v>
      </c>
      <c r="AV31" s="1025">
        <v>3118000</v>
      </c>
      <c r="AW31" s="1025">
        <v>1270000</v>
      </c>
      <c r="AX31" s="1025">
        <v>1173000</v>
      </c>
      <c r="AY31" s="1025">
        <v>1573000</v>
      </c>
      <c r="AZ31" s="1025">
        <v>0</v>
      </c>
      <c r="BA31" s="1025">
        <v>0</v>
      </c>
      <c r="BB31" s="1026">
        <v>9373000</v>
      </c>
      <c r="BC31" s="1026">
        <v>230660000</v>
      </c>
      <c r="BD31" s="1027">
        <v>65256000</v>
      </c>
      <c r="BE31" s="1027">
        <v>165404000</v>
      </c>
      <c r="BG31" s="909"/>
      <c r="BH31" s="1028"/>
    </row>
    <row r="32" spans="1:60" ht="13.95" customHeight="1">
      <c r="A32" s="1017" t="s">
        <v>90</v>
      </c>
      <c r="B32" s="1017" t="s">
        <v>457</v>
      </c>
      <c r="C32" s="1025">
        <v>1857000</v>
      </c>
      <c r="D32" s="1025">
        <v>120000</v>
      </c>
      <c r="E32" s="1025">
        <v>3158000</v>
      </c>
      <c r="F32" s="1025">
        <v>2701000</v>
      </c>
      <c r="G32" s="1025">
        <v>976000</v>
      </c>
      <c r="H32" s="1025">
        <v>1053000</v>
      </c>
      <c r="I32" s="1025">
        <v>2440000</v>
      </c>
      <c r="J32" s="1025">
        <v>1775000</v>
      </c>
      <c r="K32" s="1025">
        <v>3122000</v>
      </c>
      <c r="L32" s="1025">
        <v>488000</v>
      </c>
      <c r="M32" s="1025">
        <v>477000</v>
      </c>
      <c r="N32" s="1025">
        <v>7153000</v>
      </c>
      <c r="O32" s="1025">
        <v>0</v>
      </c>
      <c r="P32" s="1025">
        <v>1582000</v>
      </c>
      <c r="Q32" s="1026">
        <v>26902000</v>
      </c>
      <c r="R32" s="1025">
        <v>5536000</v>
      </c>
      <c r="S32" s="1026">
        <v>5536000</v>
      </c>
      <c r="T32" s="1025">
        <v>1685000</v>
      </c>
      <c r="U32" s="1025">
        <v>4986000</v>
      </c>
      <c r="V32" s="1025">
        <v>2123000</v>
      </c>
      <c r="W32" s="1025">
        <v>6241000</v>
      </c>
      <c r="X32" s="1025">
        <v>1723000</v>
      </c>
      <c r="Y32" s="1025">
        <v>1285000</v>
      </c>
      <c r="Z32" s="1025">
        <v>4124000</v>
      </c>
      <c r="AA32" s="1025">
        <v>1896000</v>
      </c>
      <c r="AB32" s="1025">
        <v>1115000</v>
      </c>
      <c r="AC32" s="1025">
        <v>4633000</v>
      </c>
      <c r="AD32" s="1025">
        <v>4699000</v>
      </c>
      <c r="AE32" s="1025">
        <v>1865000</v>
      </c>
      <c r="AF32" s="1025">
        <v>1511000</v>
      </c>
      <c r="AG32" s="1025">
        <v>17883000</v>
      </c>
      <c r="AH32" s="1025">
        <v>548000</v>
      </c>
      <c r="AI32" s="1025">
        <v>0</v>
      </c>
      <c r="AJ32" s="1025">
        <v>1618000</v>
      </c>
      <c r="AK32" s="1025">
        <v>1278000</v>
      </c>
      <c r="AL32" s="1025">
        <v>11744000</v>
      </c>
      <c r="AM32" s="1025">
        <v>1659000</v>
      </c>
      <c r="AN32" s="1025">
        <v>2101000</v>
      </c>
      <c r="AO32" s="1025">
        <v>2142000</v>
      </c>
      <c r="AP32" s="1025">
        <v>502000</v>
      </c>
      <c r="AQ32" s="1025">
        <v>353000</v>
      </c>
      <c r="AR32" s="1025">
        <v>488000</v>
      </c>
      <c r="AS32" s="1025">
        <v>0</v>
      </c>
      <c r="AT32" s="1026">
        <v>78202000</v>
      </c>
      <c r="AU32" s="1025">
        <v>1120000</v>
      </c>
      <c r="AV32" s="1025">
        <v>1559000</v>
      </c>
      <c r="AW32" s="1025">
        <v>635000</v>
      </c>
      <c r="AX32" s="1025">
        <v>586000</v>
      </c>
      <c r="AY32" s="1025">
        <v>787000</v>
      </c>
      <c r="AZ32" s="1025">
        <v>0</v>
      </c>
      <c r="BA32" s="1025">
        <v>0</v>
      </c>
      <c r="BB32" s="1026">
        <v>4687000</v>
      </c>
      <c r="BC32" s="1026">
        <v>115327000</v>
      </c>
      <c r="BD32" s="1027">
        <v>32629000</v>
      </c>
      <c r="BE32" s="1027">
        <v>82698000</v>
      </c>
      <c r="BG32" s="909"/>
      <c r="BH32" s="1028"/>
    </row>
    <row r="33" spans="1:60" ht="13.95" customHeight="1">
      <c r="A33" s="1029"/>
      <c r="B33" s="1030" t="s">
        <v>735</v>
      </c>
      <c r="C33" s="1031">
        <v>12280000</v>
      </c>
      <c r="D33" s="1031">
        <v>792000</v>
      </c>
      <c r="E33" s="1031">
        <v>20885000</v>
      </c>
      <c r="F33" s="1031">
        <v>17865000</v>
      </c>
      <c r="G33" s="1031">
        <v>6457000</v>
      </c>
      <c r="H33" s="1031">
        <v>6965000</v>
      </c>
      <c r="I33" s="1031">
        <v>16134000</v>
      </c>
      <c r="J33" s="1031">
        <v>11739000</v>
      </c>
      <c r="K33" s="1031">
        <v>20644000</v>
      </c>
      <c r="L33" s="1031">
        <v>3228000</v>
      </c>
      <c r="M33" s="1031">
        <v>3156000</v>
      </c>
      <c r="N33" s="1031">
        <v>47308000</v>
      </c>
      <c r="O33" s="1031">
        <v>0</v>
      </c>
      <c r="P33" s="1031">
        <v>10462000</v>
      </c>
      <c r="Q33" s="1031">
        <v>177915000</v>
      </c>
      <c r="R33" s="1031">
        <v>36612000</v>
      </c>
      <c r="S33" s="1031">
        <v>36612000</v>
      </c>
      <c r="T33" s="1031">
        <v>11142000</v>
      </c>
      <c r="U33" s="1031">
        <v>32977000</v>
      </c>
      <c r="V33" s="1031">
        <v>14040000</v>
      </c>
      <c r="W33" s="1031">
        <v>41273000</v>
      </c>
      <c r="X33" s="1031">
        <v>11396000</v>
      </c>
      <c r="Y33" s="1031">
        <v>8498000</v>
      </c>
      <c r="Z33" s="1031">
        <v>27273000</v>
      </c>
      <c r="AA33" s="1031">
        <v>12541000</v>
      </c>
      <c r="AB33" s="1031">
        <v>7376000</v>
      </c>
      <c r="AC33" s="1031">
        <v>30640000</v>
      </c>
      <c r="AD33" s="1031">
        <v>31076000</v>
      </c>
      <c r="AE33" s="1031">
        <v>12336000</v>
      </c>
      <c r="AF33" s="1031">
        <v>9995000</v>
      </c>
      <c r="AG33" s="1031">
        <v>118267000</v>
      </c>
      <c r="AH33" s="1031">
        <v>3626000</v>
      </c>
      <c r="AI33" s="1031">
        <v>0</v>
      </c>
      <c r="AJ33" s="1031">
        <v>10702000</v>
      </c>
      <c r="AK33" s="1031">
        <v>8452000</v>
      </c>
      <c r="AL33" s="1031">
        <v>77665000</v>
      </c>
      <c r="AM33" s="1031">
        <v>10971000</v>
      </c>
      <c r="AN33" s="1031">
        <v>13896000</v>
      </c>
      <c r="AO33" s="1031">
        <v>14166000</v>
      </c>
      <c r="AP33" s="1031">
        <v>3319000</v>
      </c>
      <c r="AQ33" s="1031">
        <v>2332000</v>
      </c>
      <c r="AR33" s="1031">
        <v>3227000</v>
      </c>
      <c r="AS33" s="1031">
        <v>0</v>
      </c>
      <c r="AT33" s="1031">
        <v>517186000</v>
      </c>
      <c r="AU33" s="1031">
        <v>7404000</v>
      </c>
      <c r="AV33" s="1031">
        <v>10310000</v>
      </c>
      <c r="AW33" s="1031">
        <v>4200000</v>
      </c>
      <c r="AX33" s="1031">
        <v>3877000</v>
      </c>
      <c r="AY33" s="1031">
        <v>5202000</v>
      </c>
      <c r="AZ33" s="1031">
        <v>0</v>
      </c>
      <c r="BA33" s="1031">
        <v>0</v>
      </c>
      <c r="BB33" s="1031">
        <v>30993000</v>
      </c>
      <c r="BC33" s="1031">
        <v>762706000</v>
      </c>
      <c r="BD33" s="1032">
        <v>215781000</v>
      </c>
      <c r="BE33" s="1032">
        <v>546925000</v>
      </c>
      <c r="BG33" s="909"/>
      <c r="BH33" s="1028"/>
    </row>
    <row r="34" spans="1:60" ht="15" customHeight="1">
      <c r="A34" s="1033"/>
      <c r="B34" s="1034" t="s">
        <v>736</v>
      </c>
      <c r="C34" s="1035">
        <v>167104000</v>
      </c>
      <c r="D34" s="1035">
        <v>24267000</v>
      </c>
      <c r="E34" s="1035">
        <v>284221000</v>
      </c>
      <c r="F34" s="1035">
        <v>243108000</v>
      </c>
      <c r="G34" s="1035">
        <v>87859000</v>
      </c>
      <c r="H34" s="1035">
        <v>94789000</v>
      </c>
      <c r="I34" s="1035">
        <v>219543000</v>
      </c>
      <c r="J34" s="1035">
        <v>159739000</v>
      </c>
      <c r="K34" s="1035">
        <v>288040180.08000004</v>
      </c>
      <c r="L34" s="1035">
        <v>43929000</v>
      </c>
      <c r="M34" s="1035">
        <v>42955000</v>
      </c>
      <c r="N34" s="1035">
        <v>643769000</v>
      </c>
      <c r="O34" s="1035">
        <v>0</v>
      </c>
      <c r="P34" s="1035">
        <v>142353000</v>
      </c>
      <c r="Q34" s="1035">
        <v>2441676180.0799999</v>
      </c>
      <c r="R34" s="1035">
        <v>498199000</v>
      </c>
      <c r="S34" s="1035">
        <v>498199000</v>
      </c>
      <c r="T34" s="1035">
        <v>151624000</v>
      </c>
      <c r="U34" s="1035">
        <v>448755000</v>
      </c>
      <c r="V34" s="1035">
        <v>191045000</v>
      </c>
      <c r="W34" s="1035">
        <v>561539000</v>
      </c>
      <c r="X34" s="1035">
        <v>155063000</v>
      </c>
      <c r="Y34" s="1035">
        <v>115593000</v>
      </c>
      <c r="Z34" s="1035">
        <v>371122000</v>
      </c>
      <c r="AA34" s="1035">
        <v>170672000</v>
      </c>
      <c r="AB34" s="1035">
        <v>100378000</v>
      </c>
      <c r="AC34" s="1035">
        <v>416910000</v>
      </c>
      <c r="AD34" s="1035">
        <v>422843000</v>
      </c>
      <c r="AE34" s="1035">
        <v>167868000</v>
      </c>
      <c r="AF34" s="1035">
        <v>136012000</v>
      </c>
      <c r="AG34" s="1035">
        <v>1609526000</v>
      </c>
      <c r="AH34" s="1035">
        <v>49347000</v>
      </c>
      <c r="AI34" s="1035">
        <v>0</v>
      </c>
      <c r="AJ34" s="1035">
        <v>145624000</v>
      </c>
      <c r="AK34" s="1035">
        <v>114911000</v>
      </c>
      <c r="AL34" s="1035">
        <v>1056948000</v>
      </c>
      <c r="AM34" s="1035">
        <v>149284000</v>
      </c>
      <c r="AN34" s="1035">
        <v>189096000</v>
      </c>
      <c r="AO34" s="1035">
        <v>192780000</v>
      </c>
      <c r="AP34" s="1035">
        <v>45135000</v>
      </c>
      <c r="AQ34" s="1035">
        <v>31741000</v>
      </c>
      <c r="AR34" s="1035">
        <v>43923000</v>
      </c>
      <c r="AS34" s="1035">
        <v>0</v>
      </c>
      <c r="AT34" s="1035">
        <v>7037739000</v>
      </c>
      <c r="AU34" s="1035">
        <v>100761000</v>
      </c>
      <c r="AV34" s="1035">
        <v>140299000</v>
      </c>
      <c r="AW34" s="1035">
        <v>57161000</v>
      </c>
      <c r="AX34" s="1035">
        <v>52765000</v>
      </c>
      <c r="AY34" s="1035">
        <v>70800000</v>
      </c>
      <c r="AZ34" s="1035">
        <v>0</v>
      </c>
      <c r="BA34" s="1035">
        <v>0</v>
      </c>
      <c r="BB34" s="1035">
        <v>421786000</v>
      </c>
      <c r="BC34" s="1035">
        <v>10399400180.08</v>
      </c>
      <c r="BD34" s="1036">
        <v>2936557000</v>
      </c>
      <c r="BE34" s="1036">
        <v>7462843180.0799999</v>
      </c>
      <c r="BG34" s="909"/>
      <c r="BH34" s="1028"/>
    </row>
    <row r="35" spans="1:60" ht="13.95" customHeight="1">
      <c r="A35" s="1017" t="s">
        <v>94</v>
      </c>
      <c r="B35" s="1017" t="s">
        <v>508</v>
      </c>
      <c r="C35" s="1025">
        <v>11246000</v>
      </c>
      <c r="D35" s="1025">
        <v>994000</v>
      </c>
      <c r="E35" s="1025">
        <v>3978000</v>
      </c>
      <c r="F35" s="1025">
        <v>2250000</v>
      </c>
      <c r="G35" s="1025">
        <v>356000</v>
      </c>
      <c r="H35" s="1025">
        <v>1282000</v>
      </c>
      <c r="I35" s="1025">
        <v>5706000</v>
      </c>
      <c r="J35" s="1025">
        <v>2440000</v>
      </c>
      <c r="K35" s="1025">
        <v>10516000</v>
      </c>
      <c r="L35" s="1025">
        <v>5736000</v>
      </c>
      <c r="M35" s="1025">
        <v>2712000</v>
      </c>
      <c r="N35" s="1025">
        <v>18028000</v>
      </c>
      <c r="O35" s="1025">
        <v>0</v>
      </c>
      <c r="P35" s="1025">
        <v>23808000</v>
      </c>
      <c r="Q35" s="1026">
        <v>89052000</v>
      </c>
      <c r="R35" s="1025">
        <v>7654000</v>
      </c>
      <c r="S35" s="1026">
        <v>7654000</v>
      </c>
      <c r="T35" s="1025">
        <v>66278000</v>
      </c>
      <c r="U35" s="1025">
        <v>8364000</v>
      </c>
      <c r="V35" s="1025">
        <v>0</v>
      </c>
      <c r="W35" s="1025">
        <v>0</v>
      </c>
      <c r="X35" s="1025">
        <v>0</v>
      </c>
      <c r="Y35" s="1025">
        <v>0</v>
      </c>
      <c r="Z35" s="1025">
        <v>0</v>
      </c>
      <c r="AA35" s="1025">
        <v>0</v>
      </c>
      <c r="AB35" s="1025">
        <v>41714000</v>
      </c>
      <c r="AC35" s="1025">
        <v>0</v>
      </c>
      <c r="AD35" s="1025">
        <v>0</v>
      </c>
      <c r="AE35" s="1025">
        <v>0</v>
      </c>
      <c r="AF35" s="1025">
        <v>0</v>
      </c>
      <c r="AG35" s="1025">
        <v>0</v>
      </c>
      <c r="AH35" s="1025">
        <v>0</v>
      </c>
      <c r="AI35" s="1025">
        <v>0</v>
      </c>
      <c r="AJ35" s="1025">
        <v>0</v>
      </c>
      <c r="AK35" s="1025">
        <v>6094000</v>
      </c>
      <c r="AL35" s="1025">
        <v>0</v>
      </c>
      <c r="AM35" s="1025">
        <v>0</v>
      </c>
      <c r="AN35" s="1025">
        <v>0</v>
      </c>
      <c r="AO35" s="1025">
        <v>0</v>
      </c>
      <c r="AP35" s="1025">
        <v>5158000</v>
      </c>
      <c r="AQ35" s="1025">
        <v>0</v>
      </c>
      <c r="AR35" s="1025">
        <v>0</v>
      </c>
      <c r="AS35" s="1025">
        <v>0</v>
      </c>
      <c r="AT35" s="1026">
        <v>127608000</v>
      </c>
      <c r="AU35" s="1025">
        <v>0</v>
      </c>
      <c r="AV35" s="1025">
        <v>0</v>
      </c>
      <c r="AW35" s="1025">
        <v>0</v>
      </c>
      <c r="AX35" s="1025">
        <v>0</v>
      </c>
      <c r="AY35" s="1025">
        <v>0</v>
      </c>
      <c r="AZ35" s="1025">
        <v>22850000</v>
      </c>
      <c r="BA35" s="1025">
        <v>13420000</v>
      </c>
      <c r="BB35" s="1026">
        <v>36270000</v>
      </c>
      <c r="BC35" s="1026">
        <v>260584000</v>
      </c>
      <c r="BD35" s="1027">
        <v>5158000</v>
      </c>
      <c r="BE35" s="1027">
        <v>255426000</v>
      </c>
      <c r="BG35" s="909"/>
      <c r="BH35" s="1028"/>
    </row>
    <row r="36" spans="1:60" ht="13.95" customHeight="1">
      <c r="A36" s="1017" t="s">
        <v>95</v>
      </c>
      <c r="B36" s="1017" t="s">
        <v>96</v>
      </c>
      <c r="C36" s="1025">
        <v>0</v>
      </c>
      <c r="D36" s="1025">
        <v>0</v>
      </c>
      <c r="E36" s="1025">
        <v>0</v>
      </c>
      <c r="F36" s="1025">
        <v>0</v>
      </c>
      <c r="G36" s="1025">
        <v>0</v>
      </c>
      <c r="H36" s="1025">
        <v>0</v>
      </c>
      <c r="I36" s="1025">
        <v>0</v>
      </c>
      <c r="J36" s="1025">
        <v>0</v>
      </c>
      <c r="K36" s="1025">
        <v>0</v>
      </c>
      <c r="L36" s="1025">
        <v>0</v>
      </c>
      <c r="M36" s="1025">
        <v>0</v>
      </c>
      <c r="N36" s="1025">
        <v>0</v>
      </c>
      <c r="O36" s="1025">
        <v>0</v>
      </c>
      <c r="P36" s="1025">
        <v>50000000</v>
      </c>
      <c r="Q36" s="1026">
        <v>50000000</v>
      </c>
      <c r="R36" s="1025">
        <v>0</v>
      </c>
      <c r="S36" s="1026">
        <v>0</v>
      </c>
      <c r="T36" s="1025">
        <v>60000000</v>
      </c>
      <c r="U36" s="1025">
        <v>0</v>
      </c>
      <c r="V36" s="1025">
        <v>0</v>
      </c>
      <c r="W36" s="1025">
        <v>0</v>
      </c>
      <c r="X36" s="1025">
        <v>0</v>
      </c>
      <c r="Y36" s="1025">
        <v>0</v>
      </c>
      <c r="Z36" s="1025">
        <v>0</v>
      </c>
      <c r="AA36" s="1025">
        <v>0</v>
      </c>
      <c r="AB36" s="1025">
        <v>0</v>
      </c>
      <c r="AC36" s="1025">
        <v>0</v>
      </c>
      <c r="AD36" s="1025">
        <v>0</v>
      </c>
      <c r="AE36" s="1025">
        <v>0</v>
      </c>
      <c r="AF36" s="1025">
        <v>0</v>
      </c>
      <c r="AG36" s="1025">
        <v>0</v>
      </c>
      <c r="AH36" s="1025">
        <v>0</v>
      </c>
      <c r="AI36" s="1025">
        <v>0</v>
      </c>
      <c r="AJ36" s="1025">
        <v>0</v>
      </c>
      <c r="AK36" s="1025">
        <v>0</v>
      </c>
      <c r="AL36" s="1025">
        <v>64000000</v>
      </c>
      <c r="AM36" s="1025">
        <v>1000000</v>
      </c>
      <c r="AN36" s="1025">
        <v>0</v>
      </c>
      <c r="AO36" s="1025">
        <v>0</v>
      </c>
      <c r="AP36" s="1025">
        <v>0</v>
      </c>
      <c r="AQ36" s="1025">
        <v>0</v>
      </c>
      <c r="AR36" s="1025">
        <v>0</v>
      </c>
      <c r="AS36" s="1025">
        <v>0</v>
      </c>
      <c r="AT36" s="1026">
        <v>125000000</v>
      </c>
      <c r="AU36" s="1025">
        <v>0</v>
      </c>
      <c r="AV36" s="1025">
        <v>0</v>
      </c>
      <c r="AW36" s="1025">
        <v>0</v>
      </c>
      <c r="AX36" s="1025">
        <v>0</v>
      </c>
      <c r="AY36" s="1025">
        <v>0</v>
      </c>
      <c r="AZ36" s="1025">
        <v>0</v>
      </c>
      <c r="BA36" s="1025">
        <v>0</v>
      </c>
      <c r="BB36" s="1026">
        <v>0</v>
      </c>
      <c r="BC36" s="1026">
        <v>175000000</v>
      </c>
      <c r="BD36" s="1027">
        <v>65000000</v>
      </c>
      <c r="BE36" s="1027">
        <v>110000000</v>
      </c>
      <c r="BG36" s="909"/>
      <c r="BH36" s="1028"/>
    </row>
    <row r="37" spans="1:60" ht="13.95" customHeight="1">
      <c r="A37" s="1017" t="s">
        <v>99</v>
      </c>
      <c r="B37" s="1017" t="s">
        <v>100</v>
      </c>
      <c r="C37" s="1025">
        <v>0</v>
      </c>
      <c r="D37" s="1025">
        <v>0</v>
      </c>
      <c r="E37" s="1025">
        <v>0</v>
      </c>
      <c r="F37" s="1025">
        <v>0</v>
      </c>
      <c r="G37" s="1025">
        <v>0</v>
      </c>
      <c r="H37" s="1025">
        <v>0</v>
      </c>
      <c r="I37" s="1025">
        <v>0</v>
      </c>
      <c r="J37" s="1025">
        <v>0</v>
      </c>
      <c r="K37" s="1025">
        <v>0</v>
      </c>
      <c r="L37" s="1025">
        <v>0</v>
      </c>
      <c r="M37" s="1025">
        <v>0</v>
      </c>
      <c r="N37" s="1025">
        <v>53555000</v>
      </c>
      <c r="O37" s="1025">
        <v>0</v>
      </c>
      <c r="P37" s="1025">
        <v>0</v>
      </c>
      <c r="Q37" s="1026">
        <v>53555000</v>
      </c>
      <c r="R37" s="1025">
        <v>0</v>
      </c>
      <c r="S37" s="1026">
        <v>0</v>
      </c>
      <c r="T37" s="1025">
        <v>0</v>
      </c>
      <c r="U37" s="1025">
        <v>0</v>
      </c>
      <c r="V37" s="1025">
        <v>0</v>
      </c>
      <c r="W37" s="1025">
        <v>0</v>
      </c>
      <c r="X37" s="1025">
        <v>0</v>
      </c>
      <c r="Y37" s="1025">
        <v>0</v>
      </c>
      <c r="Z37" s="1025">
        <v>0</v>
      </c>
      <c r="AA37" s="1025">
        <v>0</v>
      </c>
      <c r="AB37" s="1025">
        <v>0</v>
      </c>
      <c r="AC37" s="1025">
        <v>0</v>
      </c>
      <c r="AD37" s="1025">
        <v>0</v>
      </c>
      <c r="AE37" s="1025">
        <v>0</v>
      </c>
      <c r="AF37" s="1025">
        <v>0</v>
      </c>
      <c r="AG37" s="1025">
        <v>0</v>
      </c>
      <c r="AH37" s="1025">
        <v>0</v>
      </c>
      <c r="AI37" s="1025">
        <v>0</v>
      </c>
      <c r="AJ37" s="1025">
        <v>0</v>
      </c>
      <c r="AK37" s="1025">
        <v>0</v>
      </c>
      <c r="AL37" s="1025">
        <v>0</v>
      </c>
      <c r="AM37" s="1025">
        <v>0</v>
      </c>
      <c r="AN37" s="1025">
        <v>0</v>
      </c>
      <c r="AO37" s="1025">
        <v>0</v>
      </c>
      <c r="AP37" s="1025">
        <v>0</v>
      </c>
      <c r="AQ37" s="1025">
        <v>0</v>
      </c>
      <c r="AR37" s="1025">
        <v>0</v>
      </c>
      <c r="AS37" s="1025">
        <v>0</v>
      </c>
      <c r="AT37" s="1026">
        <v>0</v>
      </c>
      <c r="AU37" s="1025">
        <v>0</v>
      </c>
      <c r="AV37" s="1025">
        <v>0</v>
      </c>
      <c r="AW37" s="1025">
        <v>0</v>
      </c>
      <c r="AX37" s="1025">
        <v>0</v>
      </c>
      <c r="AY37" s="1025">
        <v>0</v>
      </c>
      <c r="AZ37" s="1025">
        <v>0</v>
      </c>
      <c r="BA37" s="1025">
        <v>0</v>
      </c>
      <c r="BB37" s="1026">
        <v>0</v>
      </c>
      <c r="BC37" s="1026">
        <v>53555000</v>
      </c>
      <c r="BD37" s="1027">
        <v>0</v>
      </c>
      <c r="BE37" s="1027">
        <v>53555000</v>
      </c>
      <c r="BG37" s="909"/>
      <c r="BH37" s="1028"/>
    </row>
    <row r="38" spans="1:60" ht="13.95" customHeight="1">
      <c r="A38" s="1029"/>
      <c r="B38" s="1030" t="s">
        <v>737</v>
      </c>
      <c r="C38" s="1031">
        <v>11246000</v>
      </c>
      <c r="D38" s="1031">
        <v>994000</v>
      </c>
      <c r="E38" s="1031">
        <v>3978000</v>
      </c>
      <c r="F38" s="1031">
        <v>2250000</v>
      </c>
      <c r="G38" s="1031">
        <v>356000</v>
      </c>
      <c r="H38" s="1031">
        <v>1282000</v>
      </c>
      <c r="I38" s="1031">
        <v>5706000</v>
      </c>
      <c r="J38" s="1031">
        <v>2440000</v>
      </c>
      <c r="K38" s="1031">
        <v>10516000</v>
      </c>
      <c r="L38" s="1031">
        <v>5736000</v>
      </c>
      <c r="M38" s="1031">
        <v>2712000</v>
      </c>
      <c r="N38" s="1031">
        <v>71583000</v>
      </c>
      <c r="O38" s="1031">
        <v>0</v>
      </c>
      <c r="P38" s="1031">
        <v>73808000</v>
      </c>
      <c r="Q38" s="1031">
        <v>192607000</v>
      </c>
      <c r="R38" s="1031">
        <v>7654000</v>
      </c>
      <c r="S38" s="1031">
        <v>7654000</v>
      </c>
      <c r="T38" s="1031">
        <v>126278000</v>
      </c>
      <c r="U38" s="1031">
        <v>8364000</v>
      </c>
      <c r="V38" s="1031">
        <v>0</v>
      </c>
      <c r="W38" s="1031">
        <v>0</v>
      </c>
      <c r="X38" s="1031">
        <v>0</v>
      </c>
      <c r="Y38" s="1031">
        <v>0</v>
      </c>
      <c r="Z38" s="1031">
        <v>0</v>
      </c>
      <c r="AA38" s="1031">
        <v>0</v>
      </c>
      <c r="AB38" s="1031">
        <v>41714000</v>
      </c>
      <c r="AC38" s="1031">
        <v>0</v>
      </c>
      <c r="AD38" s="1031">
        <v>0</v>
      </c>
      <c r="AE38" s="1031">
        <v>0</v>
      </c>
      <c r="AF38" s="1031">
        <v>0</v>
      </c>
      <c r="AG38" s="1031">
        <v>0</v>
      </c>
      <c r="AH38" s="1031">
        <v>0</v>
      </c>
      <c r="AI38" s="1031">
        <v>0</v>
      </c>
      <c r="AJ38" s="1031">
        <v>0</v>
      </c>
      <c r="AK38" s="1031">
        <v>6094000</v>
      </c>
      <c r="AL38" s="1031">
        <v>64000000</v>
      </c>
      <c r="AM38" s="1031">
        <v>1000000</v>
      </c>
      <c r="AN38" s="1031">
        <v>0</v>
      </c>
      <c r="AO38" s="1031">
        <v>0</v>
      </c>
      <c r="AP38" s="1031">
        <v>5158000</v>
      </c>
      <c r="AQ38" s="1031">
        <v>0</v>
      </c>
      <c r="AR38" s="1031">
        <v>0</v>
      </c>
      <c r="AS38" s="1031">
        <v>0</v>
      </c>
      <c r="AT38" s="1031">
        <v>252608000</v>
      </c>
      <c r="AU38" s="1031">
        <v>0</v>
      </c>
      <c r="AV38" s="1031">
        <v>0</v>
      </c>
      <c r="AW38" s="1031">
        <v>0</v>
      </c>
      <c r="AX38" s="1031">
        <v>0</v>
      </c>
      <c r="AY38" s="1031">
        <v>0</v>
      </c>
      <c r="AZ38" s="1031">
        <v>22850000</v>
      </c>
      <c r="BA38" s="1031">
        <v>13420000</v>
      </c>
      <c r="BB38" s="1031">
        <v>36270000</v>
      </c>
      <c r="BC38" s="1031">
        <v>489139000</v>
      </c>
      <c r="BD38" s="1032">
        <v>70158000</v>
      </c>
      <c r="BE38" s="1032">
        <v>418981000</v>
      </c>
      <c r="BG38" s="909"/>
      <c r="BH38" s="1028"/>
    </row>
    <row r="39" spans="1:60" ht="13.95" customHeight="1">
      <c r="A39" s="1017" t="s">
        <v>103</v>
      </c>
      <c r="B39" s="1017" t="s">
        <v>104</v>
      </c>
      <c r="C39" s="1025">
        <v>486000</v>
      </c>
      <c r="D39" s="1025">
        <v>42000</v>
      </c>
      <c r="E39" s="1025">
        <v>172000</v>
      </c>
      <c r="F39" s="1025">
        <v>98000</v>
      </c>
      <c r="G39" s="1025">
        <v>16000</v>
      </c>
      <c r="H39" s="1025">
        <v>56000</v>
      </c>
      <c r="I39" s="1025">
        <v>246000</v>
      </c>
      <c r="J39" s="1025">
        <v>106000</v>
      </c>
      <c r="K39" s="1025">
        <v>454000</v>
      </c>
      <c r="L39" s="1025">
        <v>248000</v>
      </c>
      <c r="M39" s="1025">
        <v>118000</v>
      </c>
      <c r="N39" s="1025">
        <v>778000</v>
      </c>
      <c r="O39" s="1025">
        <v>0</v>
      </c>
      <c r="P39" s="1025">
        <v>294000</v>
      </c>
      <c r="Q39" s="1026">
        <v>3114000</v>
      </c>
      <c r="R39" s="1025">
        <v>330000</v>
      </c>
      <c r="S39" s="1026">
        <v>330000</v>
      </c>
      <c r="T39" s="1025">
        <v>2860000</v>
      </c>
      <c r="U39" s="1025">
        <v>360000</v>
      </c>
      <c r="V39" s="1025">
        <v>0</v>
      </c>
      <c r="W39" s="1025">
        <v>0</v>
      </c>
      <c r="X39" s="1025">
        <v>0</v>
      </c>
      <c r="Y39" s="1025">
        <v>0</v>
      </c>
      <c r="Z39" s="1025">
        <v>0</v>
      </c>
      <c r="AA39" s="1025">
        <v>0</v>
      </c>
      <c r="AB39" s="1025">
        <v>1800000</v>
      </c>
      <c r="AC39" s="1025">
        <v>0</v>
      </c>
      <c r="AD39" s="1025">
        <v>0</v>
      </c>
      <c r="AE39" s="1025">
        <v>0</v>
      </c>
      <c r="AF39" s="1025">
        <v>0</v>
      </c>
      <c r="AG39" s="1025">
        <v>0</v>
      </c>
      <c r="AH39" s="1025">
        <v>0</v>
      </c>
      <c r="AI39" s="1025">
        <v>0</v>
      </c>
      <c r="AJ39" s="1025">
        <v>0</v>
      </c>
      <c r="AK39" s="1025">
        <v>262000</v>
      </c>
      <c r="AL39" s="1025">
        <v>0</v>
      </c>
      <c r="AM39" s="1025">
        <v>0</v>
      </c>
      <c r="AN39" s="1025">
        <v>0</v>
      </c>
      <c r="AO39" s="1025">
        <v>0</v>
      </c>
      <c r="AP39" s="1025">
        <v>222000</v>
      </c>
      <c r="AQ39" s="1025">
        <v>0</v>
      </c>
      <c r="AR39" s="1025">
        <v>0</v>
      </c>
      <c r="AS39" s="1025">
        <v>0</v>
      </c>
      <c r="AT39" s="1026">
        <v>5504000</v>
      </c>
      <c r="AU39" s="1025">
        <v>0</v>
      </c>
      <c r="AV39" s="1025">
        <v>0</v>
      </c>
      <c r="AW39" s="1025">
        <v>0</v>
      </c>
      <c r="AX39" s="1025">
        <v>0</v>
      </c>
      <c r="AY39" s="1025">
        <v>0</v>
      </c>
      <c r="AZ39" s="1025">
        <v>986000</v>
      </c>
      <c r="BA39" s="1025">
        <v>578000</v>
      </c>
      <c r="BB39" s="1026">
        <v>1564000</v>
      </c>
      <c r="BC39" s="1026">
        <v>10512000</v>
      </c>
      <c r="BD39" s="1027">
        <v>222000</v>
      </c>
      <c r="BE39" s="1027">
        <v>10290000</v>
      </c>
      <c r="BG39" s="909"/>
      <c r="BH39" s="1028"/>
    </row>
    <row r="40" spans="1:60" ht="13.95" customHeight="1">
      <c r="A40" s="1017" t="s">
        <v>105</v>
      </c>
      <c r="B40" s="1017" t="s">
        <v>106</v>
      </c>
      <c r="C40" s="1025">
        <v>1520000</v>
      </c>
      <c r="D40" s="1025">
        <v>134000</v>
      </c>
      <c r="E40" s="1025">
        <v>538000</v>
      </c>
      <c r="F40" s="1025">
        <v>304000</v>
      </c>
      <c r="G40" s="1025">
        <v>48000</v>
      </c>
      <c r="H40" s="1025">
        <v>174000</v>
      </c>
      <c r="I40" s="1025">
        <v>772000</v>
      </c>
      <c r="J40" s="1025">
        <v>330000</v>
      </c>
      <c r="K40" s="1025">
        <v>1422000</v>
      </c>
      <c r="L40" s="1025">
        <v>776000</v>
      </c>
      <c r="M40" s="1025">
        <v>366000</v>
      </c>
      <c r="N40" s="1025">
        <v>2436000</v>
      </c>
      <c r="O40" s="1025">
        <v>0</v>
      </c>
      <c r="P40" s="1025">
        <v>920000</v>
      </c>
      <c r="Q40" s="1026">
        <v>9740000</v>
      </c>
      <c r="R40" s="1025">
        <v>1034000</v>
      </c>
      <c r="S40" s="1026">
        <v>1034000</v>
      </c>
      <c r="T40" s="1025">
        <v>8956000</v>
      </c>
      <c r="U40" s="1025">
        <v>1130000</v>
      </c>
      <c r="V40" s="1025">
        <v>0</v>
      </c>
      <c r="W40" s="1025">
        <v>0</v>
      </c>
      <c r="X40" s="1025">
        <v>0</v>
      </c>
      <c r="Y40" s="1025">
        <v>0</v>
      </c>
      <c r="Z40" s="1025">
        <v>0</v>
      </c>
      <c r="AA40" s="1025">
        <v>0</v>
      </c>
      <c r="AB40" s="1025">
        <v>5636000</v>
      </c>
      <c r="AC40" s="1025">
        <v>0</v>
      </c>
      <c r="AD40" s="1025">
        <v>0</v>
      </c>
      <c r="AE40" s="1025">
        <v>0</v>
      </c>
      <c r="AF40" s="1025">
        <v>0</v>
      </c>
      <c r="AG40" s="1025">
        <v>0</v>
      </c>
      <c r="AH40" s="1025">
        <v>0</v>
      </c>
      <c r="AI40" s="1025">
        <v>0</v>
      </c>
      <c r="AJ40" s="1025">
        <v>0</v>
      </c>
      <c r="AK40" s="1025">
        <v>824000</v>
      </c>
      <c r="AL40" s="1025">
        <v>0</v>
      </c>
      <c r="AM40" s="1025">
        <v>0</v>
      </c>
      <c r="AN40" s="1025">
        <v>0</v>
      </c>
      <c r="AO40" s="1025">
        <v>0</v>
      </c>
      <c r="AP40" s="1025">
        <v>698000</v>
      </c>
      <c r="AQ40" s="1025">
        <v>0</v>
      </c>
      <c r="AR40" s="1025">
        <v>0</v>
      </c>
      <c r="AS40" s="1025">
        <v>0</v>
      </c>
      <c r="AT40" s="1026">
        <v>17244000</v>
      </c>
      <c r="AU40" s="1025">
        <v>0</v>
      </c>
      <c r="AV40" s="1025">
        <v>0</v>
      </c>
      <c r="AW40" s="1025">
        <v>0</v>
      </c>
      <c r="AX40" s="1025">
        <v>0</v>
      </c>
      <c r="AY40" s="1025">
        <v>0</v>
      </c>
      <c r="AZ40" s="1025">
        <v>3090000</v>
      </c>
      <c r="BA40" s="1025">
        <v>1814000</v>
      </c>
      <c r="BB40" s="1026">
        <v>4904000</v>
      </c>
      <c r="BC40" s="1026">
        <v>32922000</v>
      </c>
      <c r="BD40" s="1027">
        <v>698000</v>
      </c>
      <c r="BE40" s="1027">
        <v>32224000</v>
      </c>
      <c r="BG40" s="909"/>
      <c r="BH40" s="1028"/>
    </row>
    <row r="41" spans="1:60" ht="13.95" customHeight="1">
      <c r="A41" s="1017" t="s">
        <v>107</v>
      </c>
      <c r="B41" s="1017" t="s">
        <v>108</v>
      </c>
      <c r="C41" s="1025">
        <v>0</v>
      </c>
      <c r="D41" s="1025">
        <v>0</v>
      </c>
      <c r="E41" s="1025">
        <v>0</v>
      </c>
      <c r="F41" s="1025">
        <v>0</v>
      </c>
      <c r="G41" s="1025">
        <v>0</v>
      </c>
      <c r="H41" s="1025">
        <v>0</v>
      </c>
      <c r="I41" s="1025">
        <v>0</v>
      </c>
      <c r="J41" s="1025">
        <v>0</v>
      </c>
      <c r="K41" s="1025">
        <v>0</v>
      </c>
      <c r="L41" s="1025">
        <v>0</v>
      </c>
      <c r="M41" s="1025">
        <v>0</v>
      </c>
      <c r="N41" s="1025">
        <v>0</v>
      </c>
      <c r="O41" s="1025">
        <v>0</v>
      </c>
      <c r="P41" s="1025">
        <v>3500000</v>
      </c>
      <c r="Q41" s="1026">
        <v>3500000</v>
      </c>
      <c r="R41" s="1025">
        <v>0</v>
      </c>
      <c r="S41" s="1026">
        <v>0</v>
      </c>
      <c r="T41" s="1025">
        <v>0</v>
      </c>
      <c r="U41" s="1025">
        <v>0</v>
      </c>
      <c r="V41" s="1025">
        <v>0</v>
      </c>
      <c r="W41" s="1025">
        <v>0</v>
      </c>
      <c r="X41" s="1025">
        <v>0</v>
      </c>
      <c r="Y41" s="1025">
        <v>0</v>
      </c>
      <c r="Z41" s="1025">
        <v>0</v>
      </c>
      <c r="AA41" s="1025">
        <v>0</v>
      </c>
      <c r="AB41" s="1025">
        <v>0</v>
      </c>
      <c r="AC41" s="1025">
        <v>0</v>
      </c>
      <c r="AD41" s="1025">
        <v>0</v>
      </c>
      <c r="AE41" s="1025">
        <v>0</v>
      </c>
      <c r="AF41" s="1025">
        <v>0</v>
      </c>
      <c r="AG41" s="1025">
        <v>0</v>
      </c>
      <c r="AH41" s="1025">
        <v>0</v>
      </c>
      <c r="AI41" s="1025">
        <v>0</v>
      </c>
      <c r="AJ41" s="1025">
        <v>0</v>
      </c>
      <c r="AK41" s="1025">
        <v>0</v>
      </c>
      <c r="AL41" s="1025">
        <v>0</v>
      </c>
      <c r="AM41" s="1025">
        <v>0</v>
      </c>
      <c r="AN41" s="1025">
        <v>0</v>
      </c>
      <c r="AO41" s="1025">
        <v>0</v>
      </c>
      <c r="AP41" s="1025">
        <v>0</v>
      </c>
      <c r="AQ41" s="1025">
        <v>0</v>
      </c>
      <c r="AR41" s="1025">
        <v>0</v>
      </c>
      <c r="AS41" s="1025">
        <v>0</v>
      </c>
      <c r="AT41" s="1026">
        <v>0</v>
      </c>
      <c r="AU41" s="1025">
        <v>0</v>
      </c>
      <c r="AV41" s="1025">
        <v>0</v>
      </c>
      <c r="AW41" s="1025">
        <v>0</v>
      </c>
      <c r="AX41" s="1025">
        <v>0</v>
      </c>
      <c r="AY41" s="1025">
        <v>0</v>
      </c>
      <c r="AZ41" s="1025">
        <v>0</v>
      </c>
      <c r="BA41" s="1025">
        <v>0</v>
      </c>
      <c r="BB41" s="1026">
        <v>0</v>
      </c>
      <c r="BC41" s="1026">
        <v>3500000</v>
      </c>
      <c r="BD41" s="1027">
        <v>0</v>
      </c>
      <c r="BE41" s="1027">
        <v>3500000</v>
      </c>
      <c r="BG41" s="909"/>
      <c r="BH41" s="1028"/>
    </row>
    <row r="42" spans="1:60" ht="13.95" customHeight="1">
      <c r="A42" s="1017" t="s">
        <v>286</v>
      </c>
      <c r="B42" s="1017" t="s">
        <v>738</v>
      </c>
      <c r="C42" s="1025">
        <v>790000</v>
      </c>
      <c r="D42" s="1025">
        <v>70000</v>
      </c>
      <c r="E42" s="1025">
        <v>280000</v>
      </c>
      <c r="F42" s="1025">
        <v>158000</v>
      </c>
      <c r="G42" s="1025">
        <v>26000</v>
      </c>
      <c r="H42" s="1025">
        <v>90000</v>
      </c>
      <c r="I42" s="1025">
        <v>400000</v>
      </c>
      <c r="J42" s="1025">
        <v>172000</v>
      </c>
      <c r="K42" s="1025">
        <v>738000</v>
      </c>
      <c r="L42" s="1025">
        <v>402000</v>
      </c>
      <c r="M42" s="1025">
        <v>190000</v>
      </c>
      <c r="N42" s="1025">
        <v>26466000</v>
      </c>
      <c r="O42" s="1025">
        <v>0</v>
      </c>
      <c r="P42" s="1025">
        <v>478000</v>
      </c>
      <c r="Q42" s="1026">
        <v>30260000</v>
      </c>
      <c r="R42" s="1025">
        <v>538000</v>
      </c>
      <c r="S42" s="1026">
        <v>538000</v>
      </c>
      <c r="T42" s="1025">
        <v>4650000</v>
      </c>
      <c r="U42" s="1025">
        <v>3486000</v>
      </c>
      <c r="V42" s="1025">
        <v>1580000</v>
      </c>
      <c r="W42" s="1025">
        <v>8200000</v>
      </c>
      <c r="X42" s="1025">
        <v>1100000</v>
      </c>
      <c r="Y42" s="1025">
        <v>0</v>
      </c>
      <c r="Z42" s="1025">
        <v>0</v>
      </c>
      <c r="AA42" s="1025">
        <v>0</v>
      </c>
      <c r="AB42" s="1025">
        <v>2928000</v>
      </c>
      <c r="AC42" s="1025">
        <v>5035000</v>
      </c>
      <c r="AD42" s="1025">
        <v>8567000</v>
      </c>
      <c r="AE42" s="1025">
        <v>0</v>
      </c>
      <c r="AF42" s="1025">
        <v>0</v>
      </c>
      <c r="AG42" s="1025">
        <v>13200000</v>
      </c>
      <c r="AH42" s="1025">
        <v>0</v>
      </c>
      <c r="AI42" s="1025">
        <v>0</v>
      </c>
      <c r="AJ42" s="1025">
        <v>0</v>
      </c>
      <c r="AK42" s="1025">
        <v>428000</v>
      </c>
      <c r="AL42" s="1025">
        <v>4200000</v>
      </c>
      <c r="AM42" s="1025">
        <v>850000</v>
      </c>
      <c r="AN42" s="1025">
        <v>0</v>
      </c>
      <c r="AO42" s="1025">
        <v>1075000</v>
      </c>
      <c r="AP42" s="1025">
        <v>362000</v>
      </c>
      <c r="AQ42" s="1025">
        <v>0</v>
      </c>
      <c r="AR42" s="1025">
        <v>0</v>
      </c>
      <c r="AS42" s="1025">
        <v>0</v>
      </c>
      <c r="AT42" s="1026">
        <v>55661000</v>
      </c>
      <c r="AU42" s="1025">
        <v>0</v>
      </c>
      <c r="AV42" s="1025">
        <v>0</v>
      </c>
      <c r="AW42" s="1025">
        <v>0</v>
      </c>
      <c r="AX42" s="1025">
        <v>0</v>
      </c>
      <c r="AY42" s="1025">
        <v>0</v>
      </c>
      <c r="AZ42" s="1025">
        <v>1604000</v>
      </c>
      <c r="BA42" s="1025">
        <v>2242000</v>
      </c>
      <c r="BB42" s="1026">
        <v>3846000</v>
      </c>
      <c r="BC42" s="1026">
        <v>90305000</v>
      </c>
      <c r="BD42" s="1027">
        <v>18612000</v>
      </c>
      <c r="BE42" s="1027">
        <v>71693000</v>
      </c>
      <c r="BG42" s="909"/>
      <c r="BH42" s="1028"/>
    </row>
    <row r="43" spans="1:60" ht="13.95" customHeight="1">
      <c r="A43" s="1017" t="s">
        <v>109</v>
      </c>
      <c r="B43" s="1017" t="s">
        <v>110</v>
      </c>
      <c r="C43" s="1025">
        <v>0</v>
      </c>
      <c r="D43" s="1025">
        <v>0</v>
      </c>
      <c r="E43" s="1025">
        <v>0</v>
      </c>
      <c r="F43" s="1025">
        <v>0</v>
      </c>
      <c r="G43" s="1025">
        <v>0</v>
      </c>
      <c r="H43" s="1025">
        <v>0</v>
      </c>
      <c r="I43" s="1025">
        <v>0</v>
      </c>
      <c r="J43" s="1025">
        <v>0</v>
      </c>
      <c r="K43" s="1025">
        <v>0</v>
      </c>
      <c r="L43" s="1025">
        <v>0</v>
      </c>
      <c r="M43" s="1025">
        <v>481380</v>
      </c>
      <c r="N43" s="1025">
        <v>0</v>
      </c>
      <c r="O43" s="1025">
        <v>0</v>
      </c>
      <c r="P43" s="1025">
        <v>300000</v>
      </c>
      <c r="Q43" s="1026">
        <v>781380</v>
      </c>
      <c r="R43" s="1025">
        <v>0</v>
      </c>
      <c r="S43" s="1026">
        <v>0</v>
      </c>
      <c r="T43" s="1025">
        <v>0</v>
      </c>
      <c r="U43" s="1025">
        <v>0</v>
      </c>
      <c r="V43" s="1025">
        <v>0</v>
      </c>
      <c r="W43" s="1025">
        <v>0</v>
      </c>
      <c r="X43" s="1025">
        <v>0</v>
      </c>
      <c r="Y43" s="1025">
        <v>0</v>
      </c>
      <c r="Z43" s="1025">
        <v>0</v>
      </c>
      <c r="AA43" s="1025">
        <v>0</v>
      </c>
      <c r="AB43" s="1025">
        <v>0</v>
      </c>
      <c r="AC43" s="1025">
        <v>0</v>
      </c>
      <c r="AD43" s="1025">
        <v>0</v>
      </c>
      <c r="AE43" s="1025">
        <v>0</v>
      </c>
      <c r="AF43" s="1025">
        <v>0</v>
      </c>
      <c r="AG43" s="1025">
        <v>0</v>
      </c>
      <c r="AH43" s="1025">
        <v>0</v>
      </c>
      <c r="AI43" s="1025">
        <v>0</v>
      </c>
      <c r="AJ43" s="1025">
        <v>0</v>
      </c>
      <c r="AK43" s="1025">
        <v>0</v>
      </c>
      <c r="AL43" s="1025">
        <v>0</v>
      </c>
      <c r="AM43" s="1025">
        <v>0</v>
      </c>
      <c r="AN43" s="1025">
        <v>0</v>
      </c>
      <c r="AO43" s="1025">
        <v>0</v>
      </c>
      <c r="AP43" s="1025">
        <v>0</v>
      </c>
      <c r="AQ43" s="1025">
        <v>0</v>
      </c>
      <c r="AR43" s="1025">
        <v>0</v>
      </c>
      <c r="AS43" s="1025">
        <v>0</v>
      </c>
      <c r="AT43" s="1026">
        <v>0</v>
      </c>
      <c r="AU43" s="1025">
        <v>0</v>
      </c>
      <c r="AV43" s="1025">
        <v>0</v>
      </c>
      <c r="AW43" s="1025">
        <v>0</v>
      </c>
      <c r="AX43" s="1025">
        <v>0</v>
      </c>
      <c r="AY43" s="1025">
        <v>0</v>
      </c>
      <c r="AZ43" s="1025">
        <v>0</v>
      </c>
      <c r="BA43" s="1025">
        <v>0</v>
      </c>
      <c r="BB43" s="1026">
        <v>0</v>
      </c>
      <c r="BC43" s="1026">
        <v>781380</v>
      </c>
      <c r="BD43" s="1027">
        <v>0</v>
      </c>
      <c r="BE43" s="1027">
        <v>781380</v>
      </c>
      <c r="BG43" s="909"/>
      <c r="BH43" s="1028"/>
    </row>
    <row r="44" spans="1:60" ht="13.95" customHeight="1">
      <c r="A44" s="1029"/>
      <c r="B44" s="1030" t="s">
        <v>739</v>
      </c>
      <c r="C44" s="1031">
        <v>2796000</v>
      </c>
      <c r="D44" s="1031">
        <v>246000</v>
      </c>
      <c r="E44" s="1031">
        <v>990000</v>
      </c>
      <c r="F44" s="1031">
        <v>560000</v>
      </c>
      <c r="G44" s="1031">
        <v>90000</v>
      </c>
      <c r="H44" s="1031">
        <v>320000</v>
      </c>
      <c r="I44" s="1031">
        <v>1418000</v>
      </c>
      <c r="J44" s="1031">
        <v>608000</v>
      </c>
      <c r="K44" s="1031">
        <v>2614000</v>
      </c>
      <c r="L44" s="1031">
        <v>1426000</v>
      </c>
      <c r="M44" s="1031">
        <v>1155380</v>
      </c>
      <c r="N44" s="1031">
        <v>29680000</v>
      </c>
      <c r="O44" s="1031">
        <v>0</v>
      </c>
      <c r="P44" s="1031">
        <v>5492000</v>
      </c>
      <c r="Q44" s="1031">
        <v>47395380</v>
      </c>
      <c r="R44" s="1031">
        <v>1902000</v>
      </c>
      <c r="S44" s="1031">
        <v>1902000</v>
      </c>
      <c r="T44" s="1031">
        <v>16466000</v>
      </c>
      <c r="U44" s="1031">
        <v>4976000</v>
      </c>
      <c r="V44" s="1031">
        <v>1580000</v>
      </c>
      <c r="W44" s="1031">
        <v>8200000</v>
      </c>
      <c r="X44" s="1031">
        <v>1100000</v>
      </c>
      <c r="Y44" s="1031">
        <v>0</v>
      </c>
      <c r="Z44" s="1031">
        <v>0</v>
      </c>
      <c r="AA44" s="1031">
        <v>0</v>
      </c>
      <c r="AB44" s="1031">
        <v>10364000</v>
      </c>
      <c r="AC44" s="1031">
        <v>5035000</v>
      </c>
      <c r="AD44" s="1031">
        <v>8567000</v>
      </c>
      <c r="AE44" s="1031">
        <v>0</v>
      </c>
      <c r="AF44" s="1031">
        <v>0</v>
      </c>
      <c r="AG44" s="1031">
        <v>13200000</v>
      </c>
      <c r="AH44" s="1031">
        <v>0</v>
      </c>
      <c r="AI44" s="1031">
        <v>0</v>
      </c>
      <c r="AJ44" s="1031">
        <v>0</v>
      </c>
      <c r="AK44" s="1031">
        <v>1514000</v>
      </c>
      <c r="AL44" s="1031">
        <v>4200000</v>
      </c>
      <c r="AM44" s="1031">
        <v>850000</v>
      </c>
      <c r="AN44" s="1031">
        <v>0</v>
      </c>
      <c r="AO44" s="1031">
        <v>1075000</v>
      </c>
      <c r="AP44" s="1031">
        <v>1282000</v>
      </c>
      <c r="AQ44" s="1031">
        <v>0</v>
      </c>
      <c r="AR44" s="1031">
        <v>0</v>
      </c>
      <c r="AS44" s="1031">
        <v>0</v>
      </c>
      <c r="AT44" s="1031">
        <v>78409000</v>
      </c>
      <c r="AU44" s="1031">
        <v>0</v>
      </c>
      <c r="AV44" s="1031">
        <v>0</v>
      </c>
      <c r="AW44" s="1031">
        <v>0</v>
      </c>
      <c r="AX44" s="1031">
        <v>0</v>
      </c>
      <c r="AY44" s="1031">
        <v>0</v>
      </c>
      <c r="AZ44" s="1031">
        <v>5680000</v>
      </c>
      <c r="BA44" s="1031">
        <v>4634000</v>
      </c>
      <c r="BB44" s="1031">
        <v>10314000</v>
      </c>
      <c r="BC44" s="1031">
        <v>138020380</v>
      </c>
      <c r="BD44" s="1032">
        <v>19532000</v>
      </c>
      <c r="BE44" s="1032">
        <v>118488380</v>
      </c>
      <c r="BG44" s="909"/>
      <c r="BH44" s="1028"/>
    </row>
    <row r="45" spans="1:60" ht="13.95" customHeight="1">
      <c r="A45" s="1017" t="s">
        <v>113</v>
      </c>
      <c r="B45" s="1017" t="s">
        <v>361</v>
      </c>
      <c r="C45" s="1025">
        <v>0</v>
      </c>
      <c r="D45" s="1025">
        <v>0</v>
      </c>
      <c r="E45" s="1025">
        <v>0</v>
      </c>
      <c r="F45" s="1025">
        <v>0</v>
      </c>
      <c r="G45" s="1025">
        <v>0</v>
      </c>
      <c r="H45" s="1025">
        <v>0</v>
      </c>
      <c r="I45" s="1025">
        <v>0</v>
      </c>
      <c r="J45" s="1025">
        <v>0</v>
      </c>
      <c r="K45" s="1025">
        <v>0</v>
      </c>
      <c r="L45" s="1025">
        <v>0</v>
      </c>
      <c r="M45" s="1025">
        <v>0</v>
      </c>
      <c r="N45" s="1025">
        <v>0</v>
      </c>
      <c r="O45" s="1025">
        <v>1337000</v>
      </c>
      <c r="P45" s="1025">
        <v>0</v>
      </c>
      <c r="Q45" s="1026">
        <v>1337000</v>
      </c>
      <c r="R45" s="1025">
        <v>0</v>
      </c>
      <c r="S45" s="1026">
        <v>0</v>
      </c>
      <c r="T45" s="1025">
        <v>0</v>
      </c>
      <c r="U45" s="1025">
        <v>0</v>
      </c>
      <c r="V45" s="1025">
        <v>0</v>
      </c>
      <c r="W45" s="1025">
        <v>0</v>
      </c>
      <c r="X45" s="1025">
        <v>0</v>
      </c>
      <c r="Y45" s="1025">
        <v>0</v>
      </c>
      <c r="Z45" s="1025">
        <v>0</v>
      </c>
      <c r="AA45" s="1025">
        <v>0</v>
      </c>
      <c r="AB45" s="1025">
        <v>0</v>
      </c>
      <c r="AC45" s="1025">
        <v>0</v>
      </c>
      <c r="AD45" s="1025">
        <v>0</v>
      </c>
      <c r="AE45" s="1025">
        <v>0</v>
      </c>
      <c r="AF45" s="1025">
        <v>0</v>
      </c>
      <c r="AG45" s="1025">
        <v>0</v>
      </c>
      <c r="AH45" s="1025">
        <v>0</v>
      </c>
      <c r="AI45" s="1025">
        <v>0</v>
      </c>
      <c r="AJ45" s="1025">
        <v>0</v>
      </c>
      <c r="AK45" s="1025">
        <v>0</v>
      </c>
      <c r="AL45" s="1025">
        <v>0</v>
      </c>
      <c r="AM45" s="1025">
        <v>0</v>
      </c>
      <c r="AN45" s="1025">
        <v>0</v>
      </c>
      <c r="AO45" s="1025">
        <v>0</v>
      </c>
      <c r="AP45" s="1025">
        <v>0</v>
      </c>
      <c r="AQ45" s="1025">
        <v>0</v>
      </c>
      <c r="AR45" s="1025">
        <v>0</v>
      </c>
      <c r="AS45" s="1025">
        <v>0</v>
      </c>
      <c r="AT45" s="1026">
        <v>0</v>
      </c>
      <c r="AU45" s="1025">
        <v>0</v>
      </c>
      <c r="AV45" s="1025">
        <v>0</v>
      </c>
      <c r="AW45" s="1025">
        <v>0</v>
      </c>
      <c r="AX45" s="1025">
        <v>0</v>
      </c>
      <c r="AY45" s="1025">
        <v>0</v>
      </c>
      <c r="AZ45" s="1025">
        <v>0</v>
      </c>
      <c r="BA45" s="1025">
        <v>0</v>
      </c>
      <c r="BB45" s="1026">
        <v>0</v>
      </c>
      <c r="BC45" s="1026">
        <v>1337000</v>
      </c>
      <c r="BD45" s="1027">
        <v>0</v>
      </c>
      <c r="BE45" s="1027">
        <v>1337000</v>
      </c>
      <c r="BG45" s="909"/>
      <c r="BH45" s="1028"/>
    </row>
    <row r="46" spans="1:60" ht="13.95" customHeight="1">
      <c r="A46" s="1017" t="s">
        <v>114</v>
      </c>
      <c r="B46" s="1017" t="s">
        <v>362</v>
      </c>
      <c r="C46" s="1025">
        <v>0</v>
      </c>
      <c r="D46" s="1025">
        <v>0</v>
      </c>
      <c r="E46" s="1025">
        <v>0</v>
      </c>
      <c r="F46" s="1025">
        <v>0</v>
      </c>
      <c r="G46" s="1025">
        <v>0</v>
      </c>
      <c r="H46" s="1025">
        <v>0</v>
      </c>
      <c r="I46" s="1025">
        <v>0</v>
      </c>
      <c r="J46" s="1025">
        <v>0</v>
      </c>
      <c r="K46" s="1025">
        <v>0</v>
      </c>
      <c r="L46" s="1025">
        <v>0</v>
      </c>
      <c r="M46" s="1025">
        <v>0</v>
      </c>
      <c r="N46" s="1025">
        <v>0</v>
      </c>
      <c r="O46" s="1025">
        <v>0</v>
      </c>
      <c r="P46" s="1025">
        <v>0</v>
      </c>
      <c r="Q46" s="1026">
        <v>0</v>
      </c>
      <c r="R46" s="1025">
        <v>0</v>
      </c>
      <c r="S46" s="1026">
        <v>0</v>
      </c>
      <c r="T46" s="1025">
        <v>0</v>
      </c>
      <c r="U46" s="1025">
        <v>0</v>
      </c>
      <c r="V46" s="1025">
        <v>0</v>
      </c>
      <c r="W46" s="1025">
        <v>0</v>
      </c>
      <c r="X46" s="1025">
        <v>0</v>
      </c>
      <c r="Y46" s="1025">
        <v>0</v>
      </c>
      <c r="Z46" s="1025">
        <v>0</v>
      </c>
      <c r="AA46" s="1025">
        <v>0</v>
      </c>
      <c r="AB46" s="1025">
        <v>0</v>
      </c>
      <c r="AC46" s="1025">
        <v>0</v>
      </c>
      <c r="AD46" s="1025">
        <v>0</v>
      </c>
      <c r="AE46" s="1025">
        <v>0</v>
      </c>
      <c r="AF46" s="1025">
        <v>0</v>
      </c>
      <c r="AG46" s="1025">
        <v>0</v>
      </c>
      <c r="AH46" s="1025">
        <v>0</v>
      </c>
      <c r="AI46" s="1025">
        <v>0</v>
      </c>
      <c r="AJ46" s="1025">
        <v>0</v>
      </c>
      <c r="AK46" s="1025">
        <v>0</v>
      </c>
      <c r="AL46" s="1025">
        <v>0</v>
      </c>
      <c r="AM46" s="1025">
        <v>0</v>
      </c>
      <c r="AN46" s="1025">
        <v>0</v>
      </c>
      <c r="AO46" s="1025">
        <v>0</v>
      </c>
      <c r="AP46" s="1025">
        <v>0</v>
      </c>
      <c r="AQ46" s="1025">
        <v>0</v>
      </c>
      <c r="AR46" s="1025">
        <v>0</v>
      </c>
      <c r="AS46" s="1025">
        <v>0</v>
      </c>
      <c r="AT46" s="1026">
        <v>0</v>
      </c>
      <c r="AU46" s="1025">
        <v>0</v>
      </c>
      <c r="AV46" s="1025">
        <v>0</v>
      </c>
      <c r="AW46" s="1025">
        <v>0</v>
      </c>
      <c r="AX46" s="1025">
        <v>0</v>
      </c>
      <c r="AY46" s="1025">
        <v>0</v>
      </c>
      <c r="AZ46" s="1025">
        <v>40000000</v>
      </c>
      <c r="BA46" s="1025">
        <v>0</v>
      </c>
      <c r="BB46" s="1026">
        <v>40000000</v>
      </c>
      <c r="BC46" s="1026">
        <v>40000000</v>
      </c>
      <c r="BD46" s="1027">
        <v>0</v>
      </c>
      <c r="BE46" s="1027">
        <v>40000000</v>
      </c>
      <c r="BG46" s="909"/>
      <c r="BH46" s="1028"/>
    </row>
    <row r="47" spans="1:60" ht="13.95" customHeight="1">
      <c r="A47" s="1017" t="s">
        <v>115</v>
      </c>
      <c r="B47" s="1017" t="s">
        <v>363</v>
      </c>
      <c r="C47" s="1025">
        <v>50000</v>
      </c>
      <c r="D47" s="1025">
        <v>0</v>
      </c>
      <c r="E47" s="1025">
        <v>0</v>
      </c>
      <c r="F47" s="1025">
        <v>0</v>
      </c>
      <c r="G47" s="1025">
        <v>0</v>
      </c>
      <c r="H47" s="1025">
        <v>0</v>
      </c>
      <c r="I47" s="1025">
        <v>0</v>
      </c>
      <c r="J47" s="1025">
        <v>0</v>
      </c>
      <c r="K47" s="1025">
        <v>0</v>
      </c>
      <c r="L47" s="1025">
        <v>0</v>
      </c>
      <c r="M47" s="1025">
        <v>0</v>
      </c>
      <c r="N47" s="1025">
        <v>0</v>
      </c>
      <c r="O47" s="1025">
        <v>0</v>
      </c>
      <c r="P47" s="1025">
        <v>0</v>
      </c>
      <c r="Q47" s="1026">
        <v>50000</v>
      </c>
      <c r="R47" s="1025">
        <v>0</v>
      </c>
      <c r="S47" s="1026">
        <v>0</v>
      </c>
      <c r="T47" s="1025">
        <v>0</v>
      </c>
      <c r="U47" s="1025">
        <v>3000000</v>
      </c>
      <c r="V47" s="1025">
        <v>0</v>
      </c>
      <c r="W47" s="1025">
        <v>500000</v>
      </c>
      <c r="X47" s="1025">
        <v>1500000</v>
      </c>
      <c r="Y47" s="1025">
        <v>0</v>
      </c>
      <c r="Z47" s="1025">
        <v>0</v>
      </c>
      <c r="AA47" s="1025">
        <v>0</v>
      </c>
      <c r="AB47" s="1025">
        <v>0</v>
      </c>
      <c r="AC47" s="1025">
        <v>0</v>
      </c>
      <c r="AD47" s="1025">
        <v>0</v>
      </c>
      <c r="AE47" s="1025">
        <v>0</v>
      </c>
      <c r="AF47" s="1025">
        <v>0</v>
      </c>
      <c r="AG47" s="1025">
        <v>0</v>
      </c>
      <c r="AH47" s="1025">
        <v>0</v>
      </c>
      <c r="AI47" s="1025">
        <v>0</v>
      </c>
      <c r="AJ47" s="1025">
        <v>0</v>
      </c>
      <c r="AK47" s="1025">
        <v>0</v>
      </c>
      <c r="AL47" s="1025">
        <v>4000000</v>
      </c>
      <c r="AM47" s="1025">
        <v>0</v>
      </c>
      <c r="AN47" s="1025">
        <v>0</v>
      </c>
      <c r="AO47" s="1025">
        <v>0</v>
      </c>
      <c r="AP47" s="1025">
        <v>0</v>
      </c>
      <c r="AQ47" s="1025">
        <v>0</v>
      </c>
      <c r="AR47" s="1025">
        <v>0</v>
      </c>
      <c r="AS47" s="1025">
        <v>0</v>
      </c>
      <c r="AT47" s="1026">
        <v>9000000</v>
      </c>
      <c r="AU47" s="1025">
        <v>0</v>
      </c>
      <c r="AV47" s="1025">
        <v>0</v>
      </c>
      <c r="AW47" s="1025">
        <v>0</v>
      </c>
      <c r="AX47" s="1025">
        <v>0</v>
      </c>
      <c r="AY47" s="1025">
        <v>0</v>
      </c>
      <c r="AZ47" s="1025">
        <v>0</v>
      </c>
      <c r="BA47" s="1025">
        <v>3500000</v>
      </c>
      <c r="BB47" s="1026">
        <v>3500000</v>
      </c>
      <c r="BC47" s="1026">
        <v>12550000</v>
      </c>
      <c r="BD47" s="1027">
        <v>4000000</v>
      </c>
      <c r="BE47" s="1027">
        <v>8550000</v>
      </c>
      <c r="BG47" s="909"/>
      <c r="BH47" s="1028"/>
    </row>
    <row r="48" spans="1:60" ht="13.95" customHeight="1">
      <c r="A48" s="1017" t="s">
        <v>116</v>
      </c>
      <c r="B48" s="1017" t="s">
        <v>364</v>
      </c>
      <c r="C48" s="1025">
        <v>0</v>
      </c>
      <c r="D48" s="1025">
        <v>0</v>
      </c>
      <c r="E48" s="1025">
        <v>0</v>
      </c>
      <c r="F48" s="1025">
        <v>0</v>
      </c>
      <c r="G48" s="1025">
        <v>0</v>
      </c>
      <c r="H48" s="1025">
        <v>0</v>
      </c>
      <c r="I48" s="1025">
        <v>0</v>
      </c>
      <c r="J48" s="1025">
        <v>0</v>
      </c>
      <c r="K48" s="1025">
        <v>0</v>
      </c>
      <c r="L48" s="1025">
        <v>0</v>
      </c>
      <c r="M48" s="1025">
        <v>0</v>
      </c>
      <c r="N48" s="1025">
        <v>0</v>
      </c>
      <c r="O48" s="1025">
        <v>0</v>
      </c>
      <c r="P48" s="1025">
        <v>250000</v>
      </c>
      <c r="Q48" s="1026">
        <v>250000</v>
      </c>
      <c r="R48" s="1025">
        <v>0</v>
      </c>
      <c r="S48" s="1026">
        <v>0</v>
      </c>
      <c r="T48" s="1025">
        <v>0</v>
      </c>
      <c r="U48" s="1025">
        <v>0</v>
      </c>
      <c r="V48" s="1025">
        <v>0</v>
      </c>
      <c r="W48" s="1025">
        <v>0</v>
      </c>
      <c r="X48" s="1025">
        <v>0</v>
      </c>
      <c r="Y48" s="1025">
        <v>0</v>
      </c>
      <c r="Z48" s="1025">
        <v>0</v>
      </c>
      <c r="AA48" s="1025">
        <v>0</v>
      </c>
      <c r="AB48" s="1025">
        <v>0</v>
      </c>
      <c r="AC48" s="1025">
        <v>0</v>
      </c>
      <c r="AD48" s="1025">
        <v>0</v>
      </c>
      <c r="AE48" s="1025">
        <v>0</v>
      </c>
      <c r="AF48" s="1025">
        <v>0</v>
      </c>
      <c r="AG48" s="1025">
        <v>150000</v>
      </c>
      <c r="AH48" s="1025">
        <v>0</v>
      </c>
      <c r="AI48" s="1025">
        <v>0</v>
      </c>
      <c r="AJ48" s="1025">
        <v>0</v>
      </c>
      <c r="AK48" s="1025">
        <v>0</v>
      </c>
      <c r="AL48" s="1025">
        <v>250000</v>
      </c>
      <c r="AM48" s="1025">
        <v>0</v>
      </c>
      <c r="AN48" s="1025">
        <v>0</v>
      </c>
      <c r="AO48" s="1025">
        <v>0</v>
      </c>
      <c r="AP48" s="1025">
        <v>0</v>
      </c>
      <c r="AQ48" s="1025">
        <v>0</v>
      </c>
      <c r="AR48" s="1025">
        <v>0</v>
      </c>
      <c r="AS48" s="1025">
        <v>0</v>
      </c>
      <c r="AT48" s="1026">
        <v>400000</v>
      </c>
      <c r="AU48" s="1025">
        <v>0</v>
      </c>
      <c r="AV48" s="1025">
        <v>0</v>
      </c>
      <c r="AW48" s="1025">
        <v>0</v>
      </c>
      <c r="AX48" s="1025">
        <v>0</v>
      </c>
      <c r="AY48" s="1025">
        <v>0</v>
      </c>
      <c r="AZ48" s="1025">
        <v>0</v>
      </c>
      <c r="BA48" s="1025">
        <v>0</v>
      </c>
      <c r="BB48" s="1026">
        <v>0</v>
      </c>
      <c r="BC48" s="1026">
        <v>650000</v>
      </c>
      <c r="BD48" s="1027">
        <v>400000</v>
      </c>
      <c r="BE48" s="1027">
        <v>250000</v>
      </c>
      <c r="BG48" s="909"/>
      <c r="BH48" s="1028"/>
    </row>
    <row r="49" spans="1:60" ht="13.95" customHeight="1">
      <c r="A49" s="1017" t="s">
        <v>118</v>
      </c>
      <c r="B49" s="1017" t="s">
        <v>374</v>
      </c>
      <c r="C49" s="1025">
        <v>0</v>
      </c>
      <c r="D49" s="1025">
        <v>0</v>
      </c>
      <c r="E49" s="1025">
        <v>0</v>
      </c>
      <c r="F49" s="1025">
        <v>0</v>
      </c>
      <c r="G49" s="1025">
        <v>0</v>
      </c>
      <c r="H49" s="1025">
        <v>0</v>
      </c>
      <c r="I49" s="1025">
        <v>300000</v>
      </c>
      <c r="J49" s="1025">
        <v>0</v>
      </c>
      <c r="K49" s="1025">
        <v>0</v>
      </c>
      <c r="L49" s="1025">
        <v>0</v>
      </c>
      <c r="M49" s="1025">
        <v>0</v>
      </c>
      <c r="N49" s="1025">
        <v>0</v>
      </c>
      <c r="O49" s="1025">
        <v>22000000</v>
      </c>
      <c r="P49" s="1025">
        <v>0</v>
      </c>
      <c r="Q49" s="1026">
        <v>22300000</v>
      </c>
      <c r="R49" s="1025">
        <v>0</v>
      </c>
      <c r="S49" s="1026">
        <v>0</v>
      </c>
      <c r="T49" s="1025">
        <v>0</v>
      </c>
      <c r="U49" s="1025">
        <v>0</v>
      </c>
      <c r="V49" s="1025">
        <v>0</v>
      </c>
      <c r="W49" s="1025">
        <v>0</v>
      </c>
      <c r="X49" s="1025">
        <v>0</v>
      </c>
      <c r="Y49" s="1025">
        <v>0</v>
      </c>
      <c r="Z49" s="1025">
        <v>0</v>
      </c>
      <c r="AA49" s="1025">
        <v>0</v>
      </c>
      <c r="AB49" s="1025">
        <v>0</v>
      </c>
      <c r="AC49" s="1025">
        <v>0</v>
      </c>
      <c r="AD49" s="1025">
        <v>0</v>
      </c>
      <c r="AE49" s="1025">
        <v>0</v>
      </c>
      <c r="AF49" s="1025">
        <v>0</v>
      </c>
      <c r="AG49" s="1025">
        <v>0</v>
      </c>
      <c r="AH49" s="1025">
        <v>0</v>
      </c>
      <c r="AI49" s="1025">
        <v>0</v>
      </c>
      <c r="AJ49" s="1025">
        <v>0</v>
      </c>
      <c r="AK49" s="1025">
        <v>0</v>
      </c>
      <c r="AL49" s="1025">
        <v>0</v>
      </c>
      <c r="AM49" s="1025">
        <v>0</v>
      </c>
      <c r="AN49" s="1025">
        <v>0</v>
      </c>
      <c r="AO49" s="1025">
        <v>0</v>
      </c>
      <c r="AP49" s="1025">
        <v>0</v>
      </c>
      <c r="AQ49" s="1025">
        <v>0</v>
      </c>
      <c r="AR49" s="1025">
        <v>0</v>
      </c>
      <c r="AS49" s="1025">
        <v>0</v>
      </c>
      <c r="AT49" s="1026">
        <v>0</v>
      </c>
      <c r="AU49" s="1025">
        <v>0</v>
      </c>
      <c r="AV49" s="1025">
        <v>0</v>
      </c>
      <c r="AW49" s="1025">
        <v>0</v>
      </c>
      <c r="AX49" s="1025">
        <v>0</v>
      </c>
      <c r="AY49" s="1025">
        <v>0</v>
      </c>
      <c r="AZ49" s="1025">
        <v>0</v>
      </c>
      <c r="BA49" s="1025">
        <v>0</v>
      </c>
      <c r="BB49" s="1026">
        <v>0</v>
      </c>
      <c r="BC49" s="1026">
        <v>22300000</v>
      </c>
      <c r="BD49" s="1027">
        <v>0</v>
      </c>
      <c r="BE49" s="1027">
        <v>22300000</v>
      </c>
      <c r="BG49" s="909"/>
      <c r="BH49" s="1028"/>
    </row>
    <row r="50" spans="1:60" ht="13.95" customHeight="1">
      <c r="A50" s="1017" t="s">
        <v>339</v>
      </c>
      <c r="B50" s="1017" t="s">
        <v>525</v>
      </c>
      <c r="C50" s="1025">
        <v>0</v>
      </c>
      <c r="D50" s="1025">
        <v>0</v>
      </c>
      <c r="E50" s="1025">
        <v>0</v>
      </c>
      <c r="F50" s="1025">
        <v>0</v>
      </c>
      <c r="G50" s="1025">
        <v>0</v>
      </c>
      <c r="H50" s="1025">
        <v>0</v>
      </c>
      <c r="I50" s="1025">
        <v>0</v>
      </c>
      <c r="J50" s="1025">
        <v>0</v>
      </c>
      <c r="K50" s="1025">
        <v>0</v>
      </c>
      <c r="L50" s="1025">
        <v>8000000</v>
      </c>
      <c r="M50" s="1025">
        <v>0</v>
      </c>
      <c r="N50" s="1025">
        <v>70180908</v>
      </c>
      <c r="O50" s="1025">
        <v>0</v>
      </c>
      <c r="P50" s="1025">
        <v>0</v>
      </c>
      <c r="Q50" s="1026">
        <v>78180908</v>
      </c>
      <c r="R50" s="1025">
        <v>0</v>
      </c>
      <c r="S50" s="1026">
        <v>0</v>
      </c>
      <c r="T50" s="1025">
        <v>0</v>
      </c>
      <c r="U50" s="1025">
        <v>0</v>
      </c>
      <c r="V50" s="1025">
        <v>0</v>
      </c>
      <c r="W50" s="1025">
        <v>0</v>
      </c>
      <c r="X50" s="1025">
        <v>0</v>
      </c>
      <c r="Y50" s="1025">
        <v>0</v>
      </c>
      <c r="Z50" s="1025">
        <v>0</v>
      </c>
      <c r="AA50" s="1025">
        <v>0</v>
      </c>
      <c r="AB50" s="1025">
        <v>0</v>
      </c>
      <c r="AC50" s="1025">
        <v>0</v>
      </c>
      <c r="AD50" s="1025">
        <v>0</v>
      </c>
      <c r="AE50" s="1025">
        <v>0</v>
      </c>
      <c r="AF50" s="1025">
        <v>0</v>
      </c>
      <c r="AG50" s="1025">
        <v>0</v>
      </c>
      <c r="AH50" s="1025">
        <v>0</v>
      </c>
      <c r="AI50" s="1025">
        <v>0</v>
      </c>
      <c r="AJ50" s="1025">
        <v>0</v>
      </c>
      <c r="AK50" s="1025">
        <v>0</v>
      </c>
      <c r="AL50" s="1025">
        <v>0</v>
      </c>
      <c r="AM50" s="1025">
        <v>0</v>
      </c>
      <c r="AN50" s="1025">
        <v>0</v>
      </c>
      <c r="AO50" s="1025">
        <v>0</v>
      </c>
      <c r="AP50" s="1025">
        <v>0</v>
      </c>
      <c r="AQ50" s="1025">
        <v>0</v>
      </c>
      <c r="AR50" s="1025">
        <v>0</v>
      </c>
      <c r="AS50" s="1025">
        <v>0</v>
      </c>
      <c r="AT50" s="1026">
        <v>0</v>
      </c>
      <c r="AU50" s="1025">
        <v>0</v>
      </c>
      <c r="AV50" s="1025">
        <v>0</v>
      </c>
      <c r="AW50" s="1025">
        <v>0</v>
      </c>
      <c r="AX50" s="1025">
        <v>0</v>
      </c>
      <c r="AY50" s="1025">
        <v>0</v>
      </c>
      <c r="AZ50" s="1025">
        <v>0</v>
      </c>
      <c r="BA50" s="1025">
        <v>300000</v>
      </c>
      <c r="BB50" s="1026">
        <v>300000</v>
      </c>
      <c r="BC50" s="1026">
        <v>78480908</v>
      </c>
      <c r="BD50" s="1027">
        <v>0</v>
      </c>
      <c r="BE50" s="1027">
        <v>78480908</v>
      </c>
      <c r="BG50" s="909"/>
      <c r="BH50" s="1028"/>
    </row>
    <row r="51" spans="1:60" ht="13.95" customHeight="1">
      <c r="A51" s="1029"/>
      <c r="B51" s="1030" t="s">
        <v>740</v>
      </c>
      <c r="C51" s="1031">
        <v>50000</v>
      </c>
      <c r="D51" s="1031">
        <v>0</v>
      </c>
      <c r="E51" s="1031">
        <v>0</v>
      </c>
      <c r="F51" s="1031">
        <v>0</v>
      </c>
      <c r="G51" s="1031">
        <v>0</v>
      </c>
      <c r="H51" s="1031">
        <v>0</v>
      </c>
      <c r="I51" s="1031">
        <v>300000</v>
      </c>
      <c r="J51" s="1031">
        <v>0</v>
      </c>
      <c r="K51" s="1031">
        <v>0</v>
      </c>
      <c r="L51" s="1031">
        <v>8000000</v>
      </c>
      <c r="M51" s="1031">
        <v>0</v>
      </c>
      <c r="N51" s="1031">
        <v>70180908</v>
      </c>
      <c r="O51" s="1031">
        <v>23337000</v>
      </c>
      <c r="P51" s="1031">
        <v>250000</v>
      </c>
      <c r="Q51" s="1031">
        <v>102117908</v>
      </c>
      <c r="R51" s="1031">
        <v>0</v>
      </c>
      <c r="S51" s="1031">
        <v>0</v>
      </c>
      <c r="T51" s="1031">
        <v>0</v>
      </c>
      <c r="U51" s="1031">
        <v>3000000</v>
      </c>
      <c r="V51" s="1031">
        <v>0</v>
      </c>
      <c r="W51" s="1031">
        <v>500000</v>
      </c>
      <c r="X51" s="1031">
        <v>1500000</v>
      </c>
      <c r="Y51" s="1031">
        <v>0</v>
      </c>
      <c r="Z51" s="1031">
        <v>0</v>
      </c>
      <c r="AA51" s="1031">
        <v>0</v>
      </c>
      <c r="AB51" s="1031">
        <v>0</v>
      </c>
      <c r="AC51" s="1031">
        <v>0</v>
      </c>
      <c r="AD51" s="1031">
        <v>0</v>
      </c>
      <c r="AE51" s="1031">
        <v>0</v>
      </c>
      <c r="AF51" s="1031">
        <v>0</v>
      </c>
      <c r="AG51" s="1031">
        <v>150000</v>
      </c>
      <c r="AH51" s="1031">
        <v>0</v>
      </c>
      <c r="AI51" s="1031">
        <v>0</v>
      </c>
      <c r="AJ51" s="1031">
        <v>0</v>
      </c>
      <c r="AK51" s="1031">
        <v>0</v>
      </c>
      <c r="AL51" s="1031">
        <v>4250000</v>
      </c>
      <c r="AM51" s="1031">
        <v>0</v>
      </c>
      <c r="AN51" s="1031">
        <v>0</v>
      </c>
      <c r="AO51" s="1031">
        <v>0</v>
      </c>
      <c r="AP51" s="1031">
        <v>0</v>
      </c>
      <c r="AQ51" s="1031">
        <v>0</v>
      </c>
      <c r="AR51" s="1031">
        <v>0</v>
      </c>
      <c r="AS51" s="1031">
        <v>0</v>
      </c>
      <c r="AT51" s="1031">
        <v>9400000</v>
      </c>
      <c r="AU51" s="1031">
        <v>0</v>
      </c>
      <c r="AV51" s="1031">
        <v>0</v>
      </c>
      <c r="AW51" s="1031">
        <v>0</v>
      </c>
      <c r="AX51" s="1031">
        <v>0</v>
      </c>
      <c r="AY51" s="1031">
        <v>0</v>
      </c>
      <c r="AZ51" s="1031">
        <v>40000000</v>
      </c>
      <c r="BA51" s="1031">
        <v>3800000</v>
      </c>
      <c r="BB51" s="1031">
        <v>43800000</v>
      </c>
      <c r="BC51" s="1031">
        <v>155317908</v>
      </c>
      <c r="BD51" s="1032">
        <v>4400000</v>
      </c>
      <c r="BE51" s="1032">
        <v>150917908</v>
      </c>
      <c r="BG51" s="909"/>
      <c r="BH51" s="1028"/>
    </row>
    <row r="52" spans="1:60" ht="13.95" customHeight="1">
      <c r="A52" s="1017" t="s">
        <v>341</v>
      </c>
      <c r="B52" s="1017" t="s">
        <v>741</v>
      </c>
      <c r="C52" s="1025">
        <v>0</v>
      </c>
      <c r="D52" s="1025">
        <v>0</v>
      </c>
      <c r="E52" s="1025">
        <v>5500000</v>
      </c>
      <c r="F52" s="1025">
        <v>0</v>
      </c>
      <c r="G52" s="1025">
        <v>0</v>
      </c>
      <c r="H52" s="1025">
        <v>0</v>
      </c>
      <c r="I52" s="1025">
        <v>0</v>
      </c>
      <c r="J52" s="1025">
        <v>0</v>
      </c>
      <c r="K52" s="1025">
        <v>0</v>
      </c>
      <c r="L52" s="1025">
        <v>0</v>
      </c>
      <c r="M52" s="1025">
        <v>0</v>
      </c>
      <c r="N52" s="1025">
        <v>0</v>
      </c>
      <c r="O52" s="1025">
        <v>0</v>
      </c>
      <c r="P52" s="1025">
        <v>0</v>
      </c>
      <c r="Q52" s="1026">
        <v>5500000</v>
      </c>
      <c r="R52" s="1025">
        <v>0</v>
      </c>
      <c r="S52" s="1026">
        <v>0</v>
      </c>
      <c r="T52" s="1025">
        <v>0</v>
      </c>
      <c r="U52" s="1025">
        <v>0</v>
      </c>
      <c r="V52" s="1025">
        <v>0</v>
      </c>
      <c r="W52" s="1025">
        <v>0</v>
      </c>
      <c r="X52" s="1025">
        <v>0</v>
      </c>
      <c r="Y52" s="1025">
        <v>0</v>
      </c>
      <c r="Z52" s="1025">
        <v>0</v>
      </c>
      <c r="AA52" s="1025">
        <v>0</v>
      </c>
      <c r="AB52" s="1025">
        <v>0</v>
      </c>
      <c r="AC52" s="1025">
        <v>0</v>
      </c>
      <c r="AD52" s="1025">
        <v>0</v>
      </c>
      <c r="AE52" s="1025">
        <v>0</v>
      </c>
      <c r="AF52" s="1025">
        <v>0</v>
      </c>
      <c r="AG52" s="1025">
        <v>0</v>
      </c>
      <c r="AH52" s="1025">
        <v>0</v>
      </c>
      <c r="AI52" s="1025">
        <v>0</v>
      </c>
      <c r="AJ52" s="1025">
        <v>0</v>
      </c>
      <c r="AK52" s="1025">
        <v>0</v>
      </c>
      <c r="AL52" s="1025">
        <v>0</v>
      </c>
      <c r="AM52" s="1025">
        <v>0</v>
      </c>
      <c r="AN52" s="1025">
        <v>0</v>
      </c>
      <c r="AO52" s="1025">
        <v>0</v>
      </c>
      <c r="AP52" s="1025">
        <v>0</v>
      </c>
      <c r="AQ52" s="1025">
        <v>0</v>
      </c>
      <c r="AR52" s="1025">
        <v>0</v>
      </c>
      <c r="AS52" s="1025">
        <v>0</v>
      </c>
      <c r="AT52" s="1026">
        <v>0</v>
      </c>
      <c r="AU52" s="1025">
        <v>0</v>
      </c>
      <c r="AV52" s="1025">
        <v>0</v>
      </c>
      <c r="AW52" s="1025">
        <v>0</v>
      </c>
      <c r="AX52" s="1025">
        <v>0</v>
      </c>
      <c r="AY52" s="1025">
        <v>0</v>
      </c>
      <c r="AZ52" s="1025">
        <v>0</v>
      </c>
      <c r="BA52" s="1025">
        <v>0</v>
      </c>
      <c r="BB52" s="1026">
        <v>0</v>
      </c>
      <c r="BC52" s="1026">
        <v>5500000</v>
      </c>
      <c r="BD52" s="1027">
        <v>0</v>
      </c>
      <c r="BE52" s="1027">
        <v>5500000</v>
      </c>
      <c r="BG52" s="909"/>
      <c r="BH52" s="1028"/>
    </row>
    <row r="53" spans="1:60" ht="13.95" customHeight="1">
      <c r="A53" s="1017" t="s">
        <v>121</v>
      </c>
      <c r="B53" s="1017" t="s">
        <v>122</v>
      </c>
      <c r="C53" s="1025">
        <v>0</v>
      </c>
      <c r="D53" s="1025">
        <v>0</v>
      </c>
      <c r="E53" s="1025">
        <v>7000000</v>
      </c>
      <c r="F53" s="1025">
        <v>0</v>
      </c>
      <c r="G53" s="1025">
        <v>0</v>
      </c>
      <c r="H53" s="1025">
        <v>0</v>
      </c>
      <c r="I53" s="1025">
        <v>18500000</v>
      </c>
      <c r="J53" s="1025">
        <v>0</v>
      </c>
      <c r="K53" s="1025">
        <v>20000000</v>
      </c>
      <c r="L53" s="1025">
        <v>0</v>
      </c>
      <c r="M53" s="1025">
        <v>0</v>
      </c>
      <c r="N53" s="1025">
        <v>0</v>
      </c>
      <c r="O53" s="1025">
        <v>0</v>
      </c>
      <c r="P53" s="1025">
        <v>0</v>
      </c>
      <c r="Q53" s="1026">
        <v>45500000</v>
      </c>
      <c r="R53" s="1025">
        <v>0</v>
      </c>
      <c r="S53" s="1026">
        <v>0</v>
      </c>
      <c r="T53" s="1025">
        <v>0</v>
      </c>
      <c r="U53" s="1025">
        <v>0</v>
      </c>
      <c r="V53" s="1025">
        <v>0</v>
      </c>
      <c r="W53" s="1025">
        <v>0</v>
      </c>
      <c r="X53" s="1025">
        <v>0</v>
      </c>
      <c r="Y53" s="1025">
        <v>0</v>
      </c>
      <c r="Z53" s="1025">
        <v>0</v>
      </c>
      <c r="AA53" s="1025">
        <v>0</v>
      </c>
      <c r="AB53" s="1025">
        <v>0</v>
      </c>
      <c r="AC53" s="1025">
        <v>0</v>
      </c>
      <c r="AD53" s="1025">
        <v>0</v>
      </c>
      <c r="AE53" s="1025">
        <v>0</v>
      </c>
      <c r="AF53" s="1025">
        <v>0</v>
      </c>
      <c r="AG53" s="1025">
        <v>0</v>
      </c>
      <c r="AH53" s="1025">
        <v>0</v>
      </c>
      <c r="AI53" s="1025">
        <v>0</v>
      </c>
      <c r="AJ53" s="1025">
        <v>0</v>
      </c>
      <c r="AK53" s="1025">
        <v>0</v>
      </c>
      <c r="AL53" s="1025">
        <v>0</v>
      </c>
      <c r="AM53" s="1025">
        <v>0</v>
      </c>
      <c r="AN53" s="1025">
        <v>0</v>
      </c>
      <c r="AO53" s="1025">
        <v>0</v>
      </c>
      <c r="AP53" s="1025">
        <v>0</v>
      </c>
      <c r="AQ53" s="1025">
        <v>0</v>
      </c>
      <c r="AR53" s="1025">
        <v>0</v>
      </c>
      <c r="AS53" s="1025">
        <v>0</v>
      </c>
      <c r="AT53" s="1026">
        <v>0</v>
      </c>
      <c r="AU53" s="1025">
        <v>0</v>
      </c>
      <c r="AV53" s="1025">
        <v>0</v>
      </c>
      <c r="AW53" s="1025">
        <v>0</v>
      </c>
      <c r="AX53" s="1025">
        <v>0</v>
      </c>
      <c r="AY53" s="1025">
        <v>0</v>
      </c>
      <c r="AZ53" s="1025">
        <v>0</v>
      </c>
      <c r="BA53" s="1025">
        <v>0</v>
      </c>
      <c r="BB53" s="1026">
        <v>0</v>
      </c>
      <c r="BC53" s="1026">
        <v>45500000</v>
      </c>
      <c r="BD53" s="1027">
        <v>0</v>
      </c>
      <c r="BE53" s="1027">
        <v>45500000</v>
      </c>
      <c r="BG53" s="909"/>
      <c r="BH53" s="1028"/>
    </row>
    <row r="54" spans="1:60" ht="13.95" customHeight="1">
      <c r="A54" s="1017" t="s">
        <v>123</v>
      </c>
      <c r="B54" s="1017" t="s">
        <v>528</v>
      </c>
      <c r="C54" s="1025">
        <v>0</v>
      </c>
      <c r="D54" s="1025">
        <v>0</v>
      </c>
      <c r="E54" s="1025">
        <v>0</v>
      </c>
      <c r="F54" s="1025">
        <v>0</v>
      </c>
      <c r="G54" s="1025">
        <v>0</v>
      </c>
      <c r="H54" s="1025">
        <v>0</v>
      </c>
      <c r="I54" s="1025">
        <v>0</v>
      </c>
      <c r="J54" s="1025">
        <v>0</v>
      </c>
      <c r="K54" s="1025">
        <v>0</v>
      </c>
      <c r="L54" s="1025">
        <v>0</v>
      </c>
      <c r="M54" s="1025">
        <v>0</v>
      </c>
      <c r="N54" s="1025">
        <v>7000000</v>
      </c>
      <c r="O54" s="1025">
        <v>0</v>
      </c>
      <c r="P54" s="1025">
        <v>0</v>
      </c>
      <c r="Q54" s="1026">
        <v>7000000</v>
      </c>
      <c r="R54" s="1025">
        <v>0</v>
      </c>
      <c r="S54" s="1026">
        <v>0</v>
      </c>
      <c r="T54" s="1025">
        <v>0</v>
      </c>
      <c r="U54" s="1025">
        <v>0</v>
      </c>
      <c r="V54" s="1025">
        <v>0</v>
      </c>
      <c r="W54" s="1025">
        <v>0</v>
      </c>
      <c r="X54" s="1025">
        <v>0</v>
      </c>
      <c r="Y54" s="1025">
        <v>0</v>
      </c>
      <c r="Z54" s="1025">
        <v>0</v>
      </c>
      <c r="AA54" s="1025">
        <v>0</v>
      </c>
      <c r="AB54" s="1025">
        <v>0</v>
      </c>
      <c r="AC54" s="1025">
        <v>0</v>
      </c>
      <c r="AD54" s="1025">
        <v>0</v>
      </c>
      <c r="AE54" s="1025">
        <v>0</v>
      </c>
      <c r="AF54" s="1025">
        <v>0</v>
      </c>
      <c r="AG54" s="1025">
        <v>71000000</v>
      </c>
      <c r="AH54" s="1025">
        <v>0</v>
      </c>
      <c r="AI54" s="1025">
        <v>0</v>
      </c>
      <c r="AJ54" s="1025">
        <v>0</v>
      </c>
      <c r="AK54" s="1025">
        <v>0</v>
      </c>
      <c r="AL54" s="1025">
        <v>0</v>
      </c>
      <c r="AM54" s="1025">
        <v>0</v>
      </c>
      <c r="AN54" s="1025">
        <v>0</v>
      </c>
      <c r="AO54" s="1025">
        <v>0</v>
      </c>
      <c r="AP54" s="1025">
        <v>0</v>
      </c>
      <c r="AQ54" s="1025">
        <v>0</v>
      </c>
      <c r="AR54" s="1025">
        <v>0</v>
      </c>
      <c r="AS54" s="1025">
        <v>0</v>
      </c>
      <c r="AT54" s="1026">
        <v>71000000</v>
      </c>
      <c r="AU54" s="1025">
        <v>0</v>
      </c>
      <c r="AV54" s="1025">
        <v>0</v>
      </c>
      <c r="AW54" s="1025">
        <v>0</v>
      </c>
      <c r="AX54" s="1025">
        <v>0</v>
      </c>
      <c r="AY54" s="1025">
        <v>0</v>
      </c>
      <c r="AZ54" s="1025">
        <v>0</v>
      </c>
      <c r="BA54" s="1025">
        <v>0</v>
      </c>
      <c r="BB54" s="1026">
        <v>0</v>
      </c>
      <c r="BC54" s="1026">
        <v>78000000</v>
      </c>
      <c r="BD54" s="1027">
        <v>71000000</v>
      </c>
      <c r="BE54" s="1027">
        <v>7000000</v>
      </c>
      <c r="BG54" s="909"/>
      <c r="BH54" s="1028"/>
    </row>
    <row r="55" spans="1:60" ht="13.95" customHeight="1">
      <c r="A55" s="1017" t="s">
        <v>125</v>
      </c>
      <c r="B55" s="1017" t="s">
        <v>126</v>
      </c>
      <c r="C55" s="1025">
        <v>3720000</v>
      </c>
      <c r="D55" s="1025">
        <v>330000</v>
      </c>
      <c r="E55" s="1025">
        <v>1316000</v>
      </c>
      <c r="F55" s="1025">
        <v>744000</v>
      </c>
      <c r="G55" s="1025">
        <v>118000</v>
      </c>
      <c r="H55" s="1025">
        <v>424000</v>
      </c>
      <c r="I55" s="1025">
        <v>1886000</v>
      </c>
      <c r="J55" s="1025">
        <v>806000</v>
      </c>
      <c r="K55" s="1025">
        <v>3478000</v>
      </c>
      <c r="L55" s="1025">
        <v>2298000</v>
      </c>
      <c r="M55" s="1025">
        <v>898000</v>
      </c>
      <c r="N55" s="1025">
        <v>5962000</v>
      </c>
      <c r="O55" s="1025">
        <v>0</v>
      </c>
      <c r="P55" s="1025">
        <v>13272000</v>
      </c>
      <c r="Q55" s="1026">
        <v>35252000</v>
      </c>
      <c r="R55" s="1025">
        <v>2532000</v>
      </c>
      <c r="S55" s="1026">
        <v>2532000</v>
      </c>
      <c r="T55" s="1025">
        <v>21925000</v>
      </c>
      <c r="U55" s="1025">
        <v>4466000</v>
      </c>
      <c r="V55" s="1025">
        <v>0</v>
      </c>
      <c r="W55" s="1025">
        <v>0</v>
      </c>
      <c r="X55" s="1025">
        <v>900000</v>
      </c>
      <c r="Y55" s="1025">
        <v>0</v>
      </c>
      <c r="Z55" s="1025">
        <v>0</v>
      </c>
      <c r="AA55" s="1025">
        <v>0</v>
      </c>
      <c r="AB55" s="1025">
        <v>13822000</v>
      </c>
      <c r="AC55" s="1025">
        <v>0</v>
      </c>
      <c r="AD55" s="1025">
        <v>0</v>
      </c>
      <c r="AE55" s="1025">
        <v>0</v>
      </c>
      <c r="AF55" s="1025">
        <v>0</v>
      </c>
      <c r="AG55" s="1025">
        <v>400000</v>
      </c>
      <c r="AH55" s="1025">
        <v>0</v>
      </c>
      <c r="AI55" s="1025">
        <v>0</v>
      </c>
      <c r="AJ55" s="1025">
        <v>0</v>
      </c>
      <c r="AK55" s="1025">
        <v>2016000</v>
      </c>
      <c r="AL55" s="1025">
        <v>1915000</v>
      </c>
      <c r="AM55" s="1025">
        <v>1000000</v>
      </c>
      <c r="AN55" s="1025">
        <v>0</v>
      </c>
      <c r="AO55" s="1025">
        <v>0</v>
      </c>
      <c r="AP55" s="1025">
        <v>1706000</v>
      </c>
      <c r="AQ55" s="1025">
        <v>0</v>
      </c>
      <c r="AR55" s="1025">
        <v>0</v>
      </c>
      <c r="AS55" s="1025">
        <v>0</v>
      </c>
      <c r="AT55" s="1026">
        <v>48150000</v>
      </c>
      <c r="AU55" s="1025">
        <v>0</v>
      </c>
      <c r="AV55" s="1025">
        <v>0</v>
      </c>
      <c r="AW55" s="1025">
        <v>0</v>
      </c>
      <c r="AX55" s="1025">
        <v>0</v>
      </c>
      <c r="AY55" s="1025">
        <v>0</v>
      </c>
      <c r="AZ55" s="1025">
        <v>7557000</v>
      </c>
      <c r="BA55" s="1025">
        <v>4439000</v>
      </c>
      <c r="BB55" s="1026">
        <v>11996000</v>
      </c>
      <c r="BC55" s="1026">
        <v>97930000</v>
      </c>
      <c r="BD55" s="1027">
        <v>5021000</v>
      </c>
      <c r="BE55" s="1027">
        <v>92909000</v>
      </c>
      <c r="BG55" s="909"/>
      <c r="BH55" s="1028"/>
    </row>
    <row r="56" spans="1:60" ht="13.95" customHeight="1">
      <c r="A56" s="1017" t="s">
        <v>127</v>
      </c>
      <c r="B56" s="1017" t="s">
        <v>128</v>
      </c>
      <c r="C56" s="1025">
        <v>60000000</v>
      </c>
      <c r="D56" s="1025">
        <v>0</v>
      </c>
      <c r="E56" s="1025">
        <v>0</v>
      </c>
      <c r="F56" s="1025">
        <v>71000000</v>
      </c>
      <c r="G56" s="1025">
        <v>0</v>
      </c>
      <c r="H56" s="1025">
        <v>0</v>
      </c>
      <c r="I56" s="1025">
        <v>0</v>
      </c>
      <c r="J56" s="1025">
        <v>0</v>
      </c>
      <c r="K56" s="1025">
        <v>75000000</v>
      </c>
      <c r="L56" s="1025">
        <v>0</v>
      </c>
      <c r="M56" s="1025">
        <v>0</v>
      </c>
      <c r="N56" s="1025">
        <v>120000000</v>
      </c>
      <c r="O56" s="1025">
        <v>0</v>
      </c>
      <c r="P56" s="1025">
        <v>1750000</v>
      </c>
      <c r="Q56" s="1026">
        <v>327750000</v>
      </c>
      <c r="R56" s="1025">
        <v>50800000</v>
      </c>
      <c r="S56" s="1026">
        <v>50800000</v>
      </c>
      <c r="T56" s="1025">
        <v>85000000</v>
      </c>
      <c r="U56" s="1025">
        <v>0</v>
      </c>
      <c r="V56" s="1025">
        <v>0</v>
      </c>
      <c r="W56" s="1025">
        <v>0</v>
      </c>
      <c r="X56" s="1025">
        <v>0</v>
      </c>
      <c r="Y56" s="1025">
        <v>0</v>
      </c>
      <c r="Z56" s="1025">
        <v>16000000</v>
      </c>
      <c r="AA56" s="1025">
        <v>0</v>
      </c>
      <c r="AB56" s="1025">
        <v>0</v>
      </c>
      <c r="AC56" s="1025">
        <v>0</v>
      </c>
      <c r="AD56" s="1025">
        <v>0</v>
      </c>
      <c r="AE56" s="1025">
        <v>0</v>
      </c>
      <c r="AF56" s="1025">
        <v>0</v>
      </c>
      <c r="AG56" s="1025">
        <v>0</v>
      </c>
      <c r="AH56" s="1025">
        <v>0</v>
      </c>
      <c r="AI56" s="1025">
        <v>0</v>
      </c>
      <c r="AJ56" s="1025">
        <v>0</v>
      </c>
      <c r="AK56" s="1025">
        <v>50000000</v>
      </c>
      <c r="AL56" s="1025">
        <v>0</v>
      </c>
      <c r="AM56" s="1025">
        <v>0</v>
      </c>
      <c r="AN56" s="1025">
        <v>0</v>
      </c>
      <c r="AO56" s="1025">
        <v>0</v>
      </c>
      <c r="AP56" s="1025">
        <v>0</v>
      </c>
      <c r="AQ56" s="1025">
        <v>0</v>
      </c>
      <c r="AR56" s="1025">
        <v>0</v>
      </c>
      <c r="AS56" s="1025">
        <v>0</v>
      </c>
      <c r="AT56" s="1026">
        <v>151000000</v>
      </c>
      <c r="AU56" s="1025">
        <v>0</v>
      </c>
      <c r="AV56" s="1025">
        <v>0</v>
      </c>
      <c r="AW56" s="1025">
        <v>0</v>
      </c>
      <c r="AX56" s="1025">
        <v>0</v>
      </c>
      <c r="AY56" s="1025">
        <v>0</v>
      </c>
      <c r="AZ56" s="1025">
        <v>88000000</v>
      </c>
      <c r="BA56" s="1025">
        <v>28500000</v>
      </c>
      <c r="BB56" s="1026">
        <v>116500000</v>
      </c>
      <c r="BC56" s="1026">
        <v>646050000</v>
      </c>
      <c r="BD56" s="1027">
        <v>0</v>
      </c>
      <c r="BE56" s="1027">
        <v>646050000</v>
      </c>
      <c r="BG56" s="909"/>
      <c r="BH56" s="1028"/>
    </row>
    <row r="57" spans="1:60" ht="13.95" customHeight="1">
      <c r="A57" s="1029"/>
      <c r="B57" s="1030" t="s">
        <v>742</v>
      </c>
      <c r="C57" s="1031">
        <v>63720000</v>
      </c>
      <c r="D57" s="1031">
        <v>330000</v>
      </c>
      <c r="E57" s="1031">
        <v>13816000</v>
      </c>
      <c r="F57" s="1031">
        <v>71744000</v>
      </c>
      <c r="G57" s="1031">
        <v>118000</v>
      </c>
      <c r="H57" s="1031">
        <v>424000</v>
      </c>
      <c r="I57" s="1031">
        <v>20386000</v>
      </c>
      <c r="J57" s="1031">
        <v>806000</v>
      </c>
      <c r="K57" s="1031">
        <v>98478000</v>
      </c>
      <c r="L57" s="1031">
        <v>2298000</v>
      </c>
      <c r="M57" s="1031">
        <v>898000</v>
      </c>
      <c r="N57" s="1031">
        <v>132962000</v>
      </c>
      <c r="O57" s="1031">
        <v>0</v>
      </c>
      <c r="P57" s="1031">
        <v>15022000</v>
      </c>
      <c r="Q57" s="1031">
        <v>421002000</v>
      </c>
      <c r="R57" s="1031">
        <v>53332000</v>
      </c>
      <c r="S57" s="1031">
        <v>53332000</v>
      </c>
      <c r="T57" s="1031">
        <v>106925000</v>
      </c>
      <c r="U57" s="1031">
        <v>4466000</v>
      </c>
      <c r="V57" s="1031">
        <v>0</v>
      </c>
      <c r="W57" s="1031">
        <v>0</v>
      </c>
      <c r="X57" s="1031">
        <v>900000</v>
      </c>
      <c r="Y57" s="1031">
        <v>0</v>
      </c>
      <c r="Z57" s="1031">
        <v>16000000</v>
      </c>
      <c r="AA57" s="1031">
        <v>0</v>
      </c>
      <c r="AB57" s="1031">
        <v>13822000</v>
      </c>
      <c r="AC57" s="1031">
        <v>0</v>
      </c>
      <c r="AD57" s="1031">
        <v>0</v>
      </c>
      <c r="AE57" s="1031">
        <v>0</v>
      </c>
      <c r="AF57" s="1031">
        <v>0</v>
      </c>
      <c r="AG57" s="1031">
        <v>71400000</v>
      </c>
      <c r="AH57" s="1031">
        <v>0</v>
      </c>
      <c r="AI57" s="1031">
        <v>0</v>
      </c>
      <c r="AJ57" s="1031">
        <v>0</v>
      </c>
      <c r="AK57" s="1031">
        <v>52016000</v>
      </c>
      <c r="AL57" s="1031">
        <v>1915000</v>
      </c>
      <c r="AM57" s="1031">
        <v>1000000</v>
      </c>
      <c r="AN57" s="1031">
        <v>0</v>
      </c>
      <c r="AO57" s="1031">
        <v>0</v>
      </c>
      <c r="AP57" s="1031">
        <v>1706000</v>
      </c>
      <c r="AQ57" s="1031">
        <v>0</v>
      </c>
      <c r="AR57" s="1031">
        <v>0</v>
      </c>
      <c r="AS57" s="1031">
        <v>0</v>
      </c>
      <c r="AT57" s="1031">
        <v>270150000</v>
      </c>
      <c r="AU57" s="1031">
        <v>0</v>
      </c>
      <c r="AV57" s="1031">
        <v>0</v>
      </c>
      <c r="AW57" s="1031">
        <v>0</v>
      </c>
      <c r="AX57" s="1031">
        <v>0</v>
      </c>
      <c r="AY57" s="1031">
        <v>0</v>
      </c>
      <c r="AZ57" s="1031">
        <v>95557000</v>
      </c>
      <c r="BA57" s="1031">
        <v>32939000</v>
      </c>
      <c r="BB57" s="1031">
        <v>128496000</v>
      </c>
      <c r="BC57" s="1031">
        <v>872980000</v>
      </c>
      <c r="BD57" s="1032">
        <v>76021000</v>
      </c>
      <c r="BE57" s="1032">
        <v>796959000</v>
      </c>
      <c r="BG57" s="909"/>
      <c r="BH57" s="1028"/>
    </row>
    <row r="58" spans="1:60" ht="13.95" customHeight="1">
      <c r="A58" s="1017" t="s">
        <v>131</v>
      </c>
      <c r="B58" s="1017" t="s">
        <v>458</v>
      </c>
      <c r="C58" s="1025">
        <v>0</v>
      </c>
      <c r="D58" s="1025">
        <v>0</v>
      </c>
      <c r="E58" s="1025">
        <v>80000</v>
      </c>
      <c r="F58" s="1025">
        <v>0</v>
      </c>
      <c r="G58" s="1025">
        <v>0</v>
      </c>
      <c r="H58" s="1025">
        <v>0</v>
      </c>
      <c r="I58" s="1025">
        <v>0</v>
      </c>
      <c r="J58" s="1025">
        <v>0</v>
      </c>
      <c r="K58" s="1025">
        <v>0</v>
      </c>
      <c r="L58" s="1025">
        <v>0</v>
      </c>
      <c r="M58" s="1025">
        <v>0</v>
      </c>
      <c r="N58" s="1025">
        <v>0</v>
      </c>
      <c r="O58" s="1025">
        <v>0</v>
      </c>
      <c r="P58" s="1025">
        <v>800000</v>
      </c>
      <c r="Q58" s="1026">
        <v>880000</v>
      </c>
      <c r="R58" s="1025">
        <v>0</v>
      </c>
      <c r="S58" s="1026">
        <v>0</v>
      </c>
      <c r="T58" s="1025">
        <v>0</v>
      </c>
      <c r="U58" s="1025">
        <v>1000000</v>
      </c>
      <c r="V58" s="1025">
        <v>0</v>
      </c>
      <c r="W58" s="1025">
        <v>1500000</v>
      </c>
      <c r="X58" s="1025">
        <v>500000</v>
      </c>
      <c r="Y58" s="1025">
        <v>0</v>
      </c>
      <c r="Z58" s="1025">
        <v>0</v>
      </c>
      <c r="AA58" s="1025">
        <v>0</v>
      </c>
      <c r="AB58" s="1025">
        <v>0</v>
      </c>
      <c r="AC58" s="1025">
        <v>745000</v>
      </c>
      <c r="AD58" s="1025">
        <v>210000</v>
      </c>
      <c r="AE58" s="1025">
        <v>0</v>
      </c>
      <c r="AF58" s="1025">
        <v>0</v>
      </c>
      <c r="AG58" s="1025">
        <v>600000</v>
      </c>
      <c r="AH58" s="1025">
        <v>0</v>
      </c>
      <c r="AI58" s="1025">
        <v>0</v>
      </c>
      <c r="AJ58" s="1025">
        <v>0</v>
      </c>
      <c r="AK58" s="1025">
        <v>0</v>
      </c>
      <c r="AL58" s="1025">
        <v>350000</v>
      </c>
      <c r="AM58" s="1025">
        <v>250000</v>
      </c>
      <c r="AN58" s="1025">
        <v>0</v>
      </c>
      <c r="AO58" s="1025">
        <v>500000</v>
      </c>
      <c r="AP58" s="1025">
        <v>0</v>
      </c>
      <c r="AQ58" s="1025">
        <v>0</v>
      </c>
      <c r="AR58" s="1025">
        <v>0</v>
      </c>
      <c r="AS58" s="1025">
        <v>0</v>
      </c>
      <c r="AT58" s="1026">
        <v>5655000</v>
      </c>
      <c r="AU58" s="1025">
        <v>0</v>
      </c>
      <c r="AV58" s="1025">
        <v>0</v>
      </c>
      <c r="AW58" s="1025">
        <v>0</v>
      </c>
      <c r="AX58" s="1025">
        <v>0</v>
      </c>
      <c r="AY58" s="1025">
        <v>0</v>
      </c>
      <c r="AZ58" s="1025">
        <v>0</v>
      </c>
      <c r="BA58" s="1025">
        <v>0</v>
      </c>
      <c r="BB58" s="1026">
        <v>0</v>
      </c>
      <c r="BC58" s="1026">
        <v>6535000</v>
      </c>
      <c r="BD58" s="1027">
        <v>1200000</v>
      </c>
      <c r="BE58" s="1027">
        <v>5335000</v>
      </c>
      <c r="BG58" s="909"/>
      <c r="BH58" s="1028"/>
    </row>
    <row r="59" spans="1:60" ht="13.95" customHeight="1">
      <c r="A59" s="1017" t="s">
        <v>133</v>
      </c>
      <c r="B59" s="1017" t="s">
        <v>456</v>
      </c>
      <c r="C59" s="1025">
        <v>0</v>
      </c>
      <c r="D59" s="1025">
        <v>0</v>
      </c>
      <c r="E59" s="1025">
        <v>200000</v>
      </c>
      <c r="F59" s="1025">
        <v>0</v>
      </c>
      <c r="G59" s="1025">
        <v>0</v>
      </c>
      <c r="H59" s="1025">
        <v>0</v>
      </c>
      <c r="I59" s="1025">
        <v>0</v>
      </c>
      <c r="J59" s="1025">
        <v>0</v>
      </c>
      <c r="K59" s="1025">
        <v>0</v>
      </c>
      <c r="L59" s="1025">
        <v>0</v>
      </c>
      <c r="M59" s="1025">
        <v>1500000</v>
      </c>
      <c r="N59" s="1025">
        <v>0</v>
      </c>
      <c r="O59" s="1025">
        <v>0</v>
      </c>
      <c r="P59" s="1025">
        <v>3000000</v>
      </c>
      <c r="Q59" s="1026">
        <v>4700000</v>
      </c>
      <c r="R59" s="1025">
        <v>0</v>
      </c>
      <c r="S59" s="1026">
        <v>0</v>
      </c>
      <c r="T59" s="1025">
        <v>0</v>
      </c>
      <c r="U59" s="1025">
        <v>159500000</v>
      </c>
      <c r="V59" s="1025">
        <v>250000</v>
      </c>
      <c r="W59" s="1025">
        <v>96000000</v>
      </c>
      <c r="X59" s="1025">
        <v>50000000</v>
      </c>
      <c r="Y59" s="1025">
        <v>0</v>
      </c>
      <c r="Z59" s="1025">
        <v>0</v>
      </c>
      <c r="AA59" s="1025">
        <v>0</v>
      </c>
      <c r="AB59" s="1025">
        <v>0</v>
      </c>
      <c r="AC59" s="1025">
        <v>14000000</v>
      </c>
      <c r="AD59" s="1025">
        <v>50000000</v>
      </c>
      <c r="AE59" s="1025">
        <v>0</v>
      </c>
      <c r="AF59" s="1025">
        <v>80000</v>
      </c>
      <c r="AG59" s="1025">
        <v>67500000</v>
      </c>
      <c r="AH59" s="1025">
        <v>0</v>
      </c>
      <c r="AI59" s="1025">
        <v>0</v>
      </c>
      <c r="AJ59" s="1025">
        <v>0</v>
      </c>
      <c r="AK59" s="1025">
        <v>0</v>
      </c>
      <c r="AL59" s="1025">
        <v>266000000</v>
      </c>
      <c r="AM59" s="1025">
        <v>55000000</v>
      </c>
      <c r="AN59" s="1025">
        <v>0</v>
      </c>
      <c r="AO59" s="1025">
        <v>27500000</v>
      </c>
      <c r="AP59" s="1025">
        <v>0</v>
      </c>
      <c r="AQ59" s="1025">
        <v>0</v>
      </c>
      <c r="AR59" s="1025">
        <v>0</v>
      </c>
      <c r="AS59" s="1025">
        <v>0</v>
      </c>
      <c r="AT59" s="1026">
        <v>785830000</v>
      </c>
      <c r="AU59" s="1025">
        <v>0</v>
      </c>
      <c r="AV59" s="1025">
        <v>0</v>
      </c>
      <c r="AW59" s="1025">
        <v>0</v>
      </c>
      <c r="AX59" s="1025">
        <v>0</v>
      </c>
      <c r="AY59" s="1025">
        <v>0</v>
      </c>
      <c r="AZ59" s="1025">
        <v>0</v>
      </c>
      <c r="BA59" s="1025">
        <v>500000</v>
      </c>
      <c r="BB59" s="1026">
        <v>500000</v>
      </c>
      <c r="BC59" s="1026">
        <v>791030000</v>
      </c>
      <c r="BD59" s="1027">
        <v>388500000</v>
      </c>
      <c r="BE59" s="1027">
        <v>402530000</v>
      </c>
      <c r="BG59" s="909"/>
      <c r="BH59" s="1028"/>
    </row>
    <row r="60" spans="1:60" ht="13.95" customHeight="1">
      <c r="A60" s="1017" t="s">
        <v>134</v>
      </c>
      <c r="B60" s="1017" t="s">
        <v>135</v>
      </c>
      <c r="C60" s="1025">
        <v>9000000</v>
      </c>
      <c r="D60" s="1025">
        <v>0</v>
      </c>
      <c r="E60" s="1025">
        <v>1500000</v>
      </c>
      <c r="F60" s="1025">
        <v>0</v>
      </c>
      <c r="G60" s="1025">
        <v>0</v>
      </c>
      <c r="H60" s="1025">
        <v>0</v>
      </c>
      <c r="I60" s="1025">
        <v>0</v>
      </c>
      <c r="J60" s="1025">
        <v>0</v>
      </c>
      <c r="K60" s="1025">
        <v>0</v>
      </c>
      <c r="L60" s="1025">
        <v>0</v>
      </c>
      <c r="M60" s="1025">
        <v>0</v>
      </c>
      <c r="N60" s="1025">
        <v>0</v>
      </c>
      <c r="O60" s="1025">
        <v>0</v>
      </c>
      <c r="P60" s="1025">
        <v>0</v>
      </c>
      <c r="Q60" s="1026">
        <v>10500000</v>
      </c>
      <c r="R60" s="1025">
        <v>500000</v>
      </c>
      <c r="S60" s="1026">
        <v>500000</v>
      </c>
      <c r="T60" s="1025">
        <v>0</v>
      </c>
      <c r="U60" s="1025">
        <v>450000</v>
      </c>
      <c r="V60" s="1025">
        <v>350000</v>
      </c>
      <c r="W60" s="1025">
        <v>0</v>
      </c>
      <c r="X60" s="1025">
        <v>0</v>
      </c>
      <c r="Y60" s="1025">
        <v>0</v>
      </c>
      <c r="Z60" s="1025">
        <v>0</v>
      </c>
      <c r="AA60" s="1025">
        <v>0</v>
      </c>
      <c r="AB60" s="1025">
        <v>0</v>
      </c>
      <c r="AC60" s="1025">
        <v>1200000</v>
      </c>
      <c r="AD60" s="1025">
        <v>0</v>
      </c>
      <c r="AE60" s="1025">
        <v>0</v>
      </c>
      <c r="AF60" s="1025">
        <v>0</v>
      </c>
      <c r="AG60" s="1025">
        <v>1500000</v>
      </c>
      <c r="AH60" s="1025">
        <v>0</v>
      </c>
      <c r="AI60" s="1025">
        <v>0</v>
      </c>
      <c r="AJ60" s="1025">
        <v>1500000</v>
      </c>
      <c r="AK60" s="1025">
        <v>0</v>
      </c>
      <c r="AL60" s="1025">
        <v>0</v>
      </c>
      <c r="AM60" s="1025">
        <v>0</v>
      </c>
      <c r="AN60" s="1025">
        <v>0</v>
      </c>
      <c r="AO60" s="1025">
        <v>0</v>
      </c>
      <c r="AP60" s="1025">
        <v>0</v>
      </c>
      <c r="AQ60" s="1025">
        <v>0</v>
      </c>
      <c r="AR60" s="1025">
        <v>0</v>
      </c>
      <c r="AS60" s="1025">
        <v>0</v>
      </c>
      <c r="AT60" s="1026">
        <v>5000000</v>
      </c>
      <c r="AU60" s="1025">
        <v>0</v>
      </c>
      <c r="AV60" s="1025">
        <v>0</v>
      </c>
      <c r="AW60" s="1025">
        <v>0</v>
      </c>
      <c r="AX60" s="1025">
        <v>0</v>
      </c>
      <c r="AY60" s="1025">
        <v>0</v>
      </c>
      <c r="AZ60" s="1025">
        <v>0</v>
      </c>
      <c r="BA60" s="1025">
        <v>0</v>
      </c>
      <c r="BB60" s="1026">
        <v>0</v>
      </c>
      <c r="BC60" s="1026">
        <v>16000000</v>
      </c>
      <c r="BD60" s="1027">
        <v>1500000</v>
      </c>
      <c r="BE60" s="1027">
        <v>14500000</v>
      </c>
      <c r="BG60" s="909"/>
      <c r="BH60" s="1028"/>
    </row>
    <row r="61" spans="1:60" ht="13.95" customHeight="1">
      <c r="A61" s="1017" t="s">
        <v>136</v>
      </c>
      <c r="B61" s="1017" t="s">
        <v>365</v>
      </c>
      <c r="C61" s="1025">
        <v>8000000</v>
      </c>
      <c r="D61" s="1025">
        <v>0</v>
      </c>
      <c r="E61" s="1025">
        <v>2000000</v>
      </c>
      <c r="F61" s="1025">
        <v>0</v>
      </c>
      <c r="G61" s="1025">
        <v>0</v>
      </c>
      <c r="H61" s="1025">
        <v>0</v>
      </c>
      <c r="I61" s="1025">
        <v>0</v>
      </c>
      <c r="J61" s="1025">
        <v>0</v>
      </c>
      <c r="K61" s="1025">
        <v>0</v>
      </c>
      <c r="L61" s="1025">
        <v>0</v>
      </c>
      <c r="M61" s="1025">
        <v>0</v>
      </c>
      <c r="N61" s="1025">
        <v>0</v>
      </c>
      <c r="O61" s="1025">
        <v>0</v>
      </c>
      <c r="P61" s="1025">
        <v>0</v>
      </c>
      <c r="Q61" s="1026">
        <v>10000000</v>
      </c>
      <c r="R61" s="1025">
        <v>500000</v>
      </c>
      <c r="S61" s="1026">
        <v>500000</v>
      </c>
      <c r="T61" s="1025">
        <v>0</v>
      </c>
      <c r="U61" s="1025">
        <v>800000</v>
      </c>
      <c r="V61" s="1025">
        <v>450000</v>
      </c>
      <c r="W61" s="1025">
        <v>0</v>
      </c>
      <c r="X61" s="1025">
        <v>0</v>
      </c>
      <c r="Y61" s="1025">
        <v>0</v>
      </c>
      <c r="Z61" s="1025">
        <v>0</v>
      </c>
      <c r="AA61" s="1025">
        <v>0</v>
      </c>
      <c r="AB61" s="1025">
        <v>0</v>
      </c>
      <c r="AC61" s="1025">
        <v>1400000</v>
      </c>
      <c r="AD61" s="1025">
        <v>0</v>
      </c>
      <c r="AE61" s="1025">
        <v>0</v>
      </c>
      <c r="AF61" s="1025">
        <v>0</v>
      </c>
      <c r="AG61" s="1025">
        <v>1950000</v>
      </c>
      <c r="AH61" s="1025">
        <v>0</v>
      </c>
      <c r="AI61" s="1025">
        <v>0</v>
      </c>
      <c r="AJ61" s="1025">
        <v>3500000</v>
      </c>
      <c r="AK61" s="1025">
        <v>0</v>
      </c>
      <c r="AL61" s="1025">
        <v>0</v>
      </c>
      <c r="AM61" s="1025">
        <v>0</v>
      </c>
      <c r="AN61" s="1025">
        <v>0</v>
      </c>
      <c r="AO61" s="1025">
        <v>0</v>
      </c>
      <c r="AP61" s="1025">
        <v>0</v>
      </c>
      <c r="AQ61" s="1025">
        <v>0</v>
      </c>
      <c r="AR61" s="1025">
        <v>0</v>
      </c>
      <c r="AS61" s="1025">
        <v>0</v>
      </c>
      <c r="AT61" s="1026">
        <v>8100000</v>
      </c>
      <c r="AU61" s="1025">
        <v>0</v>
      </c>
      <c r="AV61" s="1025">
        <v>0</v>
      </c>
      <c r="AW61" s="1025">
        <v>0</v>
      </c>
      <c r="AX61" s="1025">
        <v>0</v>
      </c>
      <c r="AY61" s="1025">
        <v>0</v>
      </c>
      <c r="AZ61" s="1025">
        <v>0</v>
      </c>
      <c r="BA61" s="1025">
        <v>0</v>
      </c>
      <c r="BB61" s="1026">
        <v>0</v>
      </c>
      <c r="BC61" s="1026">
        <v>18600000</v>
      </c>
      <c r="BD61" s="1027">
        <v>1950000</v>
      </c>
      <c r="BE61" s="1027">
        <v>16650000</v>
      </c>
      <c r="BG61" s="909"/>
      <c r="BH61" s="1028"/>
    </row>
    <row r="62" spans="1:60" ht="13.95" customHeight="1">
      <c r="A62" s="1029"/>
      <c r="B62" s="1030" t="s">
        <v>743</v>
      </c>
      <c r="C62" s="1031">
        <v>17000000</v>
      </c>
      <c r="D62" s="1031">
        <v>0</v>
      </c>
      <c r="E62" s="1031">
        <v>3780000</v>
      </c>
      <c r="F62" s="1031">
        <v>0</v>
      </c>
      <c r="G62" s="1031">
        <v>0</v>
      </c>
      <c r="H62" s="1031">
        <v>0</v>
      </c>
      <c r="I62" s="1031">
        <v>0</v>
      </c>
      <c r="J62" s="1031">
        <v>0</v>
      </c>
      <c r="K62" s="1031">
        <v>0</v>
      </c>
      <c r="L62" s="1031">
        <v>0</v>
      </c>
      <c r="M62" s="1031">
        <v>1500000</v>
      </c>
      <c r="N62" s="1031">
        <v>0</v>
      </c>
      <c r="O62" s="1031">
        <v>0</v>
      </c>
      <c r="P62" s="1031">
        <v>3800000</v>
      </c>
      <c r="Q62" s="1031">
        <v>26080000</v>
      </c>
      <c r="R62" s="1031">
        <v>1000000</v>
      </c>
      <c r="S62" s="1031">
        <v>1000000</v>
      </c>
      <c r="T62" s="1031">
        <v>0</v>
      </c>
      <c r="U62" s="1031">
        <v>161750000</v>
      </c>
      <c r="V62" s="1031">
        <v>1050000</v>
      </c>
      <c r="W62" s="1031">
        <v>97500000</v>
      </c>
      <c r="X62" s="1031">
        <v>50500000</v>
      </c>
      <c r="Y62" s="1031">
        <v>0</v>
      </c>
      <c r="Z62" s="1031">
        <v>0</v>
      </c>
      <c r="AA62" s="1031">
        <v>0</v>
      </c>
      <c r="AB62" s="1031">
        <v>0</v>
      </c>
      <c r="AC62" s="1031">
        <v>17345000</v>
      </c>
      <c r="AD62" s="1031">
        <v>50210000</v>
      </c>
      <c r="AE62" s="1031">
        <v>0</v>
      </c>
      <c r="AF62" s="1031">
        <v>80000</v>
      </c>
      <c r="AG62" s="1031">
        <v>71550000</v>
      </c>
      <c r="AH62" s="1031">
        <v>0</v>
      </c>
      <c r="AI62" s="1031">
        <v>0</v>
      </c>
      <c r="AJ62" s="1031">
        <v>5000000</v>
      </c>
      <c r="AK62" s="1031">
        <v>0</v>
      </c>
      <c r="AL62" s="1031">
        <v>266350000</v>
      </c>
      <c r="AM62" s="1031">
        <v>55250000</v>
      </c>
      <c r="AN62" s="1031">
        <v>0</v>
      </c>
      <c r="AO62" s="1031">
        <v>28000000</v>
      </c>
      <c r="AP62" s="1031">
        <v>0</v>
      </c>
      <c r="AQ62" s="1031">
        <v>0</v>
      </c>
      <c r="AR62" s="1031">
        <v>0</v>
      </c>
      <c r="AS62" s="1031">
        <v>0</v>
      </c>
      <c r="AT62" s="1031">
        <v>804585000</v>
      </c>
      <c r="AU62" s="1031">
        <v>0</v>
      </c>
      <c r="AV62" s="1031">
        <v>0</v>
      </c>
      <c r="AW62" s="1031">
        <v>0</v>
      </c>
      <c r="AX62" s="1031">
        <v>0</v>
      </c>
      <c r="AY62" s="1031">
        <v>0</v>
      </c>
      <c r="AZ62" s="1031">
        <v>0</v>
      </c>
      <c r="BA62" s="1031">
        <v>500000</v>
      </c>
      <c r="BB62" s="1031">
        <v>500000</v>
      </c>
      <c r="BC62" s="1031">
        <v>832165000</v>
      </c>
      <c r="BD62" s="1032">
        <v>393150000</v>
      </c>
      <c r="BE62" s="1032">
        <v>439015000</v>
      </c>
      <c r="BG62" s="909"/>
      <c r="BH62" s="1028"/>
    </row>
    <row r="63" spans="1:60">
      <c r="A63" s="1017" t="s">
        <v>138</v>
      </c>
      <c r="B63" s="1017" t="s">
        <v>745</v>
      </c>
      <c r="C63" s="1025">
        <v>1153000</v>
      </c>
      <c r="D63" s="1025">
        <v>74000</v>
      </c>
      <c r="E63" s="1025">
        <v>1187000</v>
      </c>
      <c r="F63" s="1025">
        <v>1677000</v>
      </c>
      <c r="G63" s="1025">
        <v>605000</v>
      </c>
      <c r="H63" s="1025">
        <v>654000</v>
      </c>
      <c r="I63" s="1025">
        <v>1515000</v>
      </c>
      <c r="J63" s="1025">
        <v>1102000</v>
      </c>
      <c r="K63" s="1025">
        <v>3437000</v>
      </c>
      <c r="L63" s="1025">
        <v>303000</v>
      </c>
      <c r="M63" s="1025">
        <v>296000</v>
      </c>
      <c r="N63" s="1025">
        <v>5691000</v>
      </c>
      <c r="O63" s="1025">
        <v>0</v>
      </c>
      <c r="P63" s="1025">
        <v>4072476.19</v>
      </c>
      <c r="Q63" s="1026">
        <v>21766476.190000001</v>
      </c>
      <c r="R63" s="1025">
        <v>3438000</v>
      </c>
      <c r="S63" s="1026">
        <v>3438000</v>
      </c>
      <c r="T63" s="1025">
        <v>17271000</v>
      </c>
      <c r="U63" s="1025">
        <v>3096000</v>
      </c>
      <c r="V63" s="1025">
        <v>1318000</v>
      </c>
      <c r="W63" s="1025">
        <v>3874000</v>
      </c>
      <c r="X63" s="1025">
        <v>1070000</v>
      </c>
      <c r="Y63" s="1025">
        <v>798000</v>
      </c>
      <c r="Z63" s="1025">
        <v>2561000</v>
      </c>
      <c r="AA63" s="1025">
        <v>1177000</v>
      </c>
      <c r="AB63" s="1025">
        <v>25886000</v>
      </c>
      <c r="AC63" s="1025">
        <v>2754000</v>
      </c>
      <c r="AD63" s="1025">
        <v>2928000</v>
      </c>
      <c r="AE63" s="1025">
        <v>1158000</v>
      </c>
      <c r="AF63" s="1025">
        <v>938000</v>
      </c>
      <c r="AG63" s="1025">
        <v>31106000</v>
      </c>
      <c r="AH63" s="1025">
        <v>340000</v>
      </c>
      <c r="AI63" s="1025">
        <v>0</v>
      </c>
      <c r="AJ63" s="1025">
        <v>1004000</v>
      </c>
      <c r="AK63" s="1025">
        <v>793000</v>
      </c>
      <c r="AL63" s="1025">
        <v>17159000</v>
      </c>
      <c r="AM63" s="1025">
        <v>6411000</v>
      </c>
      <c r="AN63" s="1025">
        <v>1305000</v>
      </c>
      <c r="AO63" s="1025">
        <v>2227000</v>
      </c>
      <c r="AP63" s="1025">
        <v>311000</v>
      </c>
      <c r="AQ63" s="1025">
        <v>219000</v>
      </c>
      <c r="AR63" s="1025">
        <v>303000</v>
      </c>
      <c r="AS63" s="1025">
        <v>0</v>
      </c>
      <c r="AT63" s="1026">
        <v>126007000</v>
      </c>
      <c r="AU63" s="1025">
        <v>695000</v>
      </c>
      <c r="AV63" s="1025">
        <v>968000</v>
      </c>
      <c r="AW63" s="1025">
        <v>394000</v>
      </c>
      <c r="AX63" s="1025">
        <v>364000</v>
      </c>
      <c r="AY63" s="1025">
        <v>489000</v>
      </c>
      <c r="AZ63" s="1025">
        <v>0</v>
      </c>
      <c r="BA63" s="1025">
        <v>0</v>
      </c>
      <c r="BB63" s="1026">
        <v>2910000</v>
      </c>
      <c r="BC63" s="1026">
        <v>154121476.19</v>
      </c>
      <c r="BD63" s="1027">
        <v>55509000</v>
      </c>
      <c r="BE63" s="1027">
        <v>98612476.189999998</v>
      </c>
      <c r="BG63" s="909"/>
      <c r="BH63" s="1028"/>
    </row>
    <row r="64" spans="1:60" ht="13.95" customHeight="1">
      <c r="A64" s="1029"/>
      <c r="B64" s="1030" t="s">
        <v>746</v>
      </c>
      <c r="C64" s="1031">
        <v>1153000</v>
      </c>
      <c r="D64" s="1031">
        <v>74000</v>
      </c>
      <c r="E64" s="1031">
        <v>1187000</v>
      </c>
      <c r="F64" s="1031">
        <v>1677000</v>
      </c>
      <c r="G64" s="1031">
        <v>605000</v>
      </c>
      <c r="H64" s="1031">
        <v>654000</v>
      </c>
      <c r="I64" s="1031">
        <v>1515000</v>
      </c>
      <c r="J64" s="1031">
        <v>1102000</v>
      </c>
      <c r="K64" s="1031">
        <v>3437000</v>
      </c>
      <c r="L64" s="1031">
        <v>303000</v>
      </c>
      <c r="M64" s="1031">
        <v>296000</v>
      </c>
      <c r="N64" s="1031">
        <v>5691000</v>
      </c>
      <c r="O64" s="1031">
        <v>0</v>
      </c>
      <c r="P64" s="1031">
        <v>4072476.19</v>
      </c>
      <c r="Q64" s="1031">
        <v>21766476.190000001</v>
      </c>
      <c r="R64" s="1031">
        <v>3438000</v>
      </c>
      <c r="S64" s="1031">
        <v>3438000</v>
      </c>
      <c r="T64" s="1031">
        <v>17271000</v>
      </c>
      <c r="U64" s="1031">
        <v>3096000</v>
      </c>
      <c r="V64" s="1031">
        <v>1318000</v>
      </c>
      <c r="W64" s="1031">
        <v>3874000</v>
      </c>
      <c r="X64" s="1031">
        <v>1070000</v>
      </c>
      <c r="Y64" s="1031">
        <v>798000</v>
      </c>
      <c r="Z64" s="1031">
        <v>2561000</v>
      </c>
      <c r="AA64" s="1031">
        <v>1177000</v>
      </c>
      <c r="AB64" s="1031">
        <v>25886000</v>
      </c>
      <c r="AC64" s="1031">
        <v>2754000</v>
      </c>
      <c r="AD64" s="1031">
        <v>2928000</v>
      </c>
      <c r="AE64" s="1031">
        <v>1158000</v>
      </c>
      <c r="AF64" s="1031">
        <v>938000</v>
      </c>
      <c r="AG64" s="1031">
        <v>31106000</v>
      </c>
      <c r="AH64" s="1031">
        <v>340000</v>
      </c>
      <c r="AI64" s="1031">
        <v>0</v>
      </c>
      <c r="AJ64" s="1031">
        <v>1004000</v>
      </c>
      <c r="AK64" s="1031">
        <v>793000</v>
      </c>
      <c r="AL64" s="1031">
        <v>17159000</v>
      </c>
      <c r="AM64" s="1031">
        <v>6411000</v>
      </c>
      <c r="AN64" s="1031">
        <v>1305000</v>
      </c>
      <c r="AO64" s="1031">
        <v>2227000</v>
      </c>
      <c r="AP64" s="1031">
        <v>311000</v>
      </c>
      <c r="AQ64" s="1031">
        <v>219000</v>
      </c>
      <c r="AR64" s="1031">
        <v>303000</v>
      </c>
      <c r="AS64" s="1031">
        <v>0</v>
      </c>
      <c r="AT64" s="1031">
        <v>126007000</v>
      </c>
      <c r="AU64" s="1031">
        <v>695000</v>
      </c>
      <c r="AV64" s="1031">
        <v>968000</v>
      </c>
      <c r="AW64" s="1031">
        <v>394000</v>
      </c>
      <c r="AX64" s="1031">
        <v>364000</v>
      </c>
      <c r="AY64" s="1031">
        <v>489000</v>
      </c>
      <c r="AZ64" s="1031">
        <v>0</v>
      </c>
      <c r="BA64" s="1031">
        <v>0</v>
      </c>
      <c r="BB64" s="1031">
        <v>2910000</v>
      </c>
      <c r="BC64" s="1031">
        <v>154121476.19</v>
      </c>
      <c r="BD64" s="1032">
        <v>55509000</v>
      </c>
      <c r="BE64" s="1032">
        <v>98612476.189999998</v>
      </c>
      <c r="BG64" s="909"/>
      <c r="BH64" s="1028"/>
    </row>
    <row r="65" spans="1:60" ht="13.95" customHeight="1">
      <c r="A65" s="1017" t="s">
        <v>142</v>
      </c>
      <c r="B65" s="1017" t="s">
        <v>143</v>
      </c>
      <c r="C65" s="1025">
        <v>1000000</v>
      </c>
      <c r="D65" s="1025">
        <v>0</v>
      </c>
      <c r="E65" s="1025">
        <v>6000000</v>
      </c>
      <c r="F65" s="1025">
        <v>0</v>
      </c>
      <c r="G65" s="1025">
        <v>0</v>
      </c>
      <c r="H65" s="1025">
        <v>0</v>
      </c>
      <c r="I65" s="1025">
        <v>0</v>
      </c>
      <c r="J65" s="1025">
        <v>0</v>
      </c>
      <c r="K65" s="1025">
        <v>100000000</v>
      </c>
      <c r="L65" s="1025">
        <v>0</v>
      </c>
      <c r="M65" s="1025">
        <v>0</v>
      </c>
      <c r="N65" s="1025">
        <v>0</v>
      </c>
      <c r="O65" s="1025">
        <v>0</v>
      </c>
      <c r="P65" s="1025">
        <v>0</v>
      </c>
      <c r="Q65" s="1026">
        <v>107000000</v>
      </c>
      <c r="R65" s="1025">
        <v>600000</v>
      </c>
      <c r="S65" s="1026">
        <v>600000</v>
      </c>
      <c r="T65" s="1025">
        <v>0</v>
      </c>
      <c r="U65" s="1025">
        <v>8500000</v>
      </c>
      <c r="V65" s="1025">
        <v>1000000</v>
      </c>
      <c r="W65" s="1025">
        <v>5500000</v>
      </c>
      <c r="X65" s="1025">
        <v>4500000</v>
      </c>
      <c r="Y65" s="1025">
        <v>0</v>
      </c>
      <c r="Z65" s="1025">
        <v>0</v>
      </c>
      <c r="AA65" s="1025">
        <v>0</v>
      </c>
      <c r="AB65" s="1025">
        <v>0</v>
      </c>
      <c r="AC65" s="1025">
        <v>825000</v>
      </c>
      <c r="AD65" s="1025">
        <v>6000000</v>
      </c>
      <c r="AE65" s="1025">
        <v>0</v>
      </c>
      <c r="AF65" s="1025">
        <v>0</v>
      </c>
      <c r="AG65" s="1025">
        <v>19220000</v>
      </c>
      <c r="AH65" s="1025">
        <v>0</v>
      </c>
      <c r="AI65" s="1025">
        <v>0</v>
      </c>
      <c r="AJ65" s="1025">
        <v>0</v>
      </c>
      <c r="AK65" s="1025">
        <v>0</v>
      </c>
      <c r="AL65" s="1025">
        <v>57600000</v>
      </c>
      <c r="AM65" s="1025">
        <v>1230000</v>
      </c>
      <c r="AN65" s="1025">
        <v>0</v>
      </c>
      <c r="AO65" s="1025">
        <v>0</v>
      </c>
      <c r="AP65" s="1025">
        <v>0</v>
      </c>
      <c r="AQ65" s="1025">
        <v>0</v>
      </c>
      <c r="AR65" s="1025">
        <v>0</v>
      </c>
      <c r="AS65" s="1025">
        <v>0</v>
      </c>
      <c r="AT65" s="1026">
        <v>104375000</v>
      </c>
      <c r="AU65" s="1025">
        <v>0</v>
      </c>
      <c r="AV65" s="1025">
        <v>0</v>
      </c>
      <c r="AW65" s="1025">
        <v>0</v>
      </c>
      <c r="AX65" s="1025">
        <v>0</v>
      </c>
      <c r="AY65" s="1025">
        <v>0</v>
      </c>
      <c r="AZ65" s="1025">
        <v>0</v>
      </c>
      <c r="BA65" s="1025">
        <v>5600000</v>
      </c>
      <c r="BB65" s="1026">
        <v>5600000</v>
      </c>
      <c r="BC65" s="1026">
        <v>217575000</v>
      </c>
      <c r="BD65" s="1027">
        <v>78050000</v>
      </c>
      <c r="BE65" s="1027">
        <v>139525000</v>
      </c>
      <c r="BG65" s="909"/>
      <c r="BH65" s="1028"/>
    </row>
    <row r="66" spans="1:60" ht="13.95" customHeight="1">
      <c r="A66" s="1017" t="s">
        <v>144</v>
      </c>
      <c r="B66" s="1017" t="s">
        <v>1355</v>
      </c>
      <c r="C66" s="1025">
        <v>0</v>
      </c>
      <c r="D66" s="1025">
        <v>0</v>
      </c>
      <c r="E66" s="1025">
        <v>0</v>
      </c>
      <c r="F66" s="1025">
        <v>0</v>
      </c>
      <c r="G66" s="1025">
        <v>0</v>
      </c>
      <c r="H66" s="1025">
        <v>0</v>
      </c>
      <c r="I66" s="1025">
        <v>0</v>
      </c>
      <c r="J66" s="1025">
        <v>0</v>
      </c>
      <c r="K66" s="1025">
        <v>1000000</v>
      </c>
      <c r="L66" s="1025">
        <v>0</v>
      </c>
      <c r="M66" s="1025">
        <v>0</v>
      </c>
      <c r="N66" s="1025">
        <v>0</v>
      </c>
      <c r="O66" s="1025">
        <v>0</v>
      </c>
      <c r="P66" s="1025">
        <v>0</v>
      </c>
      <c r="Q66" s="1026">
        <v>1000000</v>
      </c>
      <c r="R66" s="1025">
        <v>0</v>
      </c>
      <c r="S66" s="1026">
        <v>0</v>
      </c>
      <c r="T66" s="1025">
        <v>0</v>
      </c>
      <c r="U66" s="1025">
        <v>0</v>
      </c>
      <c r="V66" s="1025">
        <v>0</v>
      </c>
      <c r="W66" s="1025">
        <v>0</v>
      </c>
      <c r="X66" s="1025">
        <v>0</v>
      </c>
      <c r="Y66" s="1025">
        <v>0</v>
      </c>
      <c r="Z66" s="1025">
        <v>0</v>
      </c>
      <c r="AA66" s="1025">
        <v>0</v>
      </c>
      <c r="AB66" s="1025">
        <v>0</v>
      </c>
      <c r="AC66" s="1025">
        <v>0</v>
      </c>
      <c r="AD66" s="1025">
        <v>0</v>
      </c>
      <c r="AE66" s="1025">
        <v>0</v>
      </c>
      <c r="AF66" s="1025">
        <v>0</v>
      </c>
      <c r="AG66" s="1025">
        <v>0</v>
      </c>
      <c r="AH66" s="1025">
        <v>0</v>
      </c>
      <c r="AI66" s="1025">
        <v>0</v>
      </c>
      <c r="AJ66" s="1025">
        <v>0</v>
      </c>
      <c r="AK66" s="1025">
        <v>0</v>
      </c>
      <c r="AL66" s="1025">
        <v>0</v>
      </c>
      <c r="AM66" s="1025">
        <v>0</v>
      </c>
      <c r="AN66" s="1025">
        <v>0</v>
      </c>
      <c r="AO66" s="1025">
        <v>0</v>
      </c>
      <c r="AP66" s="1025">
        <v>0</v>
      </c>
      <c r="AQ66" s="1025">
        <v>0</v>
      </c>
      <c r="AR66" s="1025">
        <v>0</v>
      </c>
      <c r="AS66" s="1025">
        <v>0</v>
      </c>
      <c r="AT66" s="1026">
        <v>0</v>
      </c>
      <c r="AU66" s="1025">
        <v>0</v>
      </c>
      <c r="AV66" s="1025">
        <v>0</v>
      </c>
      <c r="AW66" s="1025">
        <v>0</v>
      </c>
      <c r="AX66" s="1025">
        <v>0</v>
      </c>
      <c r="AY66" s="1025">
        <v>0</v>
      </c>
      <c r="AZ66" s="1025">
        <v>0</v>
      </c>
      <c r="BA66" s="1025">
        <v>0</v>
      </c>
      <c r="BB66" s="1026">
        <v>0</v>
      </c>
      <c r="BC66" s="1026">
        <v>1000000</v>
      </c>
      <c r="BD66" s="1027">
        <v>0</v>
      </c>
      <c r="BE66" s="1027">
        <v>1000000</v>
      </c>
      <c r="BG66" s="909"/>
      <c r="BH66" s="1028"/>
    </row>
    <row r="67" spans="1:60" ht="13.95" customHeight="1">
      <c r="A67" s="1017" t="s">
        <v>146</v>
      </c>
      <c r="B67" s="1017" t="s">
        <v>147</v>
      </c>
      <c r="C67" s="1025">
        <v>150000</v>
      </c>
      <c r="D67" s="1025">
        <v>0</v>
      </c>
      <c r="E67" s="1025">
        <v>0</v>
      </c>
      <c r="F67" s="1025">
        <v>0</v>
      </c>
      <c r="G67" s="1025">
        <v>0</v>
      </c>
      <c r="H67" s="1025">
        <v>0</v>
      </c>
      <c r="I67" s="1025">
        <v>0</v>
      </c>
      <c r="J67" s="1025">
        <v>0</v>
      </c>
      <c r="K67" s="1025">
        <v>0</v>
      </c>
      <c r="L67" s="1025">
        <v>0</v>
      </c>
      <c r="M67" s="1025">
        <v>0</v>
      </c>
      <c r="N67" s="1025">
        <v>0</v>
      </c>
      <c r="O67" s="1025">
        <v>0</v>
      </c>
      <c r="P67" s="1025">
        <v>0</v>
      </c>
      <c r="Q67" s="1026">
        <v>150000</v>
      </c>
      <c r="R67" s="1025">
        <v>0</v>
      </c>
      <c r="S67" s="1026">
        <v>0</v>
      </c>
      <c r="T67" s="1025">
        <v>0</v>
      </c>
      <c r="U67" s="1025">
        <v>0</v>
      </c>
      <c r="V67" s="1025">
        <v>0</v>
      </c>
      <c r="W67" s="1025">
        <v>0</v>
      </c>
      <c r="X67" s="1025">
        <v>0</v>
      </c>
      <c r="Y67" s="1025">
        <v>0</v>
      </c>
      <c r="Z67" s="1025">
        <v>0</v>
      </c>
      <c r="AA67" s="1025">
        <v>0</v>
      </c>
      <c r="AB67" s="1025">
        <v>0</v>
      </c>
      <c r="AC67" s="1025">
        <v>0</v>
      </c>
      <c r="AD67" s="1025">
        <v>0</v>
      </c>
      <c r="AE67" s="1025">
        <v>0</v>
      </c>
      <c r="AF67" s="1025">
        <v>0</v>
      </c>
      <c r="AG67" s="1025">
        <v>0</v>
      </c>
      <c r="AH67" s="1025">
        <v>0</v>
      </c>
      <c r="AI67" s="1025">
        <v>0</v>
      </c>
      <c r="AJ67" s="1025">
        <v>0</v>
      </c>
      <c r="AK67" s="1025">
        <v>0</v>
      </c>
      <c r="AL67" s="1025">
        <v>0</v>
      </c>
      <c r="AM67" s="1025">
        <v>0</v>
      </c>
      <c r="AN67" s="1025">
        <v>0</v>
      </c>
      <c r="AO67" s="1025">
        <v>0</v>
      </c>
      <c r="AP67" s="1025">
        <v>0</v>
      </c>
      <c r="AQ67" s="1025">
        <v>0</v>
      </c>
      <c r="AR67" s="1025">
        <v>0</v>
      </c>
      <c r="AS67" s="1025">
        <v>0</v>
      </c>
      <c r="AT67" s="1026">
        <v>0</v>
      </c>
      <c r="AU67" s="1025">
        <v>0</v>
      </c>
      <c r="AV67" s="1025">
        <v>0</v>
      </c>
      <c r="AW67" s="1025">
        <v>0</v>
      </c>
      <c r="AX67" s="1025">
        <v>0</v>
      </c>
      <c r="AY67" s="1025">
        <v>0</v>
      </c>
      <c r="AZ67" s="1025">
        <v>0</v>
      </c>
      <c r="BA67" s="1025">
        <v>0</v>
      </c>
      <c r="BB67" s="1026">
        <v>0</v>
      </c>
      <c r="BC67" s="1026">
        <v>150000</v>
      </c>
      <c r="BD67" s="1027">
        <v>0</v>
      </c>
      <c r="BE67" s="1027">
        <v>150000</v>
      </c>
      <c r="BG67" s="909"/>
      <c r="BH67" s="1028"/>
    </row>
    <row r="68" spans="1:60" ht="13.95" customHeight="1">
      <c r="A68" s="1029"/>
      <c r="B68" s="1030" t="s">
        <v>747</v>
      </c>
      <c r="C68" s="1031">
        <v>1150000</v>
      </c>
      <c r="D68" s="1031">
        <v>0</v>
      </c>
      <c r="E68" s="1031">
        <v>6000000</v>
      </c>
      <c r="F68" s="1031">
        <v>0</v>
      </c>
      <c r="G68" s="1031">
        <v>0</v>
      </c>
      <c r="H68" s="1031">
        <v>0</v>
      </c>
      <c r="I68" s="1031">
        <v>0</v>
      </c>
      <c r="J68" s="1031">
        <v>0</v>
      </c>
      <c r="K68" s="1031">
        <v>101000000</v>
      </c>
      <c r="L68" s="1031">
        <v>0</v>
      </c>
      <c r="M68" s="1031">
        <v>0</v>
      </c>
      <c r="N68" s="1031">
        <v>0</v>
      </c>
      <c r="O68" s="1031">
        <v>0</v>
      </c>
      <c r="P68" s="1031">
        <v>0</v>
      </c>
      <c r="Q68" s="1031">
        <v>108150000</v>
      </c>
      <c r="R68" s="1031">
        <v>600000</v>
      </c>
      <c r="S68" s="1031">
        <v>600000</v>
      </c>
      <c r="T68" s="1031">
        <v>0</v>
      </c>
      <c r="U68" s="1031">
        <v>8500000</v>
      </c>
      <c r="V68" s="1031">
        <v>1000000</v>
      </c>
      <c r="W68" s="1031">
        <v>5500000</v>
      </c>
      <c r="X68" s="1031">
        <v>4500000</v>
      </c>
      <c r="Y68" s="1031">
        <v>0</v>
      </c>
      <c r="Z68" s="1031">
        <v>0</v>
      </c>
      <c r="AA68" s="1031">
        <v>0</v>
      </c>
      <c r="AB68" s="1031">
        <v>0</v>
      </c>
      <c r="AC68" s="1031">
        <v>825000</v>
      </c>
      <c r="AD68" s="1031">
        <v>6000000</v>
      </c>
      <c r="AE68" s="1031">
        <v>0</v>
      </c>
      <c r="AF68" s="1031">
        <v>0</v>
      </c>
      <c r="AG68" s="1031">
        <v>19220000</v>
      </c>
      <c r="AH68" s="1031">
        <v>0</v>
      </c>
      <c r="AI68" s="1031">
        <v>0</v>
      </c>
      <c r="AJ68" s="1031">
        <v>0</v>
      </c>
      <c r="AK68" s="1031">
        <v>0</v>
      </c>
      <c r="AL68" s="1031">
        <v>57600000</v>
      </c>
      <c r="AM68" s="1031">
        <v>1230000</v>
      </c>
      <c r="AN68" s="1031">
        <v>0</v>
      </c>
      <c r="AO68" s="1031">
        <v>0</v>
      </c>
      <c r="AP68" s="1031">
        <v>0</v>
      </c>
      <c r="AQ68" s="1031">
        <v>0</v>
      </c>
      <c r="AR68" s="1031">
        <v>0</v>
      </c>
      <c r="AS68" s="1031">
        <v>0</v>
      </c>
      <c r="AT68" s="1031">
        <v>104375000</v>
      </c>
      <c r="AU68" s="1031">
        <v>0</v>
      </c>
      <c r="AV68" s="1031">
        <v>0</v>
      </c>
      <c r="AW68" s="1031">
        <v>0</v>
      </c>
      <c r="AX68" s="1031">
        <v>0</v>
      </c>
      <c r="AY68" s="1031">
        <v>0</v>
      </c>
      <c r="AZ68" s="1031">
        <v>0</v>
      </c>
      <c r="BA68" s="1031">
        <v>5600000</v>
      </c>
      <c r="BB68" s="1031">
        <v>5600000</v>
      </c>
      <c r="BC68" s="1031">
        <v>218725000</v>
      </c>
      <c r="BD68" s="1032">
        <v>78050000</v>
      </c>
      <c r="BE68" s="1032">
        <v>140675000</v>
      </c>
      <c r="BG68" s="909"/>
      <c r="BH68" s="1028"/>
    </row>
    <row r="69" spans="1:60" ht="13.95" customHeight="1">
      <c r="A69" s="1017" t="s">
        <v>150</v>
      </c>
      <c r="B69" s="1017" t="s">
        <v>542</v>
      </c>
      <c r="C69" s="1025">
        <v>0</v>
      </c>
      <c r="D69" s="1025">
        <v>0</v>
      </c>
      <c r="E69" s="1025">
        <v>0</v>
      </c>
      <c r="F69" s="1025">
        <v>0</v>
      </c>
      <c r="G69" s="1025">
        <v>0</v>
      </c>
      <c r="H69" s="1025">
        <v>0</v>
      </c>
      <c r="I69" s="1025">
        <v>0</v>
      </c>
      <c r="J69" s="1025">
        <v>0</v>
      </c>
      <c r="K69" s="1025">
        <v>0</v>
      </c>
      <c r="L69" s="1025">
        <v>0</v>
      </c>
      <c r="M69" s="1025">
        <v>0</v>
      </c>
      <c r="N69" s="1025">
        <v>0</v>
      </c>
      <c r="O69" s="1025">
        <v>0</v>
      </c>
      <c r="P69" s="1025">
        <v>500000</v>
      </c>
      <c r="Q69" s="1026">
        <v>500000</v>
      </c>
      <c r="R69" s="1025">
        <v>0</v>
      </c>
      <c r="S69" s="1026">
        <v>0</v>
      </c>
      <c r="T69" s="1025">
        <v>0</v>
      </c>
      <c r="U69" s="1025">
        <v>0</v>
      </c>
      <c r="V69" s="1025">
        <v>0</v>
      </c>
      <c r="W69" s="1025">
        <v>0</v>
      </c>
      <c r="X69" s="1025">
        <v>0</v>
      </c>
      <c r="Y69" s="1025">
        <v>0</v>
      </c>
      <c r="Z69" s="1025">
        <v>0</v>
      </c>
      <c r="AA69" s="1025">
        <v>0</v>
      </c>
      <c r="AB69" s="1025">
        <v>0</v>
      </c>
      <c r="AC69" s="1025">
        <v>0</v>
      </c>
      <c r="AD69" s="1025">
        <v>0</v>
      </c>
      <c r="AE69" s="1025">
        <v>0</v>
      </c>
      <c r="AF69" s="1025">
        <v>0</v>
      </c>
      <c r="AG69" s="1025">
        <v>0</v>
      </c>
      <c r="AH69" s="1025">
        <v>0</v>
      </c>
      <c r="AI69" s="1025">
        <v>0</v>
      </c>
      <c r="AJ69" s="1025">
        <v>0</v>
      </c>
      <c r="AK69" s="1025">
        <v>0</v>
      </c>
      <c r="AL69" s="1025">
        <v>0</v>
      </c>
      <c r="AM69" s="1025">
        <v>0</v>
      </c>
      <c r="AN69" s="1025">
        <v>0</v>
      </c>
      <c r="AO69" s="1025">
        <v>0</v>
      </c>
      <c r="AP69" s="1025">
        <v>0</v>
      </c>
      <c r="AQ69" s="1025">
        <v>0</v>
      </c>
      <c r="AR69" s="1025">
        <v>0</v>
      </c>
      <c r="AS69" s="1025">
        <v>0</v>
      </c>
      <c r="AT69" s="1026">
        <v>0</v>
      </c>
      <c r="AU69" s="1025">
        <v>0</v>
      </c>
      <c r="AV69" s="1025">
        <v>0</v>
      </c>
      <c r="AW69" s="1025">
        <v>0</v>
      </c>
      <c r="AX69" s="1025">
        <v>0</v>
      </c>
      <c r="AY69" s="1025">
        <v>0</v>
      </c>
      <c r="AZ69" s="1025">
        <v>0</v>
      </c>
      <c r="BA69" s="1025">
        <v>0</v>
      </c>
      <c r="BB69" s="1026">
        <v>0</v>
      </c>
      <c r="BC69" s="1026">
        <v>500000</v>
      </c>
      <c r="BD69" s="1027">
        <v>0</v>
      </c>
      <c r="BE69" s="1027">
        <v>500000</v>
      </c>
      <c r="BG69" s="909"/>
      <c r="BH69" s="1028"/>
    </row>
    <row r="70" spans="1:60" ht="13.95" customHeight="1">
      <c r="A70" s="1017" t="s">
        <v>153</v>
      </c>
      <c r="B70" s="1017" t="s">
        <v>748</v>
      </c>
      <c r="C70" s="1025">
        <v>0</v>
      </c>
      <c r="D70" s="1025">
        <v>0</v>
      </c>
      <c r="E70" s="1025">
        <v>0</v>
      </c>
      <c r="F70" s="1025">
        <v>0</v>
      </c>
      <c r="G70" s="1025">
        <v>0</v>
      </c>
      <c r="H70" s="1025">
        <v>0</v>
      </c>
      <c r="I70" s="1025">
        <v>0</v>
      </c>
      <c r="J70" s="1025">
        <v>0</v>
      </c>
      <c r="K70" s="1025">
        <v>0</v>
      </c>
      <c r="L70" s="1025">
        <v>0</v>
      </c>
      <c r="M70" s="1025">
        <v>0</v>
      </c>
      <c r="N70" s="1025">
        <v>0</v>
      </c>
      <c r="O70" s="1025">
        <v>0</v>
      </c>
      <c r="P70" s="1025">
        <v>5000000</v>
      </c>
      <c r="Q70" s="1026">
        <v>5000000</v>
      </c>
      <c r="R70" s="1025">
        <v>0</v>
      </c>
      <c r="S70" s="1026">
        <v>0</v>
      </c>
      <c r="T70" s="1025">
        <v>28500000</v>
      </c>
      <c r="U70" s="1025">
        <v>0</v>
      </c>
      <c r="V70" s="1025">
        <v>0</v>
      </c>
      <c r="W70" s="1025">
        <v>0</v>
      </c>
      <c r="X70" s="1025">
        <v>0</v>
      </c>
      <c r="Y70" s="1025">
        <v>0</v>
      </c>
      <c r="Z70" s="1025">
        <v>0</v>
      </c>
      <c r="AA70" s="1025">
        <v>0</v>
      </c>
      <c r="AB70" s="1025">
        <v>40367000</v>
      </c>
      <c r="AC70" s="1025">
        <v>3000000</v>
      </c>
      <c r="AD70" s="1025">
        <v>0</v>
      </c>
      <c r="AE70" s="1025">
        <v>0</v>
      </c>
      <c r="AF70" s="1025">
        <v>0</v>
      </c>
      <c r="AG70" s="1025">
        <v>21150000</v>
      </c>
      <c r="AH70" s="1025">
        <v>0</v>
      </c>
      <c r="AI70" s="1025">
        <v>0</v>
      </c>
      <c r="AJ70" s="1025">
        <v>0</v>
      </c>
      <c r="AK70" s="1025">
        <v>0</v>
      </c>
      <c r="AL70" s="1025">
        <v>20195000</v>
      </c>
      <c r="AM70" s="1025">
        <v>1967000</v>
      </c>
      <c r="AN70" s="1025">
        <v>0</v>
      </c>
      <c r="AO70" s="1025">
        <v>1667000</v>
      </c>
      <c r="AP70" s="1025">
        <v>0</v>
      </c>
      <c r="AQ70" s="1025">
        <v>0</v>
      </c>
      <c r="AR70" s="1025">
        <v>0</v>
      </c>
      <c r="AS70" s="1025">
        <v>0</v>
      </c>
      <c r="AT70" s="1026">
        <v>116846000</v>
      </c>
      <c r="AU70" s="1025">
        <v>0</v>
      </c>
      <c r="AV70" s="1025">
        <v>0</v>
      </c>
      <c r="AW70" s="1025">
        <v>0</v>
      </c>
      <c r="AX70" s="1025">
        <v>0</v>
      </c>
      <c r="AY70" s="1025">
        <v>0</v>
      </c>
      <c r="AZ70" s="1025">
        <v>0</v>
      </c>
      <c r="BA70" s="1025">
        <v>0</v>
      </c>
      <c r="BB70" s="1026">
        <v>0</v>
      </c>
      <c r="BC70" s="1026">
        <v>121846000</v>
      </c>
      <c r="BD70" s="1027">
        <v>43312000</v>
      </c>
      <c r="BE70" s="1027">
        <v>78534000</v>
      </c>
      <c r="BG70" s="909"/>
      <c r="BH70" s="1028"/>
    </row>
    <row r="71" spans="1:60" ht="13.95" customHeight="1">
      <c r="A71" s="1017" t="s">
        <v>154</v>
      </c>
      <c r="B71" s="1017" t="s">
        <v>749</v>
      </c>
      <c r="C71" s="1025">
        <v>0</v>
      </c>
      <c r="D71" s="1025">
        <v>0</v>
      </c>
      <c r="E71" s="1025">
        <v>0</v>
      </c>
      <c r="F71" s="1025">
        <v>0</v>
      </c>
      <c r="G71" s="1025">
        <v>0</v>
      </c>
      <c r="H71" s="1025">
        <v>0</v>
      </c>
      <c r="I71" s="1025">
        <v>0</v>
      </c>
      <c r="J71" s="1025">
        <v>0</v>
      </c>
      <c r="K71" s="1025">
        <v>0</v>
      </c>
      <c r="L71" s="1025">
        <v>0</v>
      </c>
      <c r="M71" s="1025">
        <v>0</v>
      </c>
      <c r="N71" s="1025">
        <v>0</v>
      </c>
      <c r="O71" s="1025">
        <v>0</v>
      </c>
      <c r="P71" s="1025">
        <v>1900000</v>
      </c>
      <c r="Q71" s="1026">
        <v>1900000</v>
      </c>
      <c r="R71" s="1025">
        <v>0</v>
      </c>
      <c r="S71" s="1026">
        <v>0</v>
      </c>
      <c r="T71" s="1025">
        <v>0</v>
      </c>
      <c r="U71" s="1025">
        <v>0</v>
      </c>
      <c r="V71" s="1025">
        <v>0</v>
      </c>
      <c r="W71" s="1025">
        <v>0</v>
      </c>
      <c r="X71" s="1025">
        <v>0</v>
      </c>
      <c r="Y71" s="1025">
        <v>0</v>
      </c>
      <c r="Z71" s="1025">
        <v>0</v>
      </c>
      <c r="AA71" s="1025">
        <v>0</v>
      </c>
      <c r="AB71" s="1025">
        <v>0</v>
      </c>
      <c r="AC71" s="1025">
        <v>0</v>
      </c>
      <c r="AD71" s="1025">
        <v>0</v>
      </c>
      <c r="AE71" s="1025">
        <v>0</v>
      </c>
      <c r="AF71" s="1025">
        <v>0</v>
      </c>
      <c r="AG71" s="1025">
        <v>0</v>
      </c>
      <c r="AH71" s="1025">
        <v>0</v>
      </c>
      <c r="AI71" s="1025">
        <v>0</v>
      </c>
      <c r="AJ71" s="1025">
        <v>0</v>
      </c>
      <c r="AK71" s="1025">
        <v>0</v>
      </c>
      <c r="AL71" s="1025">
        <v>0</v>
      </c>
      <c r="AM71" s="1025">
        <v>0</v>
      </c>
      <c r="AN71" s="1025">
        <v>0</v>
      </c>
      <c r="AO71" s="1025">
        <v>0</v>
      </c>
      <c r="AP71" s="1025">
        <v>0</v>
      </c>
      <c r="AQ71" s="1025">
        <v>0</v>
      </c>
      <c r="AR71" s="1025">
        <v>0</v>
      </c>
      <c r="AS71" s="1025">
        <v>0</v>
      </c>
      <c r="AT71" s="1026">
        <v>0</v>
      </c>
      <c r="AU71" s="1025">
        <v>0</v>
      </c>
      <c r="AV71" s="1025">
        <v>0</v>
      </c>
      <c r="AW71" s="1025">
        <v>0</v>
      </c>
      <c r="AX71" s="1025">
        <v>0</v>
      </c>
      <c r="AY71" s="1025">
        <v>0</v>
      </c>
      <c r="AZ71" s="1025">
        <v>0</v>
      </c>
      <c r="BA71" s="1025">
        <v>0</v>
      </c>
      <c r="BB71" s="1026">
        <v>0</v>
      </c>
      <c r="BC71" s="1026">
        <v>1900000</v>
      </c>
      <c r="BD71" s="1027">
        <v>0</v>
      </c>
      <c r="BE71" s="1027">
        <v>1900000</v>
      </c>
      <c r="BG71" s="909"/>
      <c r="BH71" s="1028"/>
    </row>
    <row r="72" spans="1:60" ht="13.95" customHeight="1">
      <c r="A72" s="1017" t="s">
        <v>155</v>
      </c>
      <c r="B72" s="1017" t="s">
        <v>750</v>
      </c>
      <c r="C72" s="1025">
        <v>0</v>
      </c>
      <c r="D72" s="1025">
        <v>0</v>
      </c>
      <c r="E72" s="1025">
        <v>0</v>
      </c>
      <c r="F72" s="1025">
        <v>0</v>
      </c>
      <c r="G72" s="1025">
        <v>0</v>
      </c>
      <c r="H72" s="1025">
        <v>0</v>
      </c>
      <c r="I72" s="1025">
        <v>0</v>
      </c>
      <c r="J72" s="1025">
        <v>0</v>
      </c>
      <c r="K72" s="1025">
        <v>100000</v>
      </c>
      <c r="L72" s="1025">
        <v>1000000</v>
      </c>
      <c r="M72" s="1025">
        <v>0</v>
      </c>
      <c r="N72" s="1025">
        <v>0</v>
      </c>
      <c r="O72" s="1025">
        <v>0</v>
      </c>
      <c r="P72" s="1025">
        <v>3000000</v>
      </c>
      <c r="Q72" s="1026">
        <v>4100000</v>
      </c>
      <c r="R72" s="1025">
        <v>0</v>
      </c>
      <c r="S72" s="1026">
        <v>0</v>
      </c>
      <c r="T72" s="1025">
        <v>0</v>
      </c>
      <c r="U72" s="1025">
        <v>0</v>
      </c>
      <c r="V72" s="1025">
        <v>0</v>
      </c>
      <c r="W72" s="1025">
        <v>0</v>
      </c>
      <c r="X72" s="1025">
        <v>0</v>
      </c>
      <c r="Y72" s="1025">
        <v>0</v>
      </c>
      <c r="Z72" s="1025">
        <v>0</v>
      </c>
      <c r="AA72" s="1025">
        <v>0</v>
      </c>
      <c r="AB72" s="1025">
        <v>0</v>
      </c>
      <c r="AC72" s="1025">
        <v>0</v>
      </c>
      <c r="AD72" s="1025">
        <v>0</v>
      </c>
      <c r="AE72" s="1025">
        <v>0</v>
      </c>
      <c r="AF72" s="1025">
        <v>0</v>
      </c>
      <c r="AG72" s="1025">
        <v>0</v>
      </c>
      <c r="AH72" s="1025">
        <v>0</v>
      </c>
      <c r="AI72" s="1025">
        <v>0</v>
      </c>
      <c r="AJ72" s="1025">
        <v>0</v>
      </c>
      <c r="AK72" s="1025">
        <v>0</v>
      </c>
      <c r="AL72" s="1025">
        <v>0</v>
      </c>
      <c r="AM72" s="1025">
        <v>0</v>
      </c>
      <c r="AN72" s="1025">
        <v>0</v>
      </c>
      <c r="AO72" s="1025">
        <v>0</v>
      </c>
      <c r="AP72" s="1025">
        <v>0</v>
      </c>
      <c r="AQ72" s="1025">
        <v>0</v>
      </c>
      <c r="AR72" s="1025">
        <v>0</v>
      </c>
      <c r="AS72" s="1025">
        <v>0</v>
      </c>
      <c r="AT72" s="1026">
        <v>0</v>
      </c>
      <c r="AU72" s="1025">
        <v>0</v>
      </c>
      <c r="AV72" s="1025">
        <v>0</v>
      </c>
      <c r="AW72" s="1025">
        <v>0</v>
      </c>
      <c r="AX72" s="1025">
        <v>0</v>
      </c>
      <c r="AY72" s="1025">
        <v>0</v>
      </c>
      <c r="AZ72" s="1025">
        <v>0</v>
      </c>
      <c r="BA72" s="1025">
        <v>0</v>
      </c>
      <c r="BB72" s="1026">
        <v>0</v>
      </c>
      <c r="BC72" s="1026">
        <v>4100000</v>
      </c>
      <c r="BD72" s="1027">
        <v>0</v>
      </c>
      <c r="BE72" s="1027">
        <v>4100000</v>
      </c>
      <c r="BG72" s="909"/>
      <c r="BH72" s="1028"/>
    </row>
    <row r="73" spans="1:60" ht="13.95" customHeight="1">
      <c r="A73" s="1017" t="s">
        <v>156</v>
      </c>
      <c r="B73" s="1017" t="s">
        <v>751</v>
      </c>
      <c r="C73" s="1025">
        <v>0</v>
      </c>
      <c r="D73" s="1025">
        <v>0</v>
      </c>
      <c r="E73" s="1025">
        <v>4000000</v>
      </c>
      <c r="F73" s="1025">
        <v>0</v>
      </c>
      <c r="G73" s="1025">
        <v>0</v>
      </c>
      <c r="H73" s="1025">
        <v>0</v>
      </c>
      <c r="I73" s="1025">
        <v>0</v>
      </c>
      <c r="J73" s="1025">
        <v>0</v>
      </c>
      <c r="K73" s="1025">
        <v>0</v>
      </c>
      <c r="L73" s="1025">
        <v>0</v>
      </c>
      <c r="M73" s="1025">
        <v>0</v>
      </c>
      <c r="N73" s="1025">
        <v>35000000</v>
      </c>
      <c r="O73" s="1025">
        <v>0</v>
      </c>
      <c r="P73" s="1025">
        <v>0</v>
      </c>
      <c r="Q73" s="1026">
        <v>39000000</v>
      </c>
      <c r="R73" s="1025">
        <v>0</v>
      </c>
      <c r="S73" s="1026">
        <v>0</v>
      </c>
      <c r="T73" s="1025">
        <v>0</v>
      </c>
      <c r="U73" s="1025">
        <v>0</v>
      </c>
      <c r="V73" s="1025">
        <v>0</v>
      </c>
      <c r="W73" s="1025">
        <v>0</v>
      </c>
      <c r="X73" s="1025">
        <v>0</v>
      </c>
      <c r="Y73" s="1025">
        <v>0</v>
      </c>
      <c r="Z73" s="1025">
        <v>1000000</v>
      </c>
      <c r="AA73" s="1025">
        <v>0</v>
      </c>
      <c r="AB73" s="1025">
        <v>0</v>
      </c>
      <c r="AC73" s="1025">
        <v>0</v>
      </c>
      <c r="AD73" s="1025">
        <v>0</v>
      </c>
      <c r="AE73" s="1025">
        <v>0</v>
      </c>
      <c r="AF73" s="1025">
        <v>0</v>
      </c>
      <c r="AG73" s="1025">
        <v>0</v>
      </c>
      <c r="AH73" s="1025">
        <v>0</v>
      </c>
      <c r="AI73" s="1025">
        <v>0</v>
      </c>
      <c r="AJ73" s="1025">
        <v>0</v>
      </c>
      <c r="AK73" s="1025">
        <v>0</v>
      </c>
      <c r="AL73" s="1025">
        <v>0</v>
      </c>
      <c r="AM73" s="1025">
        <v>0</v>
      </c>
      <c r="AN73" s="1025">
        <v>0</v>
      </c>
      <c r="AO73" s="1025">
        <v>0</v>
      </c>
      <c r="AP73" s="1025">
        <v>0</v>
      </c>
      <c r="AQ73" s="1025">
        <v>0</v>
      </c>
      <c r="AR73" s="1025">
        <v>0</v>
      </c>
      <c r="AS73" s="1025">
        <v>0</v>
      </c>
      <c r="AT73" s="1026">
        <v>1000000</v>
      </c>
      <c r="AU73" s="1025">
        <v>0</v>
      </c>
      <c r="AV73" s="1025">
        <v>0</v>
      </c>
      <c r="AW73" s="1025">
        <v>0</v>
      </c>
      <c r="AX73" s="1025">
        <v>0</v>
      </c>
      <c r="AY73" s="1025">
        <v>0</v>
      </c>
      <c r="AZ73" s="1025">
        <v>0</v>
      </c>
      <c r="BA73" s="1025">
        <v>0</v>
      </c>
      <c r="BB73" s="1026">
        <v>0</v>
      </c>
      <c r="BC73" s="1026">
        <v>40000000</v>
      </c>
      <c r="BD73" s="1027">
        <v>0</v>
      </c>
      <c r="BE73" s="1027">
        <v>40000000</v>
      </c>
      <c r="BG73" s="909"/>
      <c r="BH73" s="1028"/>
    </row>
    <row r="74" spans="1:60" ht="13.95" customHeight="1">
      <c r="A74" s="1017" t="s">
        <v>157</v>
      </c>
      <c r="B74" s="1017" t="s">
        <v>787</v>
      </c>
      <c r="C74" s="1025">
        <v>0</v>
      </c>
      <c r="D74" s="1025">
        <v>0</v>
      </c>
      <c r="E74" s="1025">
        <v>0</v>
      </c>
      <c r="F74" s="1025">
        <v>0</v>
      </c>
      <c r="G74" s="1025">
        <v>0</v>
      </c>
      <c r="H74" s="1025">
        <v>0</v>
      </c>
      <c r="I74" s="1025">
        <v>0</v>
      </c>
      <c r="J74" s="1025">
        <v>0</v>
      </c>
      <c r="K74" s="1025">
        <v>0</v>
      </c>
      <c r="L74" s="1025">
        <v>0</v>
      </c>
      <c r="M74" s="1025">
        <v>0</v>
      </c>
      <c r="N74" s="1025">
        <v>0</v>
      </c>
      <c r="O74" s="1025">
        <v>0</v>
      </c>
      <c r="P74" s="1025">
        <v>300000</v>
      </c>
      <c r="Q74" s="1026">
        <v>300000</v>
      </c>
      <c r="R74" s="1025">
        <v>0</v>
      </c>
      <c r="S74" s="1026">
        <v>0</v>
      </c>
      <c r="T74" s="1025">
        <v>0</v>
      </c>
      <c r="U74" s="1025">
        <v>0</v>
      </c>
      <c r="V74" s="1025">
        <v>0</v>
      </c>
      <c r="W74" s="1025">
        <v>0</v>
      </c>
      <c r="X74" s="1025">
        <v>0</v>
      </c>
      <c r="Y74" s="1025">
        <v>0</v>
      </c>
      <c r="Z74" s="1025">
        <v>0</v>
      </c>
      <c r="AA74" s="1025">
        <v>0</v>
      </c>
      <c r="AB74" s="1025">
        <v>0</v>
      </c>
      <c r="AC74" s="1025">
        <v>0</v>
      </c>
      <c r="AD74" s="1025">
        <v>0</v>
      </c>
      <c r="AE74" s="1025">
        <v>0</v>
      </c>
      <c r="AF74" s="1025">
        <v>0</v>
      </c>
      <c r="AG74" s="1025">
        <v>0</v>
      </c>
      <c r="AH74" s="1025">
        <v>0</v>
      </c>
      <c r="AI74" s="1025">
        <v>0</v>
      </c>
      <c r="AJ74" s="1025">
        <v>0</v>
      </c>
      <c r="AK74" s="1025">
        <v>0</v>
      </c>
      <c r="AL74" s="1025">
        <v>0</v>
      </c>
      <c r="AM74" s="1025">
        <v>0</v>
      </c>
      <c r="AN74" s="1025">
        <v>0</v>
      </c>
      <c r="AO74" s="1025">
        <v>0</v>
      </c>
      <c r="AP74" s="1025">
        <v>0</v>
      </c>
      <c r="AQ74" s="1025">
        <v>0</v>
      </c>
      <c r="AR74" s="1025">
        <v>0</v>
      </c>
      <c r="AS74" s="1025">
        <v>0</v>
      </c>
      <c r="AT74" s="1026">
        <v>0</v>
      </c>
      <c r="AU74" s="1025">
        <v>0</v>
      </c>
      <c r="AV74" s="1025">
        <v>0</v>
      </c>
      <c r="AW74" s="1025">
        <v>0</v>
      </c>
      <c r="AX74" s="1025">
        <v>0</v>
      </c>
      <c r="AY74" s="1025">
        <v>0</v>
      </c>
      <c r="AZ74" s="1025">
        <v>0</v>
      </c>
      <c r="BA74" s="1025">
        <v>0</v>
      </c>
      <c r="BB74" s="1026">
        <v>0</v>
      </c>
      <c r="BC74" s="1026">
        <v>300000</v>
      </c>
      <c r="BD74" s="1027">
        <v>0</v>
      </c>
      <c r="BE74" s="1027">
        <v>300000</v>
      </c>
      <c r="BG74" s="909"/>
      <c r="BH74" s="1028"/>
    </row>
    <row r="75" spans="1:60" ht="13.95" customHeight="1">
      <c r="A75" s="1029"/>
      <c r="B75" s="1030" t="s">
        <v>752</v>
      </c>
      <c r="C75" s="1031">
        <v>0</v>
      </c>
      <c r="D75" s="1031">
        <v>0</v>
      </c>
      <c r="E75" s="1031">
        <v>4000000</v>
      </c>
      <c r="F75" s="1031">
        <v>0</v>
      </c>
      <c r="G75" s="1031">
        <v>0</v>
      </c>
      <c r="H75" s="1031">
        <v>0</v>
      </c>
      <c r="I75" s="1031">
        <v>0</v>
      </c>
      <c r="J75" s="1031">
        <v>0</v>
      </c>
      <c r="K75" s="1031">
        <v>100000</v>
      </c>
      <c r="L75" s="1031">
        <v>1000000</v>
      </c>
      <c r="M75" s="1031">
        <v>0</v>
      </c>
      <c r="N75" s="1031">
        <v>35000000</v>
      </c>
      <c r="O75" s="1031">
        <v>0</v>
      </c>
      <c r="P75" s="1031">
        <v>10700000</v>
      </c>
      <c r="Q75" s="1031">
        <v>50800000</v>
      </c>
      <c r="R75" s="1031">
        <v>0</v>
      </c>
      <c r="S75" s="1031">
        <v>0</v>
      </c>
      <c r="T75" s="1031">
        <v>28500000</v>
      </c>
      <c r="U75" s="1031">
        <v>0</v>
      </c>
      <c r="V75" s="1031">
        <v>0</v>
      </c>
      <c r="W75" s="1031">
        <v>0</v>
      </c>
      <c r="X75" s="1031">
        <v>0</v>
      </c>
      <c r="Y75" s="1031">
        <v>0</v>
      </c>
      <c r="Z75" s="1031">
        <v>1000000</v>
      </c>
      <c r="AA75" s="1031">
        <v>0</v>
      </c>
      <c r="AB75" s="1031">
        <v>40367000</v>
      </c>
      <c r="AC75" s="1031">
        <v>3000000</v>
      </c>
      <c r="AD75" s="1031">
        <v>0</v>
      </c>
      <c r="AE75" s="1031">
        <v>0</v>
      </c>
      <c r="AF75" s="1031">
        <v>0</v>
      </c>
      <c r="AG75" s="1031">
        <v>21150000</v>
      </c>
      <c r="AH75" s="1031">
        <v>0</v>
      </c>
      <c r="AI75" s="1031">
        <v>0</v>
      </c>
      <c r="AJ75" s="1031">
        <v>0</v>
      </c>
      <c r="AK75" s="1031">
        <v>0</v>
      </c>
      <c r="AL75" s="1031">
        <v>20195000</v>
      </c>
      <c r="AM75" s="1031">
        <v>1967000</v>
      </c>
      <c r="AN75" s="1031">
        <v>0</v>
      </c>
      <c r="AO75" s="1031">
        <v>1667000</v>
      </c>
      <c r="AP75" s="1031">
        <v>0</v>
      </c>
      <c r="AQ75" s="1031">
        <v>0</v>
      </c>
      <c r="AR75" s="1031">
        <v>0</v>
      </c>
      <c r="AS75" s="1031">
        <v>0</v>
      </c>
      <c r="AT75" s="1031">
        <v>117846000</v>
      </c>
      <c r="AU75" s="1031">
        <v>0</v>
      </c>
      <c r="AV75" s="1031">
        <v>0</v>
      </c>
      <c r="AW75" s="1031">
        <v>0</v>
      </c>
      <c r="AX75" s="1031">
        <v>0</v>
      </c>
      <c r="AY75" s="1031">
        <v>0</v>
      </c>
      <c r="AZ75" s="1031">
        <v>0</v>
      </c>
      <c r="BA75" s="1031">
        <v>0</v>
      </c>
      <c r="BB75" s="1031">
        <v>0</v>
      </c>
      <c r="BC75" s="1031">
        <v>168646000</v>
      </c>
      <c r="BD75" s="1032">
        <v>43312000</v>
      </c>
      <c r="BE75" s="1032">
        <v>125334000</v>
      </c>
      <c r="BG75" s="909"/>
      <c r="BH75" s="1028"/>
    </row>
    <row r="76" spans="1:60" ht="13.95" customHeight="1">
      <c r="A76" s="1017" t="s">
        <v>347</v>
      </c>
      <c r="B76" s="1017" t="s">
        <v>753</v>
      </c>
      <c r="C76" s="1025">
        <v>0</v>
      </c>
      <c r="D76" s="1025">
        <v>0</v>
      </c>
      <c r="E76" s="1025">
        <v>0</v>
      </c>
      <c r="F76" s="1025">
        <v>0</v>
      </c>
      <c r="G76" s="1025">
        <v>0</v>
      </c>
      <c r="H76" s="1025">
        <v>0</v>
      </c>
      <c r="I76" s="1025">
        <v>30000</v>
      </c>
      <c r="J76" s="1025">
        <v>0</v>
      </c>
      <c r="K76" s="1025">
        <v>0</v>
      </c>
      <c r="L76" s="1025">
        <v>0</v>
      </c>
      <c r="M76" s="1025">
        <v>0</v>
      </c>
      <c r="N76" s="1025">
        <v>0</v>
      </c>
      <c r="O76" s="1025">
        <v>0</v>
      </c>
      <c r="P76" s="1025">
        <v>1960000</v>
      </c>
      <c r="Q76" s="1026">
        <v>1990000</v>
      </c>
      <c r="R76" s="1025">
        <v>0</v>
      </c>
      <c r="S76" s="1026">
        <v>0</v>
      </c>
      <c r="T76" s="1025">
        <v>0</v>
      </c>
      <c r="U76" s="1025">
        <v>0</v>
      </c>
      <c r="V76" s="1025">
        <v>0</v>
      </c>
      <c r="W76" s="1025">
        <v>0</v>
      </c>
      <c r="X76" s="1025">
        <v>0</v>
      </c>
      <c r="Y76" s="1025">
        <v>0</v>
      </c>
      <c r="Z76" s="1025">
        <v>0</v>
      </c>
      <c r="AA76" s="1025">
        <v>0</v>
      </c>
      <c r="AB76" s="1025">
        <v>0</v>
      </c>
      <c r="AC76" s="1025">
        <v>0</v>
      </c>
      <c r="AD76" s="1025">
        <v>0</v>
      </c>
      <c r="AE76" s="1025">
        <v>0</v>
      </c>
      <c r="AF76" s="1025">
        <v>0</v>
      </c>
      <c r="AG76" s="1025">
        <v>350000</v>
      </c>
      <c r="AH76" s="1025">
        <v>0</v>
      </c>
      <c r="AI76" s="1025">
        <v>0</v>
      </c>
      <c r="AJ76" s="1025">
        <v>0</v>
      </c>
      <c r="AK76" s="1025">
        <v>0</v>
      </c>
      <c r="AL76" s="1025">
        <v>0</v>
      </c>
      <c r="AM76" s="1025">
        <v>0</v>
      </c>
      <c r="AN76" s="1025">
        <v>0</v>
      </c>
      <c r="AO76" s="1025">
        <v>0</v>
      </c>
      <c r="AP76" s="1025">
        <v>0</v>
      </c>
      <c r="AQ76" s="1025">
        <v>0</v>
      </c>
      <c r="AR76" s="1025">
        <v>0</v>
      </c>
      <c r="AS76" s="1025">
        <v>0</v>
      </c>
      <c r="AT76" s="1026">
        <v>350000</v>
      </c>
      <c r="AU76" s="1025">
        <v>0</v>
      </c>
      <c r="AV76" s="1025">
        <v>0</v>
      </c>
      <c r="AW76" s="1025">
        <v>0</v>
      </c>
      <c r="AX76" s="1025">
        <v>0</v>
      </c>
      <c r="AY76" s="1025">
        <v>0</v>
      </c>
      <c r="AZ76" s="1025">
        <v>0</v>
      </c>
      <c r="BA76" s="1025">
        <v>0</v>
      </c>
      <c r="BB76" s="1026">
        <v>0</v>
      </c>
      <c r="BC76" s="1026">
        <v>2340000</v>
      </c>
      <c r="BD76" s="1027">
        <v>350000</v>
      </c>
      <c r="BE76" s="1027">
        <v>1990000</v>
      </c>
      <c r="BG76" s="909"/>
      <c r="BH76" s="1028"/>
    </row>
    <row r="77" spans="1:60" ht="13.95" customHeight="1">
      <c r="A77" s="1029"/>
      <c r="B77" s="1030" t="s">
        <v>754</v>
      </c>
      <c r="C77" s="1031">
        <v>0</v>
      </c>
      <c r="D77" s="1031">
        <v>0</v>
      </c>
      <c r="E77" s="1031">
        <v>0</v>
      </c>
      <c r="F77" s="1031">
        <v>0</v>
      </c>
      <c r="G77" s="1031">
        <v>0</v>
      </c>
      <c r="H77" s="1031">
        <v>0</v>
      </c>
      <c r="I77" s="1031">
        <v>30000</v>
      </c>
      <c r="J77" s="1031">
        <v>0</v>
      </c>
      <c r="K77" s="1031">
        <v>0</v>
      </c>
      <c r="L77" s="1031">
        <v>0</v>
      </c>
      <c r="M77" s="1031">
        <v>0</v>
      </c>
      <c r="N77" s="1031">
        <v>0</v>
      </c>
      <c r="O77" s="1031">
        <v>0</v>
      </c>
      <c r="P77" s="1031">
        <v>1960000</v>
      </c>
      <c r="Q77" s="1031">
        <v>1990000</v>
      </c>
      <c r="R77" s="1031">
        <v>0</v>
      </c>
      <c r="S77" s="1031">
        <v>0</v>
      </c>
      <c r="T77" s="1031">
        <v>0</v>
      </c>
      <c r="U77" s="1031">
        <v>0</v>
      </c>
      <c r="V77" s="1031">
        <v>0</v>
      </c>
      <c r="W77" s="1031">
        <v>0</v>
      </c>
      <c r="X77" s="1031">
        <v>0</v>
      </c>
      <c r="Y77" s="1031">
        <v>0</v>
      </c>
      <c r="Z77" s="1031">
        <v>0</v>
      </c>
      <c r="AA77" s="1031">
        <v>0</v>
      </c>
      <c r="AB77" s="1031">
        <v>0</v>
      </c>
      <c r="AC77" s="1031">
        <v>0</v>
      </c>
      <c r="AD77" s="1031">
        <v>0</v>
      </c>
      <c r="AE77" s="1031">
        <v>0</v>
      </c>
      <c r="AF77" s="1031">
        <v>0</v>
      </c>
      <c r="AG77" s="1031">
        <v>350000</v>
      </c>
      <c r="AH77" s="1031">
        <v>0</v>
      </c>
      <c r="AI77" s="1031">
        <v>0</v>
      </c>
      <c r="AJ77" s="1031">
        <v>0</v>
      </c>
      <c r="AK77" s="1031">
        <v>0</v>
      </c>
      <c r="AL77" s="1031">
        <v>0</v>
      </c>
      <c r="AM77" s="1031">
        <v>0</v>
      </c>
      <c r="AN77" s="1031">
        <v>0</v>
      </c>
      <c r="AO77" s="1031">
        <v>0</v>
      </c>
      <c r="AP77" s="1031">
        <v>0</v>
      </c>
      <c r="AQ77" s="1031">
        <v>0</v>
      </c>
      <c r="AR77" s="1031">
        <v>0</v>
      </c>
      <c r="AS77" s="1031">
        <v>0</v>
      </c>
      <c r="AT77" s="1031">
        <v>350000</v>
      </c>
      <c r="AU77" s="1031">
        <v>0</v>
      </c>
      <c r="AV77" s="1031">
        <v>0</v>
      </c>
      <c r="AW77" s="1031">
        <v>0</v>
      </c>
      <c r="AX77" s="1031">
        <v>0</v>
      </c>
      <c r="AY77" s="1031">
        <v>0</v>
      </c>
      <c r="AZ77" s="1031">
        <v>0</v>
      </c>
      <c r="BA77" s="1031">
        <v>0</v>
      </c>
      <c r="BB77" s="1031">
        <v>0</v>
      </c>
      <c r="BC77" s="1031">
        <v>2340000</v>
      </c>
      <c r="BD77" s="1032">
        <v>350000</v>
      </c>
      <c r="BE77" s="1032">
        <v>1990000</v>
      </c>
      <c r="BG77" s="909"/>
      <c r="BH77" s="1028"/>
    </row>
    <row r="78" spans="1:60" ht="13.95" customHeight="1">
      <c r="A78" s="1017" t="s">
        <v>349</v>
      </c>
      <c r="B78" s="1017" t="s">
        <v>161</v>
      </c>
      <c r="C78" s="1025">
        <v>0</v>
      </c>
      <c r="D78" s="1025">
        <v>0</v>
      </c>
      <c r="E78" s="1025">
        <v>0</v>
      </c>
      <c r="F78" s="1025">
        <v>0</v>
      </c>
      <c r="G78" s="1025">
        <v>0</v>
      </c>
      <c r="H78" s="1025">
        <v>0</v>
      </c>
      <c r="I78" s="1025">
        <v>500000</v>
      </c>
      <c r="J78" s="1025">
        <v>0</v>
      </c>
      <c r="K78" s="1025">
        <v>0</v>
      </c>
      <c r="L78" s="1025">
        <v>0</v>
      </c>
      <c r="M78" s="1025">
        <v>0</v>
      </c>
      <c r="N78" s="1025">
        <v>0</v>
      </c>
      <c r="O78" s="1025">
        <v>0</v>
      </c>
      <c r="P78" s="1025">
        <v>0</v>
      </c>
      <c r="Q78" s="1026">
        <v>500000</v>
      </c>
      <c r="R78" s="1025">
        <v>0</v>
      </c>
      <c r="S78" s="1026">
        <v>0</v>
      </c>
      <c r="T78" s="1025">
        <v>0</v>
      </c>
      <c r="U78" s="1025">
        <v>0</v>
      </c>
      <c r="V78" s="1025">
        <v>0</v>
      </c>
      <c r="W78" s="1025">
        <v>0</v>
      </c>
      <c r="X78" s="1025">
        <v>0</v>
      </c>
      <c r="Y78" s="1025">
        <v>0</v>
      </c>
      <c r="Z78" s="1025">
        <v>0</v>
      </c>
      <c r="AA78" s="1025">
        <v>0</v>
      </c>
      <c r="AB78" s="1025">
        <v>0</v>
      </c>
      <c r="AC78" s="1025">
        <v>0</v>
      </c>
      <c r="AD78" s="1025">
        <v>0</v>
      </c>
      <c r="AE78" s="1025">
        <v>0</v>
      </c>
      <c r="AF78" s="1025">
        <v>0</v>
      </c>
      <c r="AG78" s="1025">
        <v>0</v>
      </c>
      <c r="AH78" s="1025">
        <v>0</v>
      </c>
      <c r="AI78" s="1025">
        <v>0</v>
      </c>
      <c r="AJ78" s="1025">
        <v>0</v>
      </c>
      <c r="AK78" s="1025">
        <v>0</v>
      </c>
      <c r="AL78" s="1025">
        <v>0</v>
      </c>
      <c r="AM78" s="1025">
        <v>0</v>
      </c>
      <c r="AN78" s="1025">
        <v>0</v>
      </c>
      <c r="AO78" s="1025">
        <v>0</v>
      </c>
      <c r="AP78" s="1025">
        <v>0</v>
      </c>
      <c r="AQ78" s="1025">
        <v>0</v>
      </c>
      <c r="AR78" s="1025">
        <v>0</v>
      </c>
      <c r="AS78" s="1025">
        <v>0</v>
      </c>
      <c r="AT78" s="1026">
        <v>0</v>
      </c>
      <c r="AU78" s="1025">
        <v>0</v>
      </c>
      <c r="AV78" s="1025">
        <v>0</v>
      </c>
      <c r="AW78" s="1025">
        <v>0</v>
      </c>
      <c r="AX78" s="1025">
        <v>0</v>
      </c>
      <c r="AY78" s="1025">
        <v>0</v>
      </c>
      <c r="AZ78" s="1025">
        <v>0</v>
      </c>
      <c r="BA78" s="1025">
        <v>0</v>
      </c>
      <c r="BB78" s="1026">
        <v>0</v>
      </c>
      <c r="BC78" s="1026">
        <v>500000</v>
      </c>
      <c r="BD78" s="1027">
        <v>0</v>
      </c>
      <c r="BE78" s="1027">
        <v>500000</v>
      </c>
      <c r="BG78" s="909"/>
      <c r="BH78" s="1028"/>
    </row>
    <row r="79" spans="1:60" ht="13.95" customHeight="1">
      <c r="A79" s="1017" t="s">
        <v>160</v>
      </c>
      <c r="B79" s="1017" t="s">
        <v>161</v>
      </c>
      <c r="C79" s="1025">
        <v>0</v>
      </c>
      <c r="D79" s="1025">
        <v>0</v>
      </c>
      <c r="E79" s="1025">
        <v>0</v>
      </c>
      <c r="F79" s="1025">
        <v>0</v>
      </c>
      <c r="G79" s="1025">
        <v>0</v>
      </c>
      <c r="H79" s="1025">
        <v>0</v>
      </c>
      <c r="I79" s="1025">
        <v>0</v>
      </c>
      <c r="J79" s="1025">
        <v>0</v>
      </c>
      <c r="K79" s="1025">
        <v>0</v>
      </c>
      <c r="L79" s="1025">
        <v>0</v>
      </c>
      <c r="M79" s="1025">
        <v>0</v>
      </c>
      <c r="N79" s="1025">
        <v>0</v>
      </c>
      <c r="O79" s="1025">
        <v>0</v>
      </c>
      <c r="P79" s="1025">
        <v>3600000</v>
      </c>
      <c r="Q79" s="1026">
        <v>3600000</v>
      </c>
      <c r="R79" s="1025">
        <v>0</v>
      </c>
      <c r="S79" s="1026">
        <v>0</v>
      </c>
      <c r="T79" s="1025">
        <v>0</v>
      </c>
      <c r="U79" s="1025">
        <v>0</v>
      </c>
      <c r="V79" s="1025">
        <v>0</v>
      </c>
      <c r="W79" s="1025">
        <v>0</v>
      </c>
      <c r="X79" s="1025">
        <v>0</v>
      </c>
      <c r="Y79" s="1025">
        <v>0</v>
      </c>
      <c r="Z79" s="1025">
        <v>0</v>
      </c>
      <c r="AA79" s="1025">
        <v>0</v>
      </c>
      <c r="AB79" s="1025">
        <v>0</v>
      </c>
      <c r="AC79" s="1025">
        <v>0</v>
      </c>
      <c r="AD79" s="1025">
        <v>0</v>
      </c>
      <c r="AE79" s="1025">
        <v>0</v>
      </c>
      <c r="AF79" s="1025">
        <v>0</v>
      </c>
      <c r="AG79" s="1025">
        <v>0</v>
      </c>
      <c r="AH79" s="1025">
        <v>0</v>
      </c>
      <c r="AI79" s="1025">
        <v>0</v>
      </c>
      <c r="AJ79" s="1025">
        <v>0</v>
      </c>
      <c r="AK79" s="1025">
        <v>0</v>
      </c>
      <c r="AL79" s="1025">
        <v>0</v>
      </c>
      <c r="AM79" s="1025">
        <v>0</v>
      </c>
      <c r="AN79" s="1025">
        <v>0</v>
      </c>
      <c r="AO79" s="1025">
        <v>0</v>
      </c>
      <c r="AP79" s="1025">
        <v>0</v>
      </c>
      <c r="AQ79" s="1025">
        <v>0</v>
      </c>
      <c r="AR79" s="1025">
        <v>0</v>
      </c>
      <c r="AS79" s="1025">
        <v>0</v>
      </c>
      <c r="AT79" s="1026">
        <v>0</v>
      </c>
      <c r="AU79" s="1025">
        <v>0</v>
      </c>
      <c r="AV79" s="1025">
        <v>0</v>
      </c>
      <c r="AW79" s="1025">
        <v>0</v>
      </c>
      <c r="AX79" s="1025">
        <v>0</v>
      </c>
      <c r="AY79" s="1025">
        <v>0</v>
      </c>
      <c r="AZ79" s="1025">
        <v>0</v>
      </c>
      <c r="BA79" s="1025">
        <v>0</v>
      </c>
      <c r="BB79" s="1026">
        <v>0</v>
      </c>
      <c r="BC79" s="1026">
        <v>3600000</v>
      </c>
      <c r="BD79" s="1027">
        <v>0</v>
      </c>
      <c r="BE79" s="1027">
        <v>3600000</v>
      </c>
      <c r="BG79" s="909"/>
      <c r="BH79" s="1028"/>
    </row>
    <row r="80" spans="1:60" ht="13.95" customHeight="1">
      <c r="A80" s="1017" t="s">
        <v>162</v>
      </c>
      <c r="B80" s="1017" t="s">
        <v>163</v>
      </c>
      <c r="C80" s="1025">
        <v>0</v>
      </c>
      <c r="D80" s="1025">
        <v>0</v>
      </c>
      <c r="E80" s="1025">
        <v>0</v>
      </c>
      <c r="F80" s="1025">
        <v>0</v>
      </c>
      <c r="G80" s="1025">
        <v>0</v>
      </c>
      <c r="H80" s="1025">
        <v>0</v>
      </c>
      <c r="I80" s="1025">
        <v>0</v>
      </c>
      <c r="J80" s="1025">
        <v>0</v>
      </c>
      <c r="K80" s="1025">
        <v>0</v>
      </c>
      <c r="L80" s="1025">
        <v>0</v>
      </c>
      <c r="M80" s="1025">
        <v>0</v>
      </c>
      <c r="N80" s="1025">
        <v>0</v>
      </c>
      <c r="O80" s="1025">
        <v>0</v>
      </c>
      <c r="P80" s="1025">
        <v>200000</v>
      </c>
      <c r="Q80" s="1026">
        <v>200000</v>
      </c>
      <c r="R80" s="1025">
        <v>0</v>
      </c>
      <c r="S80" s="1026">
        <v>0</v>
      </c>
      <c r="T80" s="1025">
        <v>0</v>
      </c>
      <c r="U80" s="1025">
        <v>0</v>
      </c>
      <c r="V80" s="1025">
        <v>0</v>
      </c>
      <c r="W80" s="1025">
        <v>0</v>
      </c>
      <c r="X80" s="1025">
        <v>0</v>
      </c>
      <c r="Y80" s="1025">
        <v>0</v>
      </c>
      <c r="Z80" s="1025">
        <v>0</v>
      </c>
      <c r="AA80" s="1025">
        <v>0</v>
      </c>
      <c r="AB80" s="1025">
        <v>0</v>
      </c>
      <c r="AC80" s="1025">
        <v>0</v>
      </c>
      <c r="AD80" s="1025">
        <v>0</v>
      </c>
      <c r="AE80" s="1025">
        <v>0</v>
      </c>
      <c r="AF80" s="1025">
        <v>0</v>
      </c>
      <c r="AG80" s="1025">
        <v>30000</v>
      </c>
      <c r="AH80" s="1025">
        <v>0</v>
      </c>
      <c r="AI80" s="1025">
        <v>0</v>
      </c>
      <c r="AJ80" s="1025">
        <v>0</v>
      </c>
      <c r="AK80" s="1025">
        <v>0</v>
      </c>
      <c r="AL80" s="1025">
        <v>60000</v>
      </c>
      <c r="AM80" s="1025">
        <v>0</v>
      </c>
      <c r="AN80" s="1025">
        <v>0</v>
      </c>
      <c r="AO80" s="1025">
        <v>0</v>
      </c>
      <c r="AP80" s="1025">
        <v>0</v>
      </c>
      <c r="AQ80" s="1025">
        <v>0</v>
      </c>
      <c r="AR80" s="1025">
        <v>0</v>
      </c>
      <c r="AS80" s="1025">
        <v>0</v>
      </c>
      <c r="AT80" s="1026">
        <v>90000</v>
      </c>
      <c r="AU80" s="1025">
        <v>0</v>
      </c>
      <c r="AV80" s="1025">
        <v>0</v>
      </c>
      <c r="AW80" s="1025">
        <v>0</v>
      </c>
      <c r="AX80" s="1025">
        <v>0</v>
      </c>
      <c r="AY80" s="1025">
        <v>0</v>
      </c>
      <c r="AZ80" s="1025">
        <v>0</v>
      </c>
      <c r="BA80" s="1025">
        <v>0</v>
      </c>
      <c r="BB80" s="1026">
        <v>0</v>
      </c>
      <c r="BC80" s="1026">
        <v>290000</v>
      </c>
      <c r="BD80" s="1027">
        <v>90000</v>
      </c>
      <c r="BE80" s="1027">
        <v>200000</v>
      </c>
      <c r="BG80" s="909"/>
      <c r="BH80" s="1028"/>
    </row>
    <row r="81" spans="1:60" ht="13.95" customHeight="1">
      <c r="A81" s="1029"/>
      <c r="B81" s="1030" t="s">
        <v>755</v>
      </c>
      <c r="C81" s="1031">
        <v>0</v>
      </c>
      <c r="D81" s="1031">
        <v>0</v>
      </c>
      <c r="E81" s="1031">
        <v>0</v>
      </c>
      <c r="F81" s="1031">
        <v>0</v>
      </c>
      <c r="G81" s="1031">
        <v>0</v>
      </c>
      <c r="H81" s="1031">
        <v>0</v>
      </c>
      <c r="I81" s="1031">
        <v>500000</v>
      </c>
      <c r="J81" s="1031">
        <v>0</v>
      </c>
      <c r="K81" s="1031">
        <v>0</v>
      </c>
      <c r="L81" s="1031">
        <v>0</v>
      </c>
      <c r="M81" s="1031">
        <v>0</v>
      </c>
      <c r="N81" s="1031">
        <v>0</v>
      </c>
      <c r="O81" s="1031">
        <v>0</v>
      </c>
      <c r="P81" s="1031">
        <v>3800000</v>
      </c>
      <c r="Q81" s="1031">
        <v>4300000</v>
      </c>
      <c r="R81" s="1031">
        <v>0</v>
      </c>
      <c r="S81" s="1031">
        <v>0</v>
      </c>
      <c r="T81" s="1031">
        <v>0</v>
      </c>
      <c r="U81" s="1031">
        <v>0</v>
      </c>
      <c r="V81" s="1031">
        <v>0</v>
      </c>
      <c r="W81" s="1031">
        <v>0</v>
      </c>
      <c r="X81" s="1031">
        <v>0</v>
      </c>
      <c r="Y81" s="1031">
        <v>0</v>
      </c>
      <c r="Z81" s="1031">
        <v>0</v>
      </c>
      <c r="AA81" s="1031">
        <v>0</v>
      </c>
      <c r="AB81" s="1031">
        <v>0</v>
      </c>
      <c r="AC81" s="1031">
        <v>0</v>
      </c>
      <c r="AD81" s="1031">
        <v>0</v>
      </c>
      <c r="AE81" s="1031">
        <v>0</v>
      </c>
      <c r="AF81" s="1031">
        <v>0</v>
      </c>
      <c r="AG81" s="1031">
        <v>30000</v>
      </c>
      <c r="AH81" s="1031">
        <v>0</v>
      </c>
      <c r="AI81" s="1031">
        <v>0</v>
      </c>
      <c r="AJ81" s="1031">
        <v>0</v>
      </c>
      <c r="AK81" s="1031">
        <v>0</v>
      </c>
      <c r="AL81" s="1031">
        <v>60000</v>
      </c>
      <c r="AM81" s="1031">
        <v>0</v>
      </c>
      <c r="AN81" s="1031">
        <v>0</v>
      </c>
      <c r="AO81" s="1031">
        <v>0</v>
      </c>
      <c r="AP81" s="1031">
        <v>0</v>
      </c>
      <c r="AQ81" s="1031">
        <v>0</v>
      </c>
      <c r="AR81" s="1031">
        <v>0</v>
      </c>
      <c r="AS81" s="1031">
        <v>0</v>
      </c>
      <c r="AT81" s="1031">
        <v>90000</v>
      </c>
      <c r="AU81" s="1031">
        <v>0</v>
      </c>
      <c r="AV81" s="1031">
        <v>0</v>
      </c>
      <c r="AW81" s="1031">
        <v>0</v>
      </c>
      <c r="AX81" s="1031">
        <v>0</v>
      </c>
      <c r="AY81" s="1031">
        <v>0</v>
      </c>
      <c r="AZ81" s="1031">
        <v>0</v>
      </c>
      <c r="BA81" s="1031">
        <v>0</v>
      </c>
      <c r="BB81" s="1031">
        <v>0</v>
      </c>
      <c r="BC81" s="1031">
        <v>4390000</v>
      </c>
      <c r="BD81" s="1032">
        <v>90000</v>
      </c>
      <c r="BE81" s="1032">
        <v>4300000</v>
      </c>
      <c r="BG81" s="909"/>
      <c r="BH81" s="1028"/>
    </row>
    <row r="82" spans="1:60" ht="15" customHeight="1">
      <c r="A82" s="1033"/>
      <c r="B82" s="1034" t="s">
        <v>756</v>
      </c>
      <c r="C82" s="1035">
        <v>97115000</v>
      </c>
      <c r="D82" s="1035">
        <v>1644000</v>
      </c>
      <c r="E82" s="1035">
        <v>33751000</v>
      </c>
      <c r="F82" s="1035">
        <v>76231000</v>
      </c>
      <c r="G82" s="1035">
        <v>1169000</v>
      </c>
      <c r="H82" s="1035">
        <v>2680000</v>
      </c>
      <c r="I82" s="1035">
        <v>29855000</v>
      </c>
      <c r="J82" s="1035">
        <v>4956000</v>
      </c>
      <c r="K82" s="1035">
        <v>216145000</v>
      </c>
      <c r="L82" s="1035">
        <v>18763000</v>
      </c>
      <c r="M82" s="1035">
        <v>6561380</v>
      </c>
      <c r="N82" s="1035">
        <v>345096908</v>
      </c>
      <c r="O82" s="1035">
        <v>23337000</v>
      </c>
      <c r="P82" s="1035">
        <v>118904476.19</v>
      </c>
      <c r="Q82" s="1035">
        <v>976208764.19000006</v>
      </c>
      <c r="R82" s="1035">
        <v>67926000</v>
      </c>
      <c r="S82" s="1035">
        <v>67926000</v>
      </c>
      <c r="T82" s="1035">
        <v>295440000</v>
      </c>
      <c r="U82" s="1035">
        <v>194152000</v>
      </c>
      <c r="V82" s="1035">
        <v>4948000</v>
      </c>
      <c r="W82" s="1035">
        <v>115574000</v>
      </c>
      <c r="X82" s="1035">
        <v>59570000</v>
      </c>
      <c r="Y82" s="1035">
        <v>798000</v>
      </c>
      <c r="Z82" s="1035">
        <v>19561000</v>
      </c>
      <c r="AA82" s="1035">
        <v>1177000</v>
      </c>
      <c r="AB82" s="1035">
        <v>132153000</v>
      </c>
      <c r="AC82" s="1035">
        <v>28959000</v>
      </c>
      <c r="AD82" s="1035">
        <v>67705000</v>
      </c>
      <c r="AE82" s="1035">
        <v>1158000</v>
      </c>
      <c r="AF82" s="1035">
        <v>1018000</v>
      </c>
      <c r="AG82" s="1035">
        <v>228156000</v>
      </c>
      <c r="AH82" s="1035">
        <v>340000</v>
      </c>
      <c r="AI82" s="1035">
        <v>0</v>
      </c>
      <c r="AJ82" s="1035">
        <v>6004000</v>
      </c>
      <c r="AK82" s="1035">
        <v>60417000</v>
      </c>
      <c r="AL82" s="1035">
        <v>435729000</v>
      </c>
      <c r="AM82" s="1035">
        <v>67708000</v>
      </c>
      <c r="AN82" s="1035">
        <v>1305000</v>
      </c>
      <c r="AO82" s="1035">
        <v>32969000</v>
      </c>
      <c r="AP82" s="1035">
        <v>8457000</v>
      </c>
      <c r="AQ82" s="1035">
        <v>219000</v>
      </c>
      <c r="AR82" s="1035">
        <v>303000</v>
      </c>
      <c r="AS82" s="1035">
        <v>0</v>
      </c>
      <c r="AT82" s="1035">
        <v>1763820000</v>
      </c>
      <c r="AU82" s="1035">
        <v>695000</v>
      </c>
      <c r="AV82" s="1035">
        <v>968000</v>
      </c>
      <c r="AW82" s="1035">
        <v>394000</v>
      </c>
      <c r="AX82" s="1035">
        <v>364000</v>
      </c>
      <c r="AY82" s="1035">
        <v>489000</v>
      </c>
      <c r="AZ82" s="1035">
        <v>164087000</v>
      </c>
      <c r="BA82" s="1035">
        <v>60893000</v>
      </c>
      <c r="BB82" s="1035">
        <v>227890000</v>
      </c>
      <c r="BC82" s="1035">
        <v>3035844764.1900001</v>
      </c>
      <c r="BD82" s="1036">
        <v>740572000</v>
      </c>
      <c r="BE82" s="1036">
        <v>2295272764.1900001</v>
      </c>
      <c r="BG82" s="909"/>
      <c r="BH82" s="1028"/>
    </row>
    <row r="83" spans="1:60" ht="13.95" customHeight="1">
      <c r="A83" s="1017" t="s">
        <v>166</v>
      </c>
      <c r="B83" s="1017" t="s">
        <v>167</v>
      </c>
      <c r="C83" s="1025">
        <v>0</v>
      </c>
      <c r="D83" s="1025">
        <v>0</v>
      </c>
      <c r="E83" s="1025">
        <v>0</v>
      </c>
      <c r="F83" s="1025">
        <v>0</v>
      </c>
      <c r="G83" s="1025">
        <v>0</v>
      </c>
      <c r="H83" s="1025">
        <v>0</v>
      </c>
      <c r="I83" s="1025">
        <v>0</v>
      </c>
      <c r="J83" s="1025">
        <v>0</v>
      </c>
      <c r="K83" s="1025">
        <v>0</v>
      </c>
      <c r="L83" s="1025">
        <v>0</v>
      </c>
      <c r="M83" s="1025">
        <v>0</v>
      </c>
      <c r="N83" s="1025">
        <v>0</v>
      </c>
      <c r="O83" s="1025">
        <v>0</v>
      </c>
      <c r="P83" s="1025">
        <v>53005686</v>
      </c>
      <c r="Q83" s="1026">
        <v>53005686</v>
      </c>
      <c r="R83" s="1025">
        <v>0</v>
      </c>
      <c r="S83" s="1026">
        <v>0</v>
      </c>
      <c r="T83" s="1025">
        <v>50449750</v>
      </c>
      <c r="U83" s="1025">
        <v>0</v>
      </c>
      <c r="V83" s="1025">
        <v>0</v>
      </c>
      <c r="W83" s="1025">
        <v>0</v>
      </c>
      <c r="X83" s="1025">
        <v>0</v>
      </c>
      <c r="Y83" s="1025">
        <v>0</v>
      </c>
      <c r="Z83" s="1025">
        <v>0</v>
      </c>
      <c r="AA83" s="1025">
        <v>0</v>
      </c>
      <c r="AB83" s="1025">
        <v>31500138</v>
      </c>
      <c r="AC83" s="1025">
        <v>0</v>
      </c>
      <c r="AD83" s="1025">
        <v>0</v>
      </c>
      <c r="AE83" s="1025">
        <v>0</v>
      </c>
      <c r="AF83" s="1025">
        <v>0</v>
      </c>
      <c r="AG83" s="1025">
        <v>27000634</v>
      </c>
      <c r="AH83" s="1025">
        <v>0</v>
      </c>
      <c r="AI83" s="1025">
        <v>0</v>
      </c>
      <c r="AJ83" s="1025">
        <v>0</v>
      </c>
      <c r="AK83" s="1025">
        <v>0</v>
      </c>
      <c r="AL83" s="1025">
        <v>24000002</v>
      </c>
      <c r="AM83" s="1025">
        <v>5000572</v>
      </c>
      <c r="AN83" s="1025">
        <v>0</v>
      </c>
      <c r="AO83" s="1025">
        <v>3000632</v>
      </c>
      <c r="AP83" s="1025">
        <v>0</v>
      </c>
      <c r="AQ83" s="1025">
        <v>0</v>
      </c>
      <c r="AR83" s="1025">
        <v>0</v>
      </c>
      <c r="AS83" s="1025">
        <v>0</v>
      </c>
      <c r="AT83" s="1026">
        <v>140951728</v>
      </c>
      <c r="AU83" s="1025">
        <v>0</v>
      </c>
      <c r="AV83" s="1025">
        <v>0</v>
      </c>
      <c r="AW83" s="1025">
        <v>0</v>
      </c>
      <c r="AX83" s="1025">
        <v>0</v>
      </c>
      <c r="AY83" s="1025">
        <v>0</v>
      </c>
      <c r="AZ83" s="1025">
        <v>0</v>
      </c>
      <c r="BA83" s="1025">
        <v>0</v>
      </c>
      <c r="BB83" s="1026">
        <v>0</v>
      </c>
      <c r="BC83" s="1026">
        <v>193957414</v>
      </c>
      <c r="BD83" s="1027">
        <v>56001208</v>
      </c>
      <c r="BE83" s="1027">
        <v>137956206</v>
      </c>
      <c r="BG83" s="909"/>
      <c r="BH83" s="1028"/>
    </row>
    <row r="84" spans="1:60" ht="13.95" customHeight="1">
      <c r="A84" s="1017" t="s">
        <v>168</v>
      </c>
      <c r="B84" s="1017" t="s">
        <v>169</v>
      </c>
      <c r="C84" s="1025">
        <v>0</v>
      </c>
      <c r="D84" s="1025">
        <v>0</v>
      </c>
      <c r="E84" s="1025">
        <v>0</v>
      </c>
      <c r="F84" s="1025">
        <v>0</v>
      </c>
      <c r="G84" s="1025">
        <v>0</v>
      </c>
      <c r="H84" s="1025">
        <v>0</v>
      </c>
      <c r="I84" s="1025">
        <v>0</v>
      </c>
      <c r="J84" s="1025">
        <v>0</v>
      </c>
      <c r="K84" s="1025">
        <v>0</v>
      </c>
      <c r="L84" s="1025">
        <v>0</v>
      </c>
      <c r="M84" s="1025">
        <v>249850</v>
      </c>
      <c r="N84" s="1025">
        <v>0</v>
      </c>
      <c r="O84" s="1025">
        <v>0</v>
      </c>
      <c r="P84" s="1025">
        <v>301290</v>
      </c>
      <c r="Q84" s="1026">
        <v>551140</v>
      </c>
      <c r="R84" s="1025">
        <v>0</v>
      </c>
      <c r="S84" s="1026">
        <v>0</v>
      </c>
      <c r="T84" s="1025">
        <v>1509300</v>
      </c>
      <c r="U84" s="1025">
        <v>0</v>
      </c>
      <c r="V84" s="1025">
        <v>0</v>
      </c>
      <c r="W84" s="1025">
        <v>0</v>
      </c>
      <c r="X84" s="1025">
        <v>0</v>
      </c>
      <c r="Y84" s="1025">
        <v>0</v>
      </c>
      <c r="Z84" s="1025">
        <v>0</v>
      </c>
      <c r="AA84" s="1025">
        <v>0</v>
      </c>
      <c r="AB84" s="1025">
        <v>2261490</v>
      </c>
      <c r="AC84" s="1025">
        <v>0</v>
      </c>
      <c r="AD84" s="1025">
        <v>0</v>
      </c>
      <c r="AE84" s="1025">
        <v>0</v>
      </c>
      <c r="AF84" s="1025">
        <v>0</v>
      </c>
      <c r="AG84" s="1025">
        <v>1628250</v>
      </c>
      <c r="AH84" s="1025">
        <v>0</v>
      </c>
      <c r="AI84" s="1025">
        <v>0</v>
      </c>
      <c r="AJ84" s="1025">
        <v>0</v>
      </c>
      <c r="AK84" s="1025">
        <v>0</v>
      </c>
      <c r="AL84" s="1025">
        <v>4383750</v>
      </c>
      <c r="AM84" s="1025">
        <v>0</v>
      </c>
      <c r="AN84" s="1025">
        <v>0</v>
      </c>
      <c r="AO84" s="1025">
        <v>0</v>
      </c>
      <c r="AP84" s="1025">
        <v>0</v>
      </c>
      <c r="AQ84" s="1025">
        <v>0</v>
      </c>
      <c r="AR84" s="1025">
        <v>0</v>
      </c>
      <c r="AS84" s="1025">
        <v>0</v>
      </c>
      <c r="AT84" s="1026">
        <v>9782790</v>
      </c>
      <c r="AU84" s="1025">
        <v>0</v>
      </c>
      <c r="AV84" s="1025">
        <v>0</v>
      </c>
      <c r="AW84" s="1025">
        <v>0</v>
      </c>
      <c r="AX84" s="1025">
        <v>0</v>
      </c>
      <c r="AY84" s="1025">
        <v>0</v>
      </c>
      <c r="AZ84" s="1025">
        <v>0</v>
      </c>
      <c r="BA84" s="1025">
        <v>0</v>
      </c>
      <c r="BB84" s="1026">
        <v>0</v>
      </c>
      <c r="BC84" s="1026">
        <v>10333930</v>
      </c>
      <c r="BD84" s="1027">
        <v>6012000</v>
      </c>
      <c r="BE84" s="1027">
        <v>4321930</v>
      </c>
      <c r="BG84" s="909"/>
      <c r="BH84" s="1028"/>
    </row>
    <row r="85" spans="1:60" ht="13.95" customHeight="1">
      <c r="A85" s="1017" t="s">
        <v>170</v>
      </c>
      <c r="B85" s="1017" t="s">
        <v>171</v>
      </c>
      <c r="C85" s="1025">
        <v>0</v>
      </c>
      <c r="D85" s="1025">
        <v>0</v>
      </c>
      <c r="E85" s="1025">
        <v>0</v>
      </c>
      <c r="F85" s="1025">
        <v>0</v>
      </c>
      <c r="G85" s="1025">
        <v>0</v>
      </c>
      <c r="H85" s="1025">
        <v>0</v>
      </c>
      <c r="I85" s="1025">
        <v>0</v>
      </c>
      <c r="J85" s="1025">
        <v>0</v>
      </c>
      <c r="K85" s="1025">
        <v>0</v>
      </c>
      <c r="L85" s="1025">
        <v>0</v>
      </c>
      <c r="M85" s="1025">
        <v>0</v>
      </c>
      <c r="N85" s="1025">
        <v>0</v>
      </c>
      <c r="O85" s="1025">
        <v>5238100</v>
      </c>
      <c r="P85" s="1025">
        <v>0</v>
      </c>
      <c r="Q85" s="1026">
        <v>5238100</v>
      </c>
      <c r="R85" s="1025">
        <v>0</v>
      </c>
      <c r="S85" s="1026">
        <v>0</v>
      </c>
      <c r="T85" s="1025">
        <v>0</v>
      </c>
      <c r="U85" s="1025">
        <v>0</v>
      </c>
      <c r="V85" s="1025">
        <v>0</v>
      </c>
      <c r="W85" s="1025">
        <v>0</v>
      </c>
      <c r="X85" s="1025">
        <v>0</v>
      </c>
      <c r="Y85" s="1025">
        <v>0</v>
      </c>
      <c r="Z85" s="1025">
        <v>0</v>
      </c>
      <c r="AA85" s="1025">
        <v>0</v>
      </c>
      <c r="AB85" s="1025">
        <v>0</v>
      </c>
      <c r="AC85" s="1025">
        <v>0</v>
      </c>
      <c r="AD85" s="1025">
        <v>0</v>
      </c>
      <c r="AE85" s="1025">
        <v>0</v>
      </c>
      <c r="AF85" s="1025">
        <v>0</v>
      </c>
      <c r="AG85" s="1025">
        <v>0</v>
      </c>
      <c r="AH85" s="1025">
        <v>0</v>
      </c>
      <c r="AI85" s="1025">
        <v>0</v>
      </c>
      <c r="AJ85" s="1025">
        <v>0</v>
      </c>
      <c r="AK85" s="1025">
        <v>0</v>
      </c>
      <c r="AL85" s="1025">
        <v>62000</v>
      </c>
      <c r="AM85" s="1025">
        <v>0</v>
      </c>
      <c r="AN85" s="1025">
        <v>0</v>
      </c>
      <c r="AO85" s="1025">
        <v>0</v>
      </c>
      <c r="AP85" s="1025">
        <v>0</v>
      </c>
      <c r="AQ85" s="1025">
        <v>0</v>
      </c>
      <c r="AR85" s="1025">
        <v>0</v>
      </c>
      <c r="AS85" s="1025">
        <v>0</v>
      </c>
      <c r="AT85" s="1026">
        <v>62000</v>
      </c>
      <c r="AU85" s="1025">
        <v>0</v>
      </c>
      <c r="AV85" s="1025">
        <v>0</v>
      </c>
      <c r="AW85" s="1025">
        <v>0</v>
      </c>
      <c r="AX85" s="1025">
        <v>0</v>
      </c>
      <c r="AY85" s="1025">
        <v>0</v>
      </c>
      <c r="AZ85" s="1025">
        <v>0</v>
      </c>
      <c r="BA85" s="1025">
        <v>0</v>
      </c>
      <c r="BB85" s="1026">
        <v>0</v>
      </c>
      <c r="BC85" s="1026">
        <v>5300100</v>
      </c>
      <c r="BD85" s="1027">
        <v>62000</v>
      </c>
      <c r="BE85" s="1027">
        <v>5238100</v>
      </c>
      <c r="BG85" s="909"/>
      <c r="BH85" s="1028"/>
    </row>
    <row r="86" spans="1:60" ht="13.95" customHeight="1">
      <c r="A86" s="1029"/>
      <c r="B86" s="1030" t="s">
        <v>757</v>
      </c>
      <c r="C86" s="1031">
        <v>0</v>
      </c>
      <c r="D86" s="1031">
        <v>0</v>
      </c>
      <c r="E86" s="1031">
        <v>0</v>
      </c>
      <c r="F86" s="1031">
        <v>0</v>
      </c>
      <c r="G86" s="1031">
        <v>0</v>
      </c>
      <c r="H86" s="1031">
        <v>0</v>
      </c>
      <c r="I86" s="1031">
        <v>0</v>
      </c>
      <c r="J86" s="1031">
        <v>0</v>
      </c>
      <c r="K86" s="1031">
        <v>0</v>
      </c>
      <c r="L86" s="1031">
        <v>0</v>
      </c>
      <c r="M86" s="1031">
        <v>249850</v>
      </c>
      <c r="N86" s="1031">
        <v>0</v>
      </c>
      <c r="O86" s="1031">
        <v>5238100</v>
      </c>
      <c r="P86" s="1031">
        <v>53306976</v>
      </c>
      <c r="Q86" s="1031">
        <v>58794926</v>
      </c>
      <c r="R86" s="1031">
        <v>0</v>
      </c>
      <c r="S86" s="1031">
        <v>0</v>
      </c>
      <c r="T86" s="1031">
        <v>51959050</v>
      </c>
      <c r="U86" s="1031">
        <v>0</v>
      </c>
      <c r="V86" s="1031">
        <v>0</v>
      </c>
      <c r="W86" s="1031">
        <v>0</v>
      </c>
      <c r="X86" s="1031">
        <v>0</v>
      </c>
      <c r="Y86" s="1031">
        <v>0</v>
      </c>
      <c r="Z86" s="1031">
        <v>0</v>
      </c>
      <c r="AA86" s="1031">
        <v>0</v>
      </c>
      <c r="AB86" s="1031">
        <v>33761628</v>
      </c>
      <c r="AC86" s="1031">
        <v>0</v>
      </c>
      <c r="AD86" s="1031">
        <v>0</v>
      </c>
      <c r="AE86" s="1031">
        <v>0</v>
      </c>
      <c r="AF86" s="1031">
        <v>0</v>
      </c>
      <c r="AG86" s="1031">
        <v>28628884</v>
      </c>
      <c r="AH86" s="1031">
        <v>0</v>
      </c>
      <c r="AI86" s="1031">
        <v>0</v>
      </c>
      <c r="AJ86" s="1031">
        <v>0</v>
      </c>
      <c r="AK86" s="1031">
        <v>0</v>
      </c>
      <c r="AL86" s="1031">
        <v>28445752</v>
      </c>
      <c r="AM86" s="1031">
        <v>5000572</v>
      </c>
      <c r="AN86" s="1031">
        <v>0</v>
      </c>
      <c r="AO86" s="1031">
        <v>3000632</v>
      </c>
      <c r="AP86" s="1031">
        <v>0</v>
      </c>
      <c r="AQ86" s="1031">
        <v>0</v>
      </c>
      <c r="AR86" s="1031">
        <v>0</v>
      </c>
      <c r="AS86" s="1031">
        <v>0</v>
      </c>
      <c r="AT86" s="1031">
        <v>150796518</v>
      </c>
      <c r="AU86" s="1031">
        <v>0</v>
      </c>
      <c r="AV86" s="1031">
        <v>0</v>
      </c>
      <c r="AW86" s="1031">
        <v>0</v>
      </c>
      <c r="AX86" s="1031">
        <v>0</v>
      </c>
      <c r="AY86" s="1031">
        <v>0</v>
      </c>
      <c r="AZ86" s="1031">
        <v>0</v>
      </c>
      <c r="BA86" s="1031">
        <v>0</v>
      </c>
      <c r="BB86" s="1031">
        <v>0</v>
      </c>
      <c r="BC86" s="1031">
        <v>209591444</v>
      </c>
      <c r="BD86" s="1032">
        <v>62075208</v>
      </c>
      <c r="BE86" s="1032">
        <v>147516236</v>
      </c>
      <c r="BG86" s="909"/>
      <c r="BH86" s="1028"/>
    </row>
    <row r="87" spans="1:60" ht="13.95" customHeight="1">
      <c r="A87" s="1017" t="s">
        <v>178</v>
      </c>
      <c r="B87" s="1017" t="s">
        <v>179</v>
      </c>
      <c r="C87" s="1025">
        <v>0</v>
      </c>
      <c r="D87" s="1025">
        <v>0</v>
      </c>
      <c r="E87" s="1025">
        <v>0</v>
      </c>
      <c r="F87" s="1025">
        <v>0</v>
      </c>
      <c r="G87" s="1025">
        <v>0</v>
      </c>
      <c r="H87" s="1025">
        <v>0</v>
      </c>
      <c r="I87" s="1025">
        <v>0</v>
      </c>
      <c r="J87" s="1025">
        <v>0</v>
      </c>
      <c r="K87" s="1025">
        <v>0</v>
      </c>
      <c r="L87" s="1025">
        <v>0</v>
      </c>
      <c r="M87" s="1025">
        <v>0</v>
      </c>
      <c r="N87" s="1025">
        <v>0</v>
      </c>
      <c r="O87" s="1025">
        <v>0</v>
      </c>
      <c r="P87" s="1025">
        <v>571000</v>
      </c>
      <c r="Q87" s="1026">
        <v>571000</v>
      </c>
      <c r="R87" s="1025">
        <v>0</v>
      </c>
      <c r="S87" s="1026">
        <v>0</v>
      </c>
      <c r="T87" s="1025">
        <v>1000000</v>
      </c>
      <c r="U87" s="1025">
        <v>0</v>
      </c>
      <c r="V87" s="1025">
        <v>0</v>
      </c>
      <c r="W87" s="1025">
        <v>0</v>
      </c>
      <c r="X87" s="1025">
        <v>0</v>
      </c>
      <c r="Y87" s="1025">
        <v>0</v>
      </c>
      <c r="Z87" s="1025">
        <v>0</v>
      </c>
      <c r="AA87" s="1025">
        <v>0</v>
      </c>
      <c r="AB87" s="1025">
        <v>759320</v>
      </c>
      <c r="AC87" s="1025">
        <v>0</v>
      </c>
      <c r="AD87" s="1025">
        <v>0</v>
      </c>
      <c r="AE87" s="1025">
        <v>0</v>
      </c>
      <c r="AF87" s="1025">
        <v>0</v>
      </c>
      <c r="AG87" s="1025">
        <v>500000</v>
      </c>
      <c r="AH87" s="1025">
        <v>0</v>
      </c>
      <c r="AI87" s="1025">
        <v>0</v>
      </c>
      <c r="AJ87" s="1025">
        <v>0</v>
      </c>
      <c r="AK87" s="1025">
        <v>0</v>
      </c>
      <c r="AL87" s="1025">
        <v>1000000</v>
      </c>
      <c r="AM87" s="1025">
        <v>0</v>
      </c>
      <c r="AN87" s="1025">
        <v>0</v>
      </c>
      <c r="AO87" s="1025">
        <v>0</v>
      </c>
      <c r="AP87" s="1025">
        <v>0</v>
      </c>
      <c r="AQ87" s="1025">
        <v>0</v>
      </c>
      <c r="AR87" s="1025">
        <v>0</v>
      </c>
      <c r="AS87" s="1025">
        <v>0</v>
      </c>
      <c r="AT87" s="1026">
        <v>3259320</v>
      </c>
      <c r="AU87" s="1025">
        <v>0</v>
      </c>
      <c r="AV87" s="1025">
        <v>0</v>
      </c>
      <c r="AW87" s="1025">
        <v>0</v>
      </c>
      <c r="AX87" s="1025">
        <v>0</v>
      </c>
      <c r="AY87" s="1025">
        <v>0</v>
      </c>
      <c r="AZ87" s="1025">
        <v>0</v>
      </c>
      <c r="BA87" s="1025">
        <v>0</v>
      </c>
      <c r="BB87" s="1026">
        <v>0</v>
      </c>
      <c r="BC87" s="1026">
        <v>3830320</v>
      </c>
      <c r="BD87" s="1027">
        <v>1500000</v>
      </c>
      <c r="BE87" s="1027">
        <v>2330320</v>
      </c>
      <c r="BG87" s="909"/>
      <c r="BH87" s="1028"/>
    </row>
    <row r="88" spans="1:60" ht="13.95" customHeight="1">
      <c r="A88" s="1029"/>
      <c r="B88" s="1030" t="s">
        <v>758</v>
      </c>
      <c r="C88" s="1031">
        <v>0</v>
      </c>
      <c r="D88" s="1031">
        <v>0</v>
      </c>
      <c r="E88" s="1031">
        <v>0</v>
      </c>
      <c r="F88" s="1031">
        <v>0</v>
      </c>
      <c r="G88" s="1031">
        <v>0</v>
      </c>
      <c r="H88" s="1031">
        <v>0</v>
      </c>
      <c r="I88" s="1031">
        <v>0</v>
      </c>
      <c r="J88" s="1031">
        <v>0</v>
      </c>
      <c r="K88" s="1031">
        <v>0</v>
      </c>
      <c r="L88" s="1031">
        <v>0</v>
      </c>
      <c r="M88" s="1031">
        <v>0</v>
      </c>
      <c r="N88" s="1031">
        <v>0</v>
      </c>
      <c r="O88" s="1031">
        <v>0</v>
      </c>
      <c r="P88" s="1031">
        <v>571000</v>
      </c>
      <c r="Q88" s="1031">
        <v>571000</v>
      </c>
      <c r="R88" s="1031">
        <v>0</v>
      </c>
      <c r="S88" s="1031">
        <v>0</v>
      </c>
      <c r="T88" s="1031">
        <v>1000000</v>
      </c>
      <c r="U88" s="1031">
        <v>0</v>
      </c>
      <c r="V88" s="1031">
        <v>0</v>
      </c>
      <c r="W88" s="1031">
        <v>0</v>
      </c>
      <c r="X88" s="1031">
        <v>0</v>
      </c>
      <c r="Y88" s="1031">
        <v>0</v>
      </c>
      <c r="Z88" s="1031">
        <v>0</v>
      </c>
      <c r="AA88" s="1031">
        <v>0</v>
      </c>
      <c r="AB88" s="1031">
        <v>759320</v>
      </c>
      <c r="AC88" s="1031">
        <v>0</v>
      </c>
      <c r="AD88" s="1031">
        <v>0</v>
      </c>
      <c r="AE88" s="1031">
        <v>0</v>
      </c>
      <c r="AF88" s="1031">
        <v>0</v>
      </c>
      <c r="AG88" s="1031">
        <v>500000</v>
      </c>
      <c r="AH88" s="1031">
        <v>0</v>
      </c>
      <c r="AI88" s="1031">
        <v>0</v>
      </c>
      <c r="AJ88" s="1031">
        <v>0</v>
      </c>
      <c r="AK88" s="1031">
        <v>0</v>
      </c>
      <c r="AL88" s="1031">
        <v>1000000</v>
      </c>
      <c r="AM88" s="1031">
        <v>0</v>
      </c>
      <c r="AN88" s="1031">
        <v>0</v>
      </c>
      <c r="AO88" s="1031">
        <v>0</v>
      </c>
      <c r="AP88" s="1031">
        <v>0</v>
      </c>
      <c r="AQ88" s="1031">
        <v>0</v>
      </c>
      <c r="AR88" s="1031">
        <v>0</v>
      </c>
      <c r="AS88" s="1031">
        <v>0</v>
      </c>
      <c r="AT88" s="1031">
        <v>3259320</v>
      </c>
      <c r="AU88" s="1031">
        <v>0</v>
      </c>
      <c r="AV88" s="1031">
        <v>0</v>
      </c>
      <c r="AW88" s="1031">
        <v>0</v>
      </c>
      <c r="AX88" s="1031">
        <v>0</v>
      </c>
      <c r="AY88" s="1031">
        <v>0</v>
      </c>
      <c r="AZ88" s="1031">
        <v>0</v>
      </c>
      <c r="BA88" s="1031">
        <v>0</v>
      </c>
      <c r="BB88" s="1031">
        <v>0</v>
      </c>
      <c r="BC88" s="1031">
        <v>3830320</v>
      </c>
      <c r="BD88" s="1032">
        <v>1500000</v>
      </c>
      <c r="BE88" s="1032">
        <v>2330320</v>
      </c>
      <c r="BG88" s="909"/>
      <c r="BH88" s="1028"/>
    </row>
    <row r="89" spans="1:60" ht="13.95" customHeight="1">
      <c r="A89" s="1017" t="s">
        <v>189</v>
      </c>
      <c r="B89" s="1017" t="s">
        <v>190</v>
      </c>
      <c r="C89" s="1025">
        <v>51000</v>
      </c>
      <c r="D89" s="1025">
        <v>0</v>
      </c>
      <c r="E89" s="1025">
        <v>0</v>
      </c>
      <c r="F89" s="1025">
        <v>0</v>
      </c>
      <c r="G89" s="1025">
        <v>0</v>
      </c>
      <c r="H89" s="1025">
        <v>0</v>
      </c>
      <c r="I89" s="1025">
        <v>0</v>
      </c>
      <c r="J89" s="1025">
        <v>0</v>
      </c>
      <c r="K89" s="1025">
        <v>95000</v>
      </c>
      <c r="L89" s="1025">
        <v>0</v>
      </c>
      <c r="M89" s="1025">
        <v>32000</v>
      </c>
      <c r="N89" s="1025">
        <v>0</v>
      </c>
      <c r="O89" s="1025">
        <v>552100</v>
      </c>
      <c r="P89" s="1025">
        <v>3982955</v>
      </c>
      <c r="Q89" s="1026">
        <v>4713055</v>
      </c>
      <c r="R89" s="1025">
        <v>0</v>
      </c>
      <c r="S89" s="1026">
        <v>0</v>
      </c>
      <c r="T89" s="1025">
        <v>4403100</v>
      </c>
      <c r="U89" s="1025">
        <v>0</v>
      </c>
      <c r="V89" s="1025">
        <v>0</v>
      </c>
      <c r="W89" s="1025">
        <v>0</v>
      </c>
      <c r="X89" s="1025">
        <v>0</v>
      </c>
      <c r="Y89" s="1025">
        <v>0</v>
      </c>
      <c r="Z89" s="1025">
        <v>0</v>
      </c>
      <c r="AA89" s="1025">
        <v>0</v>
      </c>
      <c r="AB89" s="1025">
        <v>5126420</v>
      </c>
      <c r="AC89" s="1025">
        <v>0</v>
      </c>
      <c r="AD89" s="1025">
        <v>0</v>
      </c>
      <c r="AE89" s="1025">
        <v>0</v>
      </c>
      <c r="AF89" s="1025">
        <v>0</v>
      </c>
      <c r="AG89" s="1025">
        <v>1558350</v>
      </c>
      <c r="AH89" s="1025">
        <v>0</v>
      </c>
      <c r="AI89" s="1025">
        <v>0</v>
      </c>
      <c r="AJ89" s="1025">
        <v>0</v>
      </c>
      <c r="AK89" s="1025">
        <v>0</v>
      </c>
      <c r="AL89" s="1025">
        <v>1824990</v>
      </c>
      <c r="AM89" s="1025">
        <v>2042835</v>
      </c>
      <c r="AN89" s="1025">
        <v>0</v>
      </c>
      <c r="AO89" s="1025">
        <v>280525</v>
      </c>
      <c r="AP89" s="1025">
        <v>0</v>
      </c>
      <c r="AQ89" s="1025">
        <v>0</v>
      </c>
      <c r="AR89" s="1025">
        <v>0</v>
      </c>
      <c r="AS89" s="1025">
        <v>0</v>
      </c>
      <c r="AT89" s="1026">
        <v>15236220</v>
      </c>
      <c r="AU89" s="1025">
        <v>0</v>
      </c>
      <c r="AV89" s="1025">
        <v>0</v>
      </c>
      <c r="AW89" s="1025">
        <v>0</v>
      </c>
      <c r="AX89" s="1025">
        <v>0</v>
      </c>
      <c r="AY89" s="1025">
        <v>0</v>
      </c>
      <c r="AZ89" s="1025">
        <v>0</v>
      </c>
      <c r="BA89" s="1025">
        <v>0</v>
      </c>
      <c r="BB89" s="1026">
        <v>0</v>
      </c>
      <c r="BC89" s="1026">
        <v>19949275</v>
      </c>
      <c r="BD89" s="1027">
        <v>5426175</v>
      </c>
      <c r="BE89" s="1027">
        <v>14523100</v>
      </c>
      <c r="BG89" s="909"/>
      <c r="BH89" s="1028"/>
    </row>
    <row r="90" spans="1:60" ht="13.95" customHeight="1">
      <c r="A90" s="1029"/>
      <c r="B90" s="1030" t="s">
        <v>759</v>
      </c>
      <c r="C90" s="1031">
        <v>51000</v>
      </c>
      <c r="D90" s="1031">
        <v>0</v>
      </c>
      <c r="E90" s="1031">
        <v>0</v>
      </c>
      <c r="F90" s="1031">
        <v>0</v>
      </c>
      <c r="G90" s="1031">
        <v>0</v>
      </c>
      <c r="H90" s="1031">
        <v>0</v>
      </c>
      <c r="I90" s="1031">
        <v>0</v>
      </c>
      <c r="J90" s="1031">
        <v>0</v>
      </c>
      <c r="K90" s="1031">
        <v>95000</v>
      </c>
      <c r="L90" s="1031">
        <v>0</v>
      </c>
      <c r="M90" s="1031">
        <v>32000</v>
      </c>
      <c r="N90" s="1031">
        <v>0</v>
      </c>
      <c r="O90" s="1031">
        <v>552100</v>
      </c>
      <c r="P90" s="1031">
        <v>3982955</v>
      </c>
      <c r="Q90" s="1031">
        <v>4713055</v>
      </c>
      <c r="R90" s="1031">
        <v>0</v>
      </c>
      <c r="S90" s="1031">
        <v>0</v>
      </c>
      <c r="T90" s="1031">
        <v>4403100</v>
      </c>
      <c r="U90" s="1031">
        <v>0</v>
      </c>
      <c r="V90" s="1031">
        <v>0</v>
      </c>
      <c r="W90" s="1031">
        <v>0</v>
      </c>
      <c r="X90" s="1031">
        <v>0</v>
      </c>
      <c r="Y90" s="1031">
        <v>0</v>
      </c>
      <c r="Z90" s="1031">
        <v>0</v>
      </c>
      <c r="AA90" s="1031">
        <v>0</v>
      </c>
      <c r="AB90" s="1031">
        <v>5126420</v>
      </c>
      <c r="AC90" s="1031">
        <v>0</v>
      </c>
      <c r="AD90" s="1031">
        <v>0</v>
      </c>
      <c r="AE90" s="1031">
        <v>0</v>
      </c>
      <c r="AF90" s="1031">
        <v>0</v>
      </c>
      <c r="AG90" s="1031">
        <v>1558350</v>
      </c>
      <c r="AH90" s="1031">
        <v>0</v>
      </c>
      <c r="AI90" s="1031">
        <v>0</v>
      </c>
      <c r="AJ90" s="1031">
        <v>0</v>
      </c>
      <c r="AK90" s="1031">
        <v>0</v>
      </c>
      <c r="AL90" s="1031">
        <v>1824990</v>
      </c>
      <c r="AM90" s="1031">
        <v>2042835</v>
      </c>
      <c r="AN90" s="1031">
        <v>0</v>
      </c>
      <c r="AO90" s="1031">
        <v>280525</v>
      </c>
      <c r="AP90" s="1031">
        <v>0</v>
      </c>
      <c r="AQ90" s="1031">
        <v>0</v>
      </c>
      <c r="AR90" s="1031">
        <v>0</v>
      </c>
      <c r="AS90" s="1031">
        <v>0</v>
      </c>
      <c r="AT90" s="1031">
        <v>15236220</v>
      </c>
      <c r="AU90" s="1031">
        <v>0</v>
      </c>
      <c r="AV90" s="1031">
        <v>0</v>
      </c>
      <c r="AW90" s="1031">
        <v>0</v>
      </c>
      <c r="AX90" s="1031">
        <v>0</v>
      </c>
      <c r="AY90" s="1031">
        <v>0</v>
      </c>
      <c r="AZ90" s="1031">
        <v>0</v>
      </c>
      <c r="BA90" s="1031">
        <v>0</v>
      </c>
      <c r="BB90" s="1031">
        <v>0</v>
      </c>
      <c r="BC90" s="1031">
        <v>19949275</v>
      </c>
      <c r="BD90" s="1032">
        <v>5426175</v>
      </c>
      <c r="BE90" s="1032">
        <v>14523100</v>
      </c>
      <c r="BG90" s="909"/>
      <c r="BH90" s="1028"/>
    </row>
    <row r="91" spans="1:60" ht="13.95" customHeight="1">
      <c r="A91" s="1017" t="s">
        <v>192</v>
      </c>
      <c r="B91" s="1017" t="s">
        <v>193</v>
      </c>
      <c r="C91" s="1025">
        <v>0</v>
      </c>
      <c r="D91" s="1025">
        <v>0</v>
      </c>
      <c r="E91" s="1025">
        <v>0</v>
      </c>
      <c r="F91" s="1025">
        <v>0</v>
      </c>
      <c r="G91" s="1025">
        <v>0</v>
      </c>
      <c r="H91" s="1025">
        <v>0</v>
      </c>
      <c r="I91" s="1025">
        <v>0</v>
      </c>
      <c r="J91" s="1025">
        <v>0</v>
      </c>
      <c r="K91" s="1025">
        <v>0</v>
      </c>
      <c r="L91" s="1025">
        <v>0</v>
      </c>
      <c r="M91" s="1025">
        <v>0</v>
      </c>
      <c r="N91" s="1025">
        <v>0</v>
      </c>
      <c r="O91" s="1025">
        <v>2137268</v>
      </c>
      <c r="P91" s="1025">
        <v>21600</v>
      </c>
      <c r="Q91" s="1026">
        <v>2158868</v>
      </c>
      <c r="R91" s="1025">
        <v>0</v>
      </c>
      <c r="S91" s="1026">
        <v>0</v>
      </c>
      <c r="T91" s="1025">
        <v>0</v>
      </c>
      <c r="U91" s="1025">
        <v>0</v>
      </c>
      <c r="V91" s="1025">
        <v>0</v>
      </c>
      <c r="W91" s="1025">
        <v>0</v>
      </c>
      <c r="X91" s="1025">
        <v>0</v>
      </c>
      <c r="Y91" s="1025">
        <v>0</v>
      </c>
      <c r="Z91" s="1025">
        <v>0</v>
      </c>
      <c r="AA91" s="1025">
        <v>0</v>
      </c>
      <c r="AB91" s="1025">
        <v>0</v>
      </c>
      <c r="AC91" s="1025">
        <v>0</v>
      </c>
      <c r="AD91" s="1025">
        <v>0</v>
      </c>
      <c r="AE91" s="1025">
        <v>0</v>
      </c>
      <c r="AF91" s="1025">
        <v>0</v>
      </c>
      <c r="AG91" s="1025">
        <v>1853460</v>
      </c>
      <c r="AH91" s="1025">
        <v>0</v>
      </c>
      <c r="AI91" s="1025">
        <v>0</v>
      </c>
      <c r="AJ91" s="1025">
        <v>0</v>
      </c>
      <c r="AK91" s="1025">
        <v>0</v>
      </c>
      <c r="AL91" s="1025">
        <v>1494300</v>
      </c>
      <c r="AM91" s="1025">
        <v>0</v>
      </c>
      <c r="AN91" s="1025">
        <v>0</v>
      </c>
      <c r="AO91" s="1025">
        <v>0</v>
      </c>
      <c r="AP91" s="1025">
        <v>0</v>
      </c>
      <c r="AQ91" s="1025">
        <v>0</v>
      </c>
      <c r="AR91" s="1025">
        <v>0</v>
      </c>
      <c r="AS91" s="1025">
        <v>0</v>
      </c>
      <c r="AT91" s="1026">
        <v>3347760</v>
      </c>
      <c r="AU91" s="1025">
        <v>0</v>
      </c>
      <c r="AV91" s="1025">
        <v>0</v>
      </c>
      <c r="AW91" s="1025">
        <v>0</v>
      </c>
      <c r="AX91" s="1025">
        <v>0</v>
      </c>
      <c r="AY91" s="1025">
        <v>0</v>
      </c>
      <c r="AZ91" s="1025">
        <v>0</v>
      </c>
      <c r="BA91" s="1025">
        <v>400000</v>
      </c>
      <c r="BB91" s="1026">
        <v>400000</v>
      </c>
      <c r="BC91" s="1026">
        <v>5906628</v>
      </c>
      <c r="BD91" s="1027">
        <v>3347760</v>
      </c>
      <c r="BE91" s="1027">
        <v>2558868</v>
      </c>
      <c r="BG91" s="909"/>
      <c r="BH91" s="1028"/>
    </row>
    <row r="92" spans="1:60" ht="13.95" customHeight="1">
      <c r="A92" s="1017" t="s">
        <v>194</v>
      </c>
      <c r="B92" s="1017" t="s">
        <v>245</v>
      </c>
      <c r="C92" s="1025">
        <v>0</v>
      </c>
      <c r="D92" s="1025">
        <v>0</v>
      </c>
      <c r="E92" s="1025">
        <v>0</v>
      </c>
      <c r="F92" s="1025">
        <v>0</v>
      </c>
      <c r="G92" s="1025">
        <v>0</v>
      </c>
      <c r="H92" s="1025">
        <v>0</v>
      </c>
      <c r="I92" s="1025">
        <v>0</v>
      </c>
      <c r="J92" s="1025">
        <v>0</v>
      </c>
      <c r="K92" s="1025">
        <v>0</v>
      </c>
      <c r="L92" s="1025">
        <v>7800</v>
      </c>
      <c r="M92" s="1025">
        <v>869500</v>
      </c>
      <c r="N92" s="1025">
        <v>0</v>
      </c>
      <c r="O92" s="1025">
        <v>0</v>
      </c>
      <c r="P92" s="1025">
        <v>0</v>
      </c>
      <c r="Q92" s="1026">
        <v>877300</v>
      </c>
      <c r="R92" s="1025">
        <v>0</v>
      </c>
      <c r="S92" s="1026">
        <v>0</v>
      </c>
      <c r="T92" s="1025">
        <v>0</v>
      </c>
      <c r="U92" s="1025">
        <v>0</v>
      </c>
      <c r="V92" s="1025">
        <v>0</v>
      </c>
      <c r="W92" s="1025">
        <v>0</v>
      </c>
      <c r="X92" s="1025">
        <v>0</v>
      </c>
      <c r="Y92" s="1025">
        <v>0</v>
      </c>
      <c r="Z92" s="1025">
        <v>0</v>
      </c>
      <c r="AA92" s="1025">
        <v>0</v>
      </c>
      <c r="AB92" s="1025">
        <v>0</v>
      </c>
      <c r="AC92" s="1025">
        <v>0</v>
      </c>
      <c r="AD92" s="1025">
        <v>0</v>
      </c>
      <c r="AE92" s="1025">
        <v>0</v>
      </c>
      <c r="AF92" s="1025">
        <v>0</v>
      </c>
      <c r="AG92" s="1025">
        <v>52500</v>
      </c>
      <c r="AH92" s="1025">
        <v>0</v>
      </c>
      <c r="AI92" s="1025">
        <v>0</v>
      </c>
      <c r="AJ92" s="1025">
        <v>0</v>
      </c>
      <c r="AK92" s="1025">
        <v>0</v>
      </c>
      <c r="AL92" s="1025">
        <v>0</v>
      </c>
      <c r="AM92" s="1025">
        <v>0</v>
      </c>
      <c r="AN92" s="1025">
        <v>0</v>
      </c>
      <c r="AO92" s="1025">
        <v>0</v>
      </c>
      <c r="AP92" s="1025">
        <v>0</v>
      </c>
      <c r="AQ92" s="1025">
        <v>0</v>
      </c>
      <c r="AR92" s="1025">
        <v>0</v>
      </c>
      <c r="AS92" s="1025">
        <v>0</v>
      </c>
      <c r="AT92" s="1026">
        <v>52500</v>
      </c>
      <c r="AU92" s="1025">
        <v>0</v>
      </c>
      <c r="AV92" s="1025">
        <v>0</v>
      </c>
      <c r="AW92" s="1025">
        <v>0</v>
      </c>
      <c r="AX92" s="1025">
        <v>0</v>
      </c>
      <c r="AY92" s="1025">
        <v>0</v>
      </c>
      <c r="AZ92" s="1025">
        <v>0</v>
      </c>
      <c r="BA92" s="1025">
        <v>0</v>
      </c>
      <c r="BB92" s="1026">
        <v>0</v>
      </c>
      <c r="BC92" s="1026">
        <v>929800</v>
      </c>
      <c r="BD92" s="1027">
        <v>52500</v>
      </c>
      <c r="BE92" s="1027">
        <v>877300</v>
      </c>
      <c r="BG92" s="909"/>
      <c r="BH92" s="1028"/>
    </row>
    <row r="93" spans="1:60" ht="13.95" customHeight="1">
      <c r="A93" s="1017" t="s">
        <v>195</v>
      </c>
      <c r="B93" s="1017" t="s">
        <v>196</v>
      </c>
      <c r="C93" s="1025">
        <v>0</v>
      </c>
      <c r="D93" s="1025">
        <v>0</v>
      </c>
      <c r="E93" s="1025">
        <v>0</v>
      </c>
      <c r="F93" s="1025">
        <v>0</v>
      </c>
      <c r="G93" s="1025">
        <v>0</v>
      </c>
      <c r="H93" s="1025">
        <v>0</v>
      </c>
      <c r="I93" s="1025">
        <v>0</v>
      </c>
      <c r="J93" s="1025">
        <v>0</v>
      </c>
      <c r="K93" s="1025">
        <v>0</v>
      </c>
      <c r="L93" s="1025">
        <v>62000</v>
      </c>
      <c r="M93" s="1025">
        <v>0</v>
      </c>
      <c r="N93" s="1025">
        <v>0</v>
      </c>
      <c r="O93" s="1025">
        <v>1692310</v>
      </c>
      <c r="P93" s="1025">
        <v>2048138</v>
      </c>
      <c r="Q93" s="1026">
        <v>3802448</v>
      </c>
      <c r="R93" s="1025">
        <v>0</v>
      </c>
      <c r="S93" s="1026">
        <v>0</v>
      </c>
      <c r="T93" s="1025">
        <v>0</v>
      </c>
      <c r="U93" s="1025">
        <v>0</v>
      </c>
      <c r="V93" s="1025">
        <v>0</v>
      </c>
      <c r="W93" s="1025">
        <v>0</v>
      </c>
      <c r="X93" s="1025">
        <v>0</v>
      </c>
      <c r="Y93" s="1025">
        <v>0</v>
      </c>
      <c r="Z93" s="1025">
        <v>0</v>
      </c>
      <c r="AA93" s="1025">
        <v>0</v>
      </c>
      <c r="AB93" s="1025">
        <v>0</v>
      </c>
      <c r="AC93" s="1025">
        <v>0</v>
      </c>
      <c r="AD93" s="1025">
        <v>0</v>
      </c>
      <c r="AE93" s="1025">
        <v>0</v>
      </c>
      <c r="AF93" s="1025">
        <v>0</v>
      </c>
      <c r="AG93" s="1025">
        <v>340730</v>
      </c>
      <c r="AH93" s="1025">
        <v>0</v>
      </c>
      <c r="AI93" s="1025">
        <v>0</v>
      </c>
      <c r="AJ93" s="1025">
        <v>0</v>
      </c>
      <c r="AK93" s="1025">
        <v>0</v>
      </c>
      <c r="AL93" s="1025">
        <v>741880</v>
      </c>
      <c r="AM93" s="1025">
        <v>0</v>
      </c>
      <c r="AN93" s="1025">
        <v>0</v>
      </c>
      <c r="AO93" s="1025">
        <v>0</v>
      </c>
      <c r="AP93" s="1025">
        <v>0</v>
      </c>
      <c r="AQ93" s="1025">
        <v>0</v>
      </c>
      <c r="AR93" s="1025">
        <v>0</v>
      </c>
      <c r="AS93" s="1025">
        <v>0</v>
      </c>
      <c r="AT93" s="1026">
        <v>1082610</v>
      </c>
      <c r="AU93" s="1025">
        <v>0</v>
      </c>
      <c r="AV93" s="1025">
        <v>0</v>
      </c>
      <c r="AW93" s="1025">
        <v>0</v>
      </c>
      <c r="AX93" s="1025">
        <v>0</v>
      </c>
      <c r="AY93" s="1025">
        <v>0</v>
      </c>
      <c r="AZ93" s="1025">
        <v>0</v>
      </c>
      <c r="BA93" s="1025">
        <v>400000</v>
      </c>
      <c r="BB93" s="1026">
        <v>400000</v>
      </c>
      <c r="BC93" s="1026">
        <v>5285058</v>
      </c>
      <c r="BD93" s="1027">
        <v>1082610</v>
      </c>
      <c r="BE93" s="1027">
        <v>4202448</v>
      </c>
      <c r="BG93" s="909"/>
      <c r="BH93" s="1028"/>
    </row>
    <row r="94" spans="1:60" ht="13.95" customHeight="1">
      <c r="A94" s="1017" t="s">
        <v>197</v>
      </c>
      <c r="B94" s="1017" t="s">
        <v>760</v>
      </c>
      <c r="C94" s="1025">
        <v>0</v>
      </c>
      <c r="D94" s="1025">
        <v>0</v>
      </c>
      <c r="E94" s="1025">
        <v>0</v>
      </c>
      <c r="F94" s="1025">
        <v>0</v>
      </c>
      <c r="G94" s="1025">
        <v>0</v>
      </c>
      <c r="H94" s="1025">
        <v>0</v>
      </c>
      <c r="I94" s="1025">
        <v>0</v>
      </c>
      <c r="J94" s="1025">
        <v>0</v>
      </c>
      <c r="K94" s="1025">
        <v>459900</v>
      </c>
      <c r="L94" s="1025">
        <v>51000</v>
      </c>
      <c r="M94" s="1025">
        <v>0</v>
      </c>
      <c r="N94" s="1025">
        <v>0</v>
      </c>
      <c r="O94" s="1025">
        <v>0</v>
      </c>
      <c r="P94" s="1025">
        <v>3593728</v>
      </c>
      <c r="Q94" s="1026">
        <v>4104628</v>
      </c>
      <c r="R94" s="1025">
        <v>0</v>
      </c>
      <c r="S94" s="1026">
        <v>0</v>
      </c>
      <c r="T94" s="1025">
        <v>8642710</v>
      </c>
      <c r="U94" s="1025">
        <v>0</v>
      </c>
      <c r="V94" s="1025">
        <v>0</v>
      </c>
      <c r="W94" s="1025">
        <v>0</v>
      </c>
      <c r="X94" s="1025">
        <v>0</v>
      </c>
      <c r="Y94" s="1025">
        <v>0</v>
      </c>
      <c r="Z94" s="1025">
        <v>0</v>
      </c>
      <c r="AA94" s="1025">
        <v>0</v>
      </c>
      <c r="AB94" s="1025">
        <v>3291170</v>
      </c>
      <c r="AC94" s="1025">
        <v>0</v>
      </c>
      <c r="AD94" s="1025">
        <v>0</v>
      </c>
      <c r="AE94" s="1025">
        <v>0</v>
      </c>
      <c r="AF94" s="1025">
        <v>0</v>
      </c>
      <c r="AG94" s="1025">
        <v>7933810</v>
      </c>
      <c r="AH94" s="1025">
        <v>0</v>
      </c>
      <c r="AI94" s="1025">
        <v>0</v>
      </c>
      <c r="AJ94" s="1025">
        <v>0</v>
      </c>
      <c r="AK94" s="1025">
        <v>0</v>
      </c>
      <c r="AL94" s="1025">
        <v>12167925</v>
      </c>
      <c r="AM94" s="1025">
        <v>0</v>
      </c>
      <c r="AN94" s="1025">
        <v>0</v>
      </c>
      <c r="AO94" s="1025">
        <v>0</v>
      </c>
      <c r="AP94" s="1025">
        <v>0</v>
      </c>
      <c r="AQ94" s="1025">
        <v>0</v>
      </c>
      <c r="AR94" s="1025">
        <v>0</v>
      </c>
      <c r="AS94" s="1025">
        <v>0</v>
      </c>
      <c r="AT94" s="1026">
        <v>32035615</v>
      </c>
      <c r="AU94" s="1025">
        <v>0</v>
      </c>
      <c r="AV94" s="1025">
        <v>0</v>
      </c>
      <c r="AW94" s="1025">
        <v>0</v>
      </c>
      <c r="AX94" s="1025">
        <v>0</v>
      </c>
      <c r="AY94" s="1025">
        <v>0</v>
      </c>
      <c r="AZ94" s="1025">
        <v>0</v>
      </c>
      <c r="BA94" s="1025">
        <v>0</v>
      </c>
      <c r="BB94" s="1026">
        <v>0</v>
      </c>
      <c r="BC94" s="1026">
        <v>36140243</v>
      </c>
      <c r="BD94" s="1027">
        <v>20101735</v>
      </c>
      <c r="BE94" s="1027">
        <v>16038508</v>
      </c>
      <c r="BG94" s="909"/>
      <c r="BH94" s="1028"/>
    </row>
    <row r="95" spans="1:60" ht="13.95" customHeight="1">
      <c r="A95" s="1017" t="s">
        <v>199</v>
      </c>
      <c r="B95" s="1017" t="s">
        <v>200</v>
      </c>
      <c r="C95" s="1025">
        <v>0</v>
      </c>
      <c r="D95" s="1025">
        <v>0</v>
      </c>
      <c r="E95" s="1025">
        <v>0</v>
      </c>
      <c r="F95" s="1025">
        <v>0</v>
      </c>
      <c r="G95" s="1025">
        <v>0</v>
      </c>
      <c r="H95" s="1025">
        <v>0</v>
      </c>
      <c r="I95" s="1025">
        <v>0</v>
      </c>
      <c r="J95" s="1025">
        <v>0</v>
      </c>
      <c r="K95" s="1025">
        <v>0</v>
      </c>
      <c r="L95" s="1025">
        <v>0</v>
      </c>
      <c r="M95" s="1025">
        <v>0</v>
      </c>
      <c r="N95" s="1025">
        <v>0</v>
      </c>
      <c r="O95" s="1025">
        <v>0</v>
      </c>
      <c r="P95" s="1025">
        <v>3579856</v>
      </c>
      <c r="Q95" s="1026">
        <v>3579856</v>
      </c>
      <c r="R95" s="1025">
        <v>0</v>
      </c>
      <c r="S95" s="1026">
        <v>0</v>
      </c>
      <c r="T95" s="1025">
        <v>53200</v>
      </c>
      <c r="U95" s="1025">
        <v>0</v>
      </c>
      <c r="V95" s="1025">
        <v>0</v>
      </c>
      <c r="W95" s="1025">
        <v>0</v>
      </c>
      <c r="X95" s="1025">
        <v>0</v>
      </c>
      <c r="Y95" s="1025">
        <v>0</v>
      </c>
      <c r="Z95" s="1025">
        <v>0</v>
      </c>
      <c r="AA95" s="1025">
        <v>0</v>
      </c>
      <c r="AB95" s="1025">
        <v>0</v>
      </c>
      <c r="AC95" s="1025">
        <v>0</v>
      </c>
      <c r="AD95" s="1025">
        <v>0</v>
      </c>
      <c r="AE95" s="1025">
        <v>0</v>
      </c>
      <c r="AF95" s="1025">
        <v>0</v>
      </c>
      <c r="AG95" s="1025">
        <v>0</v>
      </c>
      <c r="AH95" s="1025">
        <v>0</v>
      </c>
      <c r="AI95" s="1025">
        <v>0</v>
      </c>
      <c r="AJ95" s="1025">
        <v>0</v>
      </c>
      <c r="AK95" s="1025">
        <v>0</v>
      </c>
      <c r="AL95" s="1025">
        <v>66500</v>
      </c>
      <c r="AM95" s="1025">
        <v>0</v>
      </c>
      <c r="AN95" s="1025">
        <v>0</v>
      </c>
      <c r="AO95" s="1025">
        <v>0</v>
      </c>
      <c r="AP95" s="1025">
        <v>0</v>
      </c>
      <c r="AQ95" s="1025">
        <v>0</v>
      </c>
      <c r="AR95" s="1025">
        <v>0</v>
      </c>
      <c r="AS95" s="1025">
        <v>0</v>
      </c>
      <c r="AT95" s="1026">
        <v>119700</v>
      </c>
      <c r="AU95" s="1025">
        <v>0</v>
      </c>
      <c r="AV95" s="1025">
        <v>0</v>
      </c>
      <c r="AW95" s="1025">
        <v>0</v>
      </c>
      <c r="AX95" s="1025">
        <v>0</v>
      </c>
      <c r="AY95" s="1025">
        <v>0</v>
      </c>
      <c r="AZ95" s="1025">
        <v>0</v>
      </c>
      <c r="BA95" s="1025">
        <v>0</v>
      </c>
      <c r="BB95" s="1026">
        <v>0</v>
      </c>
      <c r="BC95" s="1026">
        <v>3699556</v>
      </c>
      <c r="BD95" s="1027">
        <v>66500</v>
      </c>
      <c r="BE95" s="1027">
        <v>3633056</v>
      </c>
      <c r="BG95" s="909"/>
      <c r="BH95" s="1028"/>
    </row>
    <row r="96" spans="1:60" ht="13.95" customHeight="1">
      <c r="A96" s="1017" t="s">
        <v>201</v>
      </c>
      <c r="B96" s="1017" t="s">
        <v>202</v>
      </c>
      <c r="C96" s="1025">
        <v>0</v>
      </c>
      <c r="D96" s="1025">
        <v>0</v>
      </c>
      <c r="E96" s="1025">
        <v>0</v>
      </c>
      <c r="F96" s="1025">
        <v>0</v>
      </c>
      <c r="G96" s="1025">
        <v>0</v>
      </c>
      <c r="H96" s="1025">
        <v>0</v>
      </c>
      <c r="I96" s="1025">
        <v>0</v>
      </c>
      <c r="J96" s="1025">
        <v>0</v>
      </c>
      <c r="K96" s="1025">
        <v>0</v>
      </c>
      <c r="L96" s="1025">
        <v>0</v>
      </c>
      <c r="M96" s="1025">
        <v>0</v>
      </c>
      <c r="N96" s="1025">
        <v>0</v>
      </c>
      <c r="O96" s="1025">
        <v>0</v>
      </c>
      <c r="P96" s="1025">
        <v>82000</v>
      </c>
      <c r="Q96" s="1026">
        <v>82000</v>
      </c>
      <c r="R96" s="1025">
        <v>0</v>
      </c>
      <c r="S96" s="1026">
        <v>0</v>
      </c>
      <c r="T96" s="1025">
        <v>0</v>
      </c>
      <c r="U96" s="1025">
        <v>0</v>
      </c>
      <c r="V96" s="1025">
        <v>0</v>
      </c>
      <c r="W96" s="1025">
        <v>0</v>
      </c>
      <c r="X96" s="1025">
        <v>0</v>
      </c>
      <c r="Y96" s="1025">
        <v>0</v>
      </c>
      <c r="Z96" s="1025">
        <v>0</v>
      </c>
      <c r="AA96" s="1025">
        <v>0</v>
      </c>
      <c r="AB96" s="1025">
        <v>0</v>
      </c>
      <c r="AC96" s="1025">
        <v>0</v>
      </c>
      <c r="AD96" s="1025">
        <v>0</v>
      </c>
      <c r="AE96" s="1025">
        <v>0</v>
      </c>
      <c r="AF96" s="1025">
        <v>0</v>
      </c>
      <c r="AG96" s="1025">
        <v>0</v>
      </c>
      <c r="AH96" s="1025">
        <v>0</v>
      </c>
      <c r="AI96" s="1025">
        <v>0</v>
      </c>
      <c r="AJ96" s="1025">
        <v>0</v>
      </c>
      <c r="AK96" s="1025">
        <v>0</v>
      </c>
      <c r="AL96" s="1025">
        <v>0</v>
      </c>
      <c r="AM96" s="1025">
        <v>0</v>
      </c>
      <c r="AN96" s="1025">
        <v>0</v>
      </c>
      <c r="AO96" s="1025">
        <v>0</v>
      </c>
      <c r="AP96" s="1025">
        <v>0</v>
      </c>
      <c r="AQ96" s="1025">
        <v>0</v>
      </c>
      <c r="AR96" s="1025">
        <v>0</v>
      </c>
      <c r="AS96" s="1025">
        <v>0</v>
      </c>
      <c r="AT96" s="1026">
        <v>0</v>
      </c>
      <c r="AU96" s="1025">
        <v>0</v>
      </c>
      <c r="AV96" s="1025">
        <v>0</v>
      </c>
      <c r="AW96" s="1025">
        <v>0</v>
      </c>
      <c r="AX96" s="1025">
        <v>0</v>
      </c>
      <c r="AY96" s="1025">
        <v>0</v>
      </c>
      <c r="AZ96" s="1025">
        <v>0</v>
      </c>
      <c r="BA96" s="1025">
        <v>0</v>
      </c>
      <c r="BB96" s="1026">
        <v>0</v>
      </c>
      <c r="BC96" s="1026">
        <v>82000</v>
      </c>
      <c r="BD96" s="1027">
        <v>0</v>
      </c>
      <c r="BE96" s="1027">
        <v>82000</v>
      </c>
      <c r="BG96" s="909"/>
      <c r="BH96" s="1028"/>
    </row>
    <row r="97" spans="1:60" ht="13.95" customHeight="1">
      <c r="A97" s="1017" t="s">
        <v>203</v>
      </c>
      <c r="B97" s="1017" t="s">
        <v>761</v>
      </c>
      <c r="C97" s="1025">
        <v>0</v>
      </c>
      <c r="D97" s="1025">
        <v>0</v>
      </c>
      <c r="E97" s="1025">
        <v>0</v>
      </c>
      <c r="F97" s="1025">
        <v>0</v>
      </c>
      <c r="G97" s="1025">
        <v>0</v>
      </c>
      <c r="H97" s="1025">
        <v>0</v>
      </c>
      <c r="I97" s="1025">
        <v>0</v>
      </c>
      <c r="J97" s="1025">
        <v>0</v>
      </c>
      <c r="K97" s="1025">
        <v>1055100</v>
      </c>
      <c r="L97" s="1025">
        <v>0</v>
      </c>
      <c r="M97" s="1025">
        <v>0</v>
      </c>
      <c r="N97" s="1025">
        <v>0</v>
      </c>
      <c r="O97" s="1025">
        <v>0</v>
      </c>
      <c r="P97" s="1025">
        <v>35600</v>
      </c>
      <c r="Q97" s="1026">
        <v>1090700</v>
      </c>
      <c r="R97" s="1025">
        <v>0</v>
      </c>
      <c r="S97" s="1026">
        <v>0</v>
      </c>
      <c r="T97" s="1025">
        <v>258100</v>
      </c>
      <c r="U97" s="1025">
        <v>0</v>
      </c>
      <c r="V97" s="1025">
        <v>0</v>
      </c>
      <c r="W97" s="1025">
        <v>0</v>
      </c>
      <c r="X97" s="1025">
        <v>0</v>
      </c>
      <c r="Y97" s="1025">
        <v>0</v>
      </c>
      <c r="Z97" s="1025">
        <v>0</v>
      </c>
      <c r="AA97" s="1025">
        <v>0</v>
      </c>
      <c r="AB97" s="1025">
        <v>0</v>
      </c>
      <c r="AC97" s="1025">
        <v>0</v>
      </c>
      <c r="AD97" s="1025">
        <v>0</v>
      </c>
      <c r="AE97" s="1025">
        <v>0</v>
      </c>
      <c r="AF97" s="1025">
        <v>0</v>
      </c>
      <c r="AG97" s="1025">
        <v>284800</v>
      </c>
      <c r="AH97" s="1025">
        <v>0</v>
      </c>
      <c r="AI97" s="1025">
        <v>0</v>
      </c>
      <c r="AJ97" s="1025">
        <v>0</v>
      </c>
      <c r="AK97" s="1025">
        <v>0</v>
      </c>
      <c r="AL97" s="1025">
        <v>311500</v>
      </c>
      <c r="AM97" s="1025">
        <v>0</v>
      </c>
      <c r="AN97" s="1025">
        <v>0</v>
      </c>
      <c r="AO97" s="1025">
        <v>0</v>
      </c>
      <c r="AP97" s="1025">
        <v>0</v>
      </c>
      <c r="AQ97" s="1025">
        <v>0</v>
      </c>
      <c r="AR97" s="1025">
        <v>0</v>
      </c>
      <c r="AS97" s="1025">
        <v>0</v>
      </c>
      <c r="AT97" s="1026">
        <v>854400</v>
      </c>
      <c r="AU97" s="1025">
        <v>0</v>
      </c>
      <c r="AV97" s="1025">
        <v>0</v>
      </c>
      <c r="AW97" s="1025">
        <v>0</v>
      </c>
      <c r="AX97" s="1025">
        <v>0</v>
      </c>
      <c r="AY97" s="1025">
        <v>0</v>
      </c>
      <c r="AZ97" s="1025">
        <v>0</v>
      </c>
      <c r="BA97" s="1025">
        <v>200000</v>
      </c>
      <c r="BB97" s="1026">
        <v>200000</v>
      </c>
      <c r="BC97" s="1026">
        <v>2145100</v>
      </c>
      <c r="BD97" s="1027">
        <v>596300</v>
      </c>
      <c r="BE97" s="1027">
        <v>1548800</v>
      </c>
      <c r="BG97" s="909"/>
      <c r="BH97" s="1028"/>
    </row>
    <row r="98" spans="1:60" ht="13.95" customHeight="1">
      <c r="A98" s="1029"/>
      <c r="B98" s="1030" t="s">
        <v>762</v>
      </c>
      <c r="C98" s="1031">
        <v>0</v>
      </c>
      <c r="D98" s="1031">
        <v>0</v>
      </c>
      <c r="E98" s="1031">
        <v>0</v>
      </c>
      <c r="F98" s="1031">
        <v>0</v>
      </c>
      <c r="G98" s="1031">
        <v>0</v>
      </c>
      <c r="H98" s="1031">
        <v>0</v>
      </c>
      <c r="I98" s="1031">
        <v>0</v>
      </c>
      <c r="J98" s="1031">
        <v>0</v>
      </c>
      <c r="K98" s="1031">
        <v>1515000</v>
      </c>
      <c r="L98" s="1031">
        <v>120800</v>
      </c>
      <c r="M98" s="1031">
        <v>869500</v>
      </c>
      <c r="N98" s="1031">
        <v>0</v>
      </c>
      <c r="O98" s="1031">
        <v>3829578</v>
      </c>
      <c r="P98" s="1031">
        <v>9360922</v>
      </c>
      <c r="Q98" s="1031">
        <v>15695800</v>
      </c>
      <c r="R98" s="1031">
        <v>0</v>
      </c>
      <c r="S98" s="1031">
        <v>0</v>
      </c>
      <c r="T98" s="1031">
        <v>8954010</v>
      </c>
      <c r="U98" s="1031">
        <v>0</v>
      </c>
      <c r="V98" s="1031">
        <v>0</v>
      </c>
      <c r="W98" s="1031">
        <v>0</v>
      </c>
      <c r="X98" s="1031">
        <v>0</v>
      </c>
      <c r="Y98" s="1031">
        <v>0</v>
      </c>
      <c r="Z98" s="1031">
        <v>0</v>
      </c>
      <c r="AA98" s="1031">
        <v>0</v>
      </c>
      <c r="AB98" s="1031">
        <v>3291170</v>
      </c>
      <c r="AC98" s="1031">
        <v>0</v>
      </c>
      <c r="AD98" s="1031">
        <v>0</v>
      </c>
      <c r="AE98" s="1031">
        <v>0</v>
      </c>
      <c r="AF98" s="1031">
        <v>0</v>
      </c>
      <c r="AG98" s="1031">
        <v>10465300</v>
      </c>
      <c r="AH98" s="1031">
        <v>0</v>
      </c>
      <c r="AI98" s="1031">
        <v>0</v>
      </c>
      <c r="AJ98" s="1031">
        <v>0</v>
      </c>
      <c r="AK98" s="1031">
        <v>0</v>
      </c>
      <c r="AL98" s="1031">
        <v>14782105</v>
      </c>
      <c r="AM98" s="1031">
        <v>0</v>
      </c>
      <c r="AN98" s="1031">
        <v>0</v>
      </c>
      <c r="AO98" s="1031">
        <v>0</v>
      </c>
      <c r="AP98" s="1031">
        <v>0</v>
      </c>
      <c r="AQ98" s="1031">
        <v>0</v>
      </c>
      <c r="AR98" s="1031">
        <v>0</v>
      </c>
      <c r="AS98" s="1031">
        <v>0</v>
      </c>
      <c r="AT98" s="1031">
        <v>37492585</v>
      </c>
      <c r="AU98" s="1031">
        <v>0</v>
      </c>
      <c r="AV98" s="1031">
        <v>0</v>
      </c>
      <c r="AW98" s="1031">
        <v>0</v>
      </c>
      <c r="AX98" s="1031">
        <v>0</v>
      </c>
      <c r="AY98" s="1031">
        <v>0</v>
      </c>
      <c r="AZ98" s="1031">
        <v>0</v>
      </c>
      <c r="BA98" s="1031">
        <v>1000000</v>
      </c>
      <c r="BB98" s="1031">
        <v>1000000</v>
      </c>
      <c r="BC98" s="1031">
        <v>54188385</v>
      </c>
      <c r="BD98" s="1032">
        <v>25247405</v>
      </c>
      <c r="BE98" s="1032">
        <v>28940980</v>
      </c>
      <c r="BG98" s="909"/>
      <c r="BH98" s="1028"/>
    </row>
    <row r="99" spans="1:60" ht="15" customHeight="1">
      <c r="A99" s="1033"/>
      <c r="B99" s="1034" t="s">
        <v>763</v>
      </c>
      <c r="C99" s="1035">
        <v>51000</v>
      </c>
      <c r="D99" s="1035">
        <v>0</v>
      </c>
      <c r="E99" s="1035">
        <v>0</v>
      </c>
      <c r="F99" s="1035">
        <v>0</v>
      </c>
      <c r="G99" s="1035">
        <v>0</v>
      </c>
      <c r="H99" s="1035">
        <v>0</v>
      </c>
      <c r="I99" s="1035">
        <v>0</v>
      </c>
      <c r="J99" s="1035">
        <v>0</v>
      </c>
      <c r="K99" s="1035">
        <v>1610000</v>
      </c>
      <c r="L99" s="1035">
        <v>120800</v>
      </c>
      <c r="M99" s="1035">
        <v>1151350</v>
      </c>
      <c r="N99" s="1035">
        <v>0</v>
      </c>
      <c r="O99" s="1035">
        <v>9619778</v>
      </c>
      <c r="P99" s="1035">
        <v>67221853</v>
      </c>
      <c r="Q99" s="1035">
        <v>79774781</v>
      </c>
      <c r="R99" s="1035">
        <v>0</v>
      </c>
      <c r="S99" s="1035">
        <v>0</v>
      </c>
      <c r="T99" s="1035">
        <v>66316160</v>
      </c>
      <c r="U99" s="1035">
        <v>0</v>
      </c>
      <c r="V99" s="1035">
        <v>0</v>
      </c>
      <c r="W99" s="1035">
        <v>0</v>
      </c>
      <c r="X99" s="1035">
        <v>0</v>
      </c>
      <c r="Y99" s="1035">
        <v>0</v>
      </c>
      <c r="Z99" s="1035">
        <v>0</v>
      </c>
      <c r="AA99" s="1035">
        <v>0</v>
      </c>
      <c r="AB99" s="1035">
        <v>42938538</v>
      </c>
      <c r="AC99" s="1035">
        <v>0</v>
      </c>
      <c r="AD99" s="1035">
        <v>0</v>
      </c>
      <c r="AE99" s="1035">
        <v>0</v>
      </c>
      <c r="AF99" s="1035">
        <v>0</v>
      </c>
      <c r="AG99" s="1035">
        <v>41152534</v>
      </c>
      <c r="AH99" s="1035">
        <v>0</v>
      </c>
      <c r="AI99" s="1035">
        <v>0</v>
      </c>
      <c r="AJ99" s="1035">
        <v>0</v>
      </c>
      <c r="AK99" s="1035">
        <v>0</v>
      </c>
      <c r="AL99" s="1035">
        <v>46052847</v>
      </c>
      <c r="AM99" s="1035">
        <v>7043407</v>
      </c>
      <c r="AN99" s="1035">
        <v>0</v>
      </c>
      <c r="AO99" s="1035">
        <v>3281157</v>
      </c>
      <c r="AP99" s="1035">
        <v>0</v>
      </c>
      <c r="AQ99" s="1035">
        <v>0</v>
      </c>
      <c r="AR99" s="1035">
        <v>0</v>
      </c>
      <c r="AS99" s="1035">
        <v>0</v>
      </c>
      <c r="AT99" s="1035">
        <v>206784643</v>
      </c>
      <c r="AU99" s="1035">
        <v>0</v>
      </c>
      <c r="AV99" s="1035">
        <v>0</v>
      </c>
      <c r="AW99" s="1035">
        <v>0</v>
      </c>
      <c r="AX99" s="1035">
        <v>0</v>
      </c>
      <c r="AY99" s="1035">
        <v>0</v>
      </c>
      <c r="AZ99" s="1035">
        <v>0</v>
      </c>
      <c r="BA99" s="1035">
        <v>1000000</v>
      </c>
      <c r="BB99" s="1035">
        <v>1000000</v>
      </c>
      <c r="BC99" s="1035">
        <v>287559424</v>
      </c>
      <c r="BD99" s="1036">
        <v>94248788</v>
      </c>
      <c r="BE99" s="1036">
        <v>193310636</v>
      </c>
      <c r="BG99" s="909"/>
      <c r="BH99" s="1028"/>
    </row>
    <row r="100" spans="1:60" ht="13.95" customHeight="1">
      <c r="A100" s="1017" t="s">
        <v>648</v>
      </c>
      <c r="B100" s="1017" t="s">
        <v>1356</v>
      </c>
      <c r="C100" s="1025">
        <v>0</v>
      </c>
      <c r="D100" s="1025">
        <v>0</v>
      </c>
      <c r="E100" s="1025">
        <v>0</v>
      </c>
      <c r="F100" s="1025">
        <v>0</v>
      </c>
      <c r="G100" s="1025">
        <v>0</v>
      </c>
      <c r="H100" s="1025">
        <v>0</v>
      </c>
      <c r="I100" s="1025">
        <v>0</v>
      </c>
      <c r="J100" s="1025">
        <v>0</v>
      </c>
      <c r="K100" s="1025">
        <v>0</v>
      </c>
      <c r="L100" s="1025">
        <v>0</v>
      </c>
      <c r="M100" s="1025">
        <v>0</v>
      </c>
      <c r="N100" s="1025">
        <v>0</v>
      </c>
      <c r="O100" s="1025">
        <v>2196631825.3100014</v>
      </c>
      <c r="P100" s="1025">
        <v>0</v>
      </c>
      <c r="Q100" s="1026">
        <v>2196631825.3100014</v>
      </c>
      <c r="R100" s="1025">
        <v>0</v>
      </c>
      <c r="S100" s="1026">
        <v>0</v>
      </c>
      <c r="T100" s="1025">
        <v>0</v>
      </c>
      <c r="U100" s="1025">
        <v>0</v>
      </c>
      <c r="V100" s="1025">
        <v>0</v>
      </c>
      <c r="W100" s="1025">
        <v>0</v>
      </c>
      <c r="X100" s="1025">
        <v>0</v>
      </c>
      <c r="Y100" s="1025">
        <v>0</v>
      </c>
      <c r="Z100" s="1025">
        <v>0</v>
      </c>
      <c r="AA100" s="1025">
        <v>0</v>
      </c>
      <c r="AB100" s="1025">
        <v>0</v>
      </c>
      <c r="AC100" s="1025">
        <v>0</v>
      </c>
      <c r="AD100" s="1025">
        <v>0</v>
      </c>
      <c r="AE100" s="1025">
        <v>0</v>
      </c>
      <c r="AF100" s="1025">
        <v>0</v>
      </c>
      <c r="AG100" s="1025">
        <v>0</v>
      </c>
      <c r="AH100" s="1025">
        <v>0</v>
      </c>
      <c r="AI100" s="1025">
        <v>0</v>
      </c>
      <c r="AJ100" s="1025">
        <v>0</v>
      </c>
      <c r="AK100" s="1025">
        <v>0</v>
      </c>
      <c r="AL100" s="1025">
        <v>0</v>
      </c>
      <c r="AM100" s="1025">
        <v>0</v>
      </c>
      <c r="AN100" s="1025">
        <v>0</v>
      </c>
      <c r="AO100" s="1025">
        <v>0</v>
      </c>
      <c r="AP100" s="1025">
        <v>0</v>
      </c>
      <c r="AQ100" s="1025">
        <v>0</v>
      </c>
      <c r="AR100" s="1025">
        <v>0</v>
      </c>
      <c r="AS100" s="1025">
        <v>0</v>
      </c>
      <c r="AT100" s="1026">
        <v>0</v>
      </c>
      <c r="AU100" s="1025">
        <v>0</v>
      </c>
      <c r="AV100" s="1025">
        <v>0</v>
      </c>
      <c r="AW100" s="1025">
        <v>0</v>
      </c>
      <c r="AX100" s="1025">
        <v>0</v>
      </c>
      <c r="AY100" s="1025">
        <v>0</v>
      </c>
      <c r="AZ100" s="1025">
        <v>0</v>
      </c>
      <c r="BA100" s="1025">
        <v>0</v>
      </c>
      <c r="BB100" s="1026">
        <v>0</v>
      </c>
      <c r="BC100" s="1026">
        <v>2196631825.3100014</v>
      </c>
      <c r="BD100" s="1027">
        <v>0</v>
      </c>
      <c r="BE100" s="1027">
        <v>2196631825.3100014</v>
      </c>
      <c r="BG100" s="909"/>
      <c r="BH100" s="1028"/>
    </row>
    <row r="101" spans="1:60" ht="15" customHeight="1">
      <c r="A101" s="1033"/>
      <c r="B101" s="1034" t="s">
        <v>1357</v>
      </c>
      <c r="C101" s="1035">
        <v>0</v>
      </c>
      <c r="D101" s="1035">
        <v>0</v>
      </c>
      <c r="E101" s="1035">
        <v>0</v>
      </c>
      <c r="F101" s="1035">
        <v>0</v>
      </c>
      <c r="G101" s="1035">
        <v>0</v>
      </c>
      <c r="H101" s="1035">
        <v>0</v>
      </c>
      <c r="I101" s="1035">
        <v>0</v>
      </c>
      <c r="J101" s="1035">
        <v>0</v>
      </c>
      <c r="K101" s="1035">
        <v>0</v>
      </c>
      <c r="L101" s="1035">
        <v>0</v>
      </c>
      <c r="M101" s="1035">
        <v>0</v>
      </c>
      <c r="N101" s="1035">
        <v>0</v>
      </c>
      <c r="O101" s="1035">
        <v>2196631825.3100014</v>
      </c>
      <c r="P101" s="1035">
        <v>0</v>
      </c>
      <c r="Q101" s="1035">
        <v>2196631825.3100014</v>
      </c>
      <c r="R101" s="1035">
        <v>0</v>
      </c>
      <c r="S101" s="1035">
        <v>0</v>
      </c>
      <c r="T101" s="1035">
        <v>0</v>
      </c>
      <c r="U101" s="1035">
        <v>0</v>
      </c>
      <c r="V101" s="1035">
        <v>0</v>
      </c>
      <c r="W101" s="1035">
        <v>0</v>
      </c>
      <c r="X101" s="1035">
        <v>0</v>
      </c>
      <c r="Y101" s="1035">
        <v>0</v>
      </c>
      <c r="Z101" s="1035">
        <v>0</v>
      </c>
      <c r="AA101" s="1035">
        <v>0</v>
      </c>
      <c r="AB101" s="1035">
        <v>0</v>
      </c>
      <c r="AC101" s="1035">
        <v>0</v>
      </c>
      <c r="AD101" s="1035">
        <v>0</v>
      </c>
      <c r="AE101" s="1035">
        <v>0</v>
      </c>
      <c r="AF101" s="1035">
        <v>0</v>
      </c>
      <c r="AG101" s="1035">
        <v>0</v>
      </c>
      <c r="AH101" s="1035">
        <v>0</v>
      </c>
      <c r="AI101" s="1035">
        <v>0</v>
      </c>
      <c r="AJ101" s="1035">
        <v>0</v>
      </c>
      <c r="AK101" s="1035">
        <v>0</v>
      </c>
      <c r="AL101" s="1035">
        <v>0</v>
      </c>
      <c r="AM101" s="1035">
        <v>0</v>
      </c>
      <c r="AN101" s="1035">
        <v>0</v>
      </c>
      <c r="AO101" s="1035">
        <v>0</v>
      </c>
      <c r="AP101" s="1035">
        <v>0</v>
      </c>
      <c r="AQ101" s="1035">
        <v>0</v>
      </c>
      <c r="AR101" s="1035">
        <v>0</v>
      </c>
      <c r="AS101" s="1035">
        <v>0</v>
      </c>
      <c r="AT101" s="1035">
        <v>0</v>
      </c>
      <c r="AU101" s="1035">
        <v>0</v>
      </c>
      <c r="AV101" s="1035">
        <v>0</v>
      </c>
      <c r="AW101" s="1035">
        <v>0</v>
      </c>
      <c r="AX101" s="1035">
        <v>0</v>
      </c>
      <c r="AY101" s="1035">
        <v>0</v>
      </c>
      <c r="AZ101" s="1035">
        <v>0</v>
      </c>
      <c r="BA101" s="1035">
        <v>0</v>
      </c>
      <c r="BB101" s="1035">
        <v>0</v>
      </c>
      <c r="BC101" s="1035">
        <v>2196631825.3100014</v>
      </c>
      <c r="BD101" s="1036">
        <v>0</v>
      </c>
      <c r="BE101" s="1036">
        <v>2196631825.3100014</v>
      </c>
      <c r="BG101" s="909"/>
      <c r="BH101" s="1028"/>
    </row>
    <row r="102" spans="1:60" ht="13.95" customHeight="1">
      <c r="A102" s="1017" t="s">
        <v>206</v>
      </c>
      <c r="B102" s="1017" t="s">
        <v>207</v>
      </c>
      <c r="C102" s="1025">
        <v>0</v>
      </c>
      <c r="D102" s="1025">
        <v>0</v>
      </c>
      <c r="E102" s="1025">
        <v>0</v>
      </c>
      <c r="F102" s="1025">
        <v>0</v>
      </c>
      <c r="G102" s="1025">
        <v>0</v>
      </c>
      <c r="H102" s="1025">
        <v>0</v>
      </c>
      <c r="I102" s="1025">
        <v>0</v>
      </c>
      <c r="J102" s="1025">
        <v>0</v>
      </c>
      <c r="K102" s="1025">
        <v>0</v>
      </c>
      <c r="L102" s="1025">
        <v>0</v>
      </c>
      <c r="M102" s="1025">
        <v>0</v>
      </c>
      <c r="N102" s="1025">
        <v>0</v>
      </c>
      <c r="O102" s="1025">
        <v>0</v>
      </c>
      <c r="P102" s="1025">
        <v>0</v>
      </c>
      <c r="Q102" s="1026">
        <v>0</v>
      </c>
      <c r="R102" s="1025">
        <v>0</v>
      </c>
      <c r="S102" s="1026">
        <v>0</v>
      </c>
      <c r="T102" s="1025">
        <v>0</v>
      </c>
      <c r="U102" s="1025">
        <v>0</v>
      </c>
      <c r="V102" s="1025">
        <v>0</v>
      </c>
      <c r="W102" s="1025">
        <v>0</v>
      </c>
      <c r="X102" s="1025">
        <v>0</v>
      </c>
      <c r="Y102" s="1025">
        <v>0</v>
      </c>
      <c r="Z102" s="1025">
        <v>0</v>
      </c>
      <c r="AA102" s="1025">
        <v>0</v>
      </c>
      <c r="AB102" s="1025">
        <v>0</v>
      </c>
      <c r="AC102" s="1025">
        <v>0</v>
      </c>
      <c r="AD102" s="1025">
        <v>0</v>
      </c>
      <c r="AE102" s="1025">
        <v>0</v>
      </c>
      <c r="AF102" s="1025">
        <v>0</v>
      </c>
      <c r="AG102" s="1025">
        <v>300000000</v>
      </c>
      <c r="AH102" s="1025">
        <v>0</v>
      </c>
      <c r="AI102" s="1025">
        <v>0</v>
      </c>
      <c r="AJ102" s="1025">
        <v>0</v>
      </c>
      <c r="AK102" s="1025">
        <v>0</v>
      </c>
      <c r="AL102" s="1025">
        <v>0</v>
      </c>
      <c r="AM102" s="1025">
        <v>0</v>
      </c>
      <c r="AN102" s="1025">
        <v>0</v>
      </c>
      <c r="AO102" s="1025">
        <v>0</v>
      </c>
      <c r="AP102" s="1025">
        <v>0</v>
      </c>
      <c r="AQ102" s="1025">
        <v>0</v>
      </c>
      <c r="AR102" s="1025">
        <v>0</v>
      </c>
      <c r="AS102" s="1025">
        <v>0</v>
      </c>
      <c r="AT102" s="1026">
        <v>300000000</v>
      </c>
      <c r="AU102" s="1025">
        <v>0</v>
      </c>
      <c r="AV102" s="1025">
        <v>0</v>
      </c>
      <c r="AW102" s="1025">
        <v>0</v>
      </c>
      <c r="AX102" s="1025">
        <v>0</v>
      </c>
      <c r="AY102" s="1025">
        <v>0</v>
      </c>
      <c r="AZ102" s="1025">
        <v>0</v>
      </c>
      <c r="BA102" s="1025">
        <v>0</v>
      </c>
      <c r="BB102" s="1026">
        <v>0</v>
      </c>
      <c r="BC102" s="1026">
        <v>300000000</v>
      </c>
      <c r="BD102" s="1027">
        <v>300000000</v>
      </c>
      <c r="BE102" s="1027">
        <v>0</v>
      </c>
      <c r="BG102" s="909"/>
      <c r="BH102" s="1028"/>
    </row>
    <row r="103" spans="1:60" ht="13.95" customHeight="1">
      <c r="A103" s="1017" t="s">
        <v>208</v>
      </c>
      <c r="B103" s="1017" t="s">
        <v>209</v>
      </c>
      <c r="C103" s="1025">
        <v>0</v>
      </c>
      <c r="D103" s="1025">
        <v>0</v>
      </c>
      <c r="E103" s="1025">
        <v>0</v>
      </c>
      <c r="F103" s="1025">
        <v>0</v>
      </c>
      <c r="G103" s="1025">
        <v>0</v>
      </c>
      <c r="H103" s="1025">
        <v>0</v>
      </c>
      <c r="I103" s="1025">
        <v>0</v>
      </c>
      <c r="J103" s="1025">
        <v>0</v>
      </c>
      <c r="K103" s="1025">
        <v>0</v>
      </c>
      <c r="L103" s="1025">
        <v>0</v>
      </c>
      <c r="M103" s="1025">
        <v>0</v>
      </c>
      <c r="N103" s="1025">
        <v>5643999.6600000001</v>
      </c>
      <c r="O103" s="1025">
        <v>0</v>
      </c>
      <c r="P103" s="1025">
        <v>0</v>
      </c>
      <c r="Q103" s="1026">
        <v>5643999.6600000001</v>
      </c>
      <c r="R103" s="1025">
        <v>3000000</v>
      </c>
      <c r="S103" s="1026">
        <v>3000000</v>
      </c>
      <c r="T103" s="1025">
        <v>0</v>
      </c>
      <c r="U103" s="1025">
        <v>0</v>
      </c>
      <c r="V103" s="1025">
        <v>0</v>
      </c>
      <c r="W103" s="1025">
        <v>0</v>
      </c>
      <c r="X103" s="1025">
        <v>0</v>
      </c>
      <c r="Y103" s="1025">
        <v>0</v>
      </c>
      <c r="Z103" s="1025">
        <v>0</v>
      </c>
      <c r="AA103" s="1025">
        <v>0</v>
      </c>
      <c r="AB103" s="1025">
        <v>0</v>
      </c>
      <c r="AC103" s="1025">
        <v>0</v>
      </c>
      <c r="AD103" s="1025">
        <v>0</v>
      </c>
      <c r="AE103" s="1025">
        <v>0</v>
      </c>
      <c r="AF103" s="1025">
        <v>0</v>
      </c>
      <c r="AG103" s="1025">
        <v>0</v>
      </c>
      <c r="AH103" s="1025">
        <v>0</v>
      </c>
      <c r="AI103" s="1025">
        <v>0</v>
      </c>
      <c r="AJ103" s="1025">
        <v>0</v>
      </c>
      <c r="AK103" s="1025">
        <v>0</v>
      </c>
      <c r="AL103" s="1025">
        <v>44660000</v>
      </c>
      <c r="AM103" s="1025">
        <v>0</v>
      </c>
      <c r="AN103" s="1025">
        <v>0</v>
      </c>
      <c r="AO103" s="1025">
        <v>0</v>
      </c>
      <c r="AP103" s="1025">
        <v>0</v>
      </c>
      <c r="AQ103" s="1025">
        <v>0</v>
      </c>
      <c r="AR103" s="1025">
        <v>0</v>
      </c>
      <c r="AS103" s="1025">
        <v>0</v>
      </c>
      <c r="AT103" s="1026">
        <v>44660000</v>
      </c>
      <c r="AU103" s="1025">
        <v>0</v>
      </c>
      <c r="AV103" s="1025">
        <v>0</v>
      </c>
      <c r="AW103" s="1025">
        <v>0</v>
      </c>
      <c r="AX103" s="1025">
        <v>0</v>
      </c>
      <c r="AY103" s="1025">
        <v>0</v>
      </c>
      <c r="AZ103" s="1025">
        <v>0</v>
      </c>
      <c r="BA103" s="1025">
        <v>0</v>
      </c>
      <c r="BB103" s="1026">
        <v>0</v>
      </c>
      <c r="BC103" s="1026">
        <v>53303999.659999996</v>
      </c>
      <c r="BD103" s="1027">
        <v>44660000</v>
      </c>
      <c r="BE103" s="1027">
        <v>8643999.6599999964</v>
      </c>
      <c r="BG103" s="909"/>
      <c r="BH103" s="1028"/>
    </row>
    <row r="104" spans="1:60" ht="13.95" customHeight="1">
      <c r="A104" s="1017" t="s">
        <v>212</v>
      </c>
      <c r="B104" s="1017" t="s">
        <v>802</v>
      </c>
      <c r="C104" s="1025">
        <v>0</v>
      </c>
      <c r="D104" s="1025">
        <v>0</v>
      </c>
      <c r="E104" s="1025">
        <v>0</v>
      </c>
      <c r="F104" s="1025">
        <v>0</v>
      </c>
      <c r="G104" s="1025">
        <v>0</v>
      </c>
      <c r="H104" s="1025">
        <v>0</v>
      </c>
      <c r="I104" s="1025">
        <v>0</v>
      </c>
      <c r="J104" s="1025">
        <v>0</v>
      </c>
      <c r="K104" s="1025">
        <v>0</v>
      </c>
      <c r="L104" s="1025">
        <v>0</v>
      </c>
      <c r="M104" s="1025">
        <v>0</v>
      </c>
      <c r="N104" s="1025">
        <v>90361718.75</v>
      </c>
      <c r="O104" s="1025">
        <v>0</v>
      </c>
      <c r="P104" s="1025">
        <v>0</v>
      </c>
      <c r="Q104" s="1026">
        <v>90361718.75</v>
      </c>
      <c r="R104" s="1025">
        <v>0</v>
      </c>
      <c r="S104" s="1026">
        <v>0</v>
      </c>
      <c r="T104" s="1025">
        <v>0</v>
      </c>
      <c r="U104" s="1025">
        <v>0</v>
      </c>
      <c r="V104" s="1025">
        <v>0</v>
      </c>
      <c r="W104" s="1025">
        <v>0</v>
      </c>
      <c r="X104" s="1025">
        <v>0</v>
      </c>
      <c r="Y104" s="1025">
        <v>0</v>
      </c>
      <c r="Z104" s="1025">
        <v>0</v>
      </c>
      <c r="AA104" s="1025">
        <v>0</v>
      </c>
      <c r="AB104" s="1025">
        <v>0</v>
      </c>
      <c r="AC104" s="1025">
        <v>0</v>
      </c>
      <c r="AD104" s="1025">
        <v>0</v>
      </c>
      <c r="AE104" s="1025">
        <v>0</v>
      </c>
      <c r="AF104" s="1025">
        <v>0</v>
      </c>
      <c r="AG104" s="1025">
        <v>213866468.75</v>
      </c>
      <c r="AH104" s="1025">
        <v>0</v>
      </c>
      <c r="AI104" s="1025">
        <v>0</v>
      </c>
      <c r="AJ104" s="1025">
        <v>0</v>
      </c>
      <c r="AK104" s="1025">
        <v>0</v>
      </c>
      <c r="AL104" s="1025">
        <v>124162500</v>
      </c>
      <c r="AM104" s="1025">
        <v>0</v>
      </c>
      <c r="AN104" s="1025">
        <v>0</v>
      </c>
      <c r="AO104" s="1025">
        <v>1108593.75</v>
      </c>
      <c r="AP104" s="1025">
        <v>0</v>
      </c>
      <c r="AQ104" s="1025">
        <v>0</v>
      </c>
      <c r="AR104" s="1025">
        <v>0</v>
      </c>
      <c r="AS104" s="1025">
        <v>0</v>
      </c>
      <c r="AT104" s="1026">
        <v>339137562.5</v>
      </c>
      <c r="AU104" s="1025">
        <v>0</v>
      </c>
      <c r="AV104" s="1025">
        <v>0</v>
      </c>
      <c r="AW104" s="1025">
        <v>0</v>
      </c>
      <c r="AX104" s="1025">
        <v>0</v>
      </c>
      <c r="AY104" s="1025">
        <v>0</v>
      </c>
      <c r="AZ104" s="1025">
        <v>0</v>
      </c>
      <c r="BA104" s="1025">
        <v>0</v>
      </c>
      <c r="BB104" s="1026">
        <v>0</v>
      </c>
      <c r="BC104" s="1026">
        <v>429499281.25</v>
      </c>
      <c r="BD104" s="1027">
        <v>338028968.75</v>
      </c>
      <c r="BE104" s="1027">
        <v>91470312.5</v>
      </c>
      <c r="BG104" s="909"/>
      <c r="BH104" s="1028"/>
    </row>
    <row r="105" spans="1:60" ht="13.95" customHeight="1">
      <c r="A105" s="1029"/>
      <c r="B105" s="1030" t="s">
        <v>764</v>
      </c>
      <c r="C105" s="1031">
        <v>0</v>
      </c>
      <c r="D105" s="1031">
        <v>0</v>
      </c>
      <c r="E105" s="1031">
        <v>0</v>
      </c>
      <c r="F105" s="1031">
        <v>0</v>
      </c>
      <c r="G105" s="1031">
        <v>0</v>
      </c>
      <c r="H105" s="1031">
        <v>0</v>
      </c>
      <c r="I105" s="1031">
        <v>0</v>
      </c>
      <c r="J105" s="1031">
        <v>0</v>
      </c>
      <c r="K105" s="1031">
        <v>0</v>
      </c>
      <c r="L105" s="1031">
        <v>0</v>
      </c>
      <c r="M105" s="1031">
        <v>0</v>
      </c>
      <c r="N105" s="1031">
        <v>96005718.409999996</v>
      </c>
      <c r="O105" s="1031">
        <v>0</v>
      </c>
      <c r="P105" s="1031">
        <v>0</v>
      </c>
      <c r="Q105" s="1031">
        <v>96005718.409999996</v>
      </c>
      <c r="R105" s="1031">
        <v>3000000</v>
      </c>
      <c r="S105" s="1031">
        <v>3000000</v>
      </c>
      <c r="T105" s="1031">
        <v>0</v>
      </c>
      <c r="U105" s="1031">
        <v>0</v>
      </c>
      <c r="V105" s="1031">
        <v>0</v>
      </c>
      <c r="W105" s="1031">
        <v>0</v>
      </c>
      <c r="X105" s="1031">
        <v>0</v>
      </c>
      <c r="Y105" s="1031">
        <v>0</v>
      </c>
      <c r="Z105" s="1031">
        <v>0</v>
      </c>
      <c r="AA105" s="1031">
        <v>0</v>
      </c>
      <c r="AB105" s="1031">
        <v>0</v>
      </c>
      <c r="AC105" s="1031">
        <v>0</v>
      </c>
      <c r="AD105" s="1031">
        <v>0</v>
      </c>
      <c r="AE105" s="1031">
        <v>0</v>
      </c>
      <c r="AF105" s="1031">
        <v>0</v>
      </c>
      <c r="AG105" s="1031">
        <v>513866468.75</v>
      </c>
      <c r="AH105" s="1031">
        <v>0</v>
      </c>
      <c r="AI105" s="1031">
        <v>0</v>
      </c>
      <c r="AJ105" s="1031">
        <v>0</v>
      </c>
      <c r="AK105" s="1031">
        <v>0</v>
      </c>
      <c r="AL105" s="1031">
        <v>168822500</v>
      </c>
      <c r="AM105" s="1031">
        <v>0</v>
      </c>
      <c r="AN105" s="1031">
        <v>0</v>
      </c>
      <c r="AO105" s="1031">
        <v>1108593.75</v>
      </c>
      <c r="AP105" s="1031">
        <v>0</v>
      </c>
      <c r="AQ105" s="1031">
        <v>0</v>
      </c>
      <c r="AR105" s="1031">
        <v>0</v>
      </c>
      <c r="AS105" s="1031">
        <v>0</v>
      </c>
      <c r="AT105" s="1031">
        <v>683797562.5</v>
      </c>
      <c r="AU105" s="1031">
        <v>0</v>
      </c>
      <c r="AV105" s="1031">
        <v>0</v>
      </c>
      <c r="AW105" s="1031">
        <v>0</v>
      </c>
      <c r="AX105" s="1031">
        <v>0</v>
      </c>
      <c r="AY105" s="1031">
        <v>0</v>
      </c>
      <c r="AZ105" s="1031">
        <v>0</v>
      </c>
      <c r="BA105" s="1031">
        <v>0</v>
      </c>
      <c r="BB105" s="1031">
        <v>0</v>
      </c>
      <c r="BC105" s="1031">
        <v>782803280.90999997</v>
      </c>
      <c r="BD105" s="1032">
        <v>682688968.75</v>
      </c>
      <c r="BE105" s="1032">
        <v>100114312.16</v>
      </c>
      <c r="BG105" s="909"/>
      <c r="BH105" s="1028"/>
    </row>
    <row r="106" spans="1:60" ht="13.95" customHeight="1">
      <c r="A106" s="1017" t="s">
        <v>352</v>
      </c>
      <c r="B106" s="1017" t="s">
        <v>765</v>
      </c>
      <c r="C106" s="1025">
        <v>0</v>
      </c>
      <c r="D106" s="1025">
        <v>0</v>
      </c>
      <c r="E106" s="1025">
        <v>0</v>
      </c>
      <c r="F106" s="1025">
        <v>0</v>
      </c>
      <c r="G106" s="1025">
        <v>0</v>
      </c>
      <c r="H106" s="1025">
        <v>0</v>
      </c>
      <c r="I106" s="1025">
        <v>0</v>
      </c>
      <c r="J106" s="1025">
        <v>0</v>
      </c>
      <c r="K106" s="1025">
        <v>0</v>
      </c>
      <c r="L106" s="1025">
        <v>0</v>
      </c>
      <c r="M106" s="1025">
        <v>0</v>
      </c>
      <c r="N106" s="1025">
        <v>497144880.05000001</v>
      </c>
      <c r="O106" s="1025">
        <v>0</v>
      </c>
      <c r="P106" s="1025">
        <v>0</v>
      </c>
      <c r="Q106" s="1026">
        <v>497144880.05000001</v>
      </c>
      <c r="R106" s="1025">
        <v>0</v>
      </c>
      <c r="S106" s="1026">
        <v>0</v>
      </c>
      <c r="T106" s="1025">
        <v>0</v>
      </c>
      <c r="U106" s="1025">
        <v>0</v>
      </c>
      <c r="V106" s="1025">
        <v>0</v>
      </c>
      <c r="W106" s="1025">
        <v>0</v>
      </c>
      <c r="X106" s="1025">
        <v>0</v>
      </c>
      <c r="Y106" s="1025">
        <v>0</v>
      </c>
      <c r="Z106" s="1025">
        <v>0</v>
      </c>
      <c r="AA106" s="1025">
        <v>0</v>
      </c>
      <c r="AB106" s="1025">
        <v>0</v>
      </c>
      <c r="AC106" s="1025">
        <v>0</v>
      </c>
      <c r="AD106" s="1025">
        <v>0</v>
      </c>
      <c r="AE106" s="1025">
        <v>0</v>
      </c>
      <c r="AF106" s="1025">
        <v>0</v>
      </c>
      <c r="AG106" s="1025">
        <v>19339073</v>
      </c>
      <c r="AH106" s="1025">
        <v>0</v>
      </c>
      <c r="AI106" s="1025">
        <v>0</v>
      </c>
      <c r="AJ106" s="1025">
        <v>0</v>
      </c>
      <c r="AK106" s="1025">
        <v>0</v>
      </c>
      <c r="AL106" s="1025">
        <v>0</v>
      </c>
      <c r="AM106" s="1025">
        <v>0</v>
      </c>
      <c r="AN106" s="1025">
        <v>0</v>
      </c>
      <c r="AO106" s="1025">
        <v>0</v>
      </c>
      <c r="AP106" s="1025">
        <v>0</v>
      </c>
      <c r="AQ106" s="1025">
        <v>0</v>
      </c>
      <c r="AR106" s="1025">
        <v>0</v>
      </c>
      <c r="AS106" s="1025">
        <v>0</v>
      </c>
      <c r="AT106" s="1026">
        <v>19339073</v>
      </c>
      <c r="AU106" s="1025">
        <v>0</v>
      </c>
      <c r="AV106" s="1025">
        <v>0</v>
      </c>
      <c r="AW106" s="1025">
        <v>0</v>
      </c>
      <c r="AX106" s="1025">
        <v>0</v>
      </c>
      <c r="AY106" s="1025">
        <v>0</v>
      </c>
      <c r="AZ106" s="1025">
        <v>0</v>
      </c>
      <c r="BA106" s="1025">
        <v>0</v>
      </c>
      <c r="BB106" s="1026">
        <v>0</v>
      </c>
      <c r="BC106" s="1026">
        <v>516483953.05000001</v>
      </c>
      <c r="BD106" s="1027">
        <v>19339073</v>
      </c>
      <c r="BE106" s="1027">
        <v>497144880.05000001</v>
      </c>
      <c r="BG106" s="909"/>
      <c r="BH106" s="1028"/>
    </row>
    <row r="107" spans="1:60" ht="13.95" customHeight="1">
      <c r="A107" s="1029"/>
      <c r="B107" s="1030" t="s">
        <v>766</v>
      </c>
      <c r="C107" s="1031">
        <v>0</v>
      </c>
      <c r="D107" s="1031">
        <v>0</v>
      </c>
      <c r="E107" s="1031">
        <v>0</v>
      </c>
      <c r="F107" s="1031">
        <v>0</v>
      </c>
      <c r="G107" s="1031">
        <v>0</v>
      </c>
      <c r="H107" s="1031">
        <v>0</v>
      </c>
      <c r="I107" s="1031">
        <v>0</v>
      </c>
      <c r="J107" s="1031">
        <v>0</v>
      </c>
      <c r="K107" s="1031">
        <v>0</v>
      </c>
      <c r="L107" s="1031">
        <v>0</v>
      </c>
      <c r="M107" s="1031">
        <v>0</v>
      </c>
      <c r="N107" s="1031">
        <v>497144880.05000001</v>
      </c>
      <c r="O107" s="1031">
        <v>0</v>
      </c>
      <c r="P107" s="1031">
        <v>0</v>
      </c>
      <c r="Q107" s="1031">
        <v>497144880.05000001</v>
      </c>
      <c r="R107" s="1031">
        <v>0</v>
      </c>
      <c r="S107" s="1031">
        <v>0</v>
      </c>
      <c r="T107" s="1031">
        <v>0</v>
      </c>
      <c r="U107" s="1031">
        <v>0</v>
      </c>
      <c r="V107" s="1031">
        <v>0</v>
      </c>
      <c r="W107" s="1031">
        <v>0</v>
      </c>
      <c r="X107" s="1031">
        <v>0</v>
      </c>
      <c r="Y107" s="1031">
        <v>0</v>
      </c>
      <c r="Z107" s="1031">
        <v>0</v>
      </c>
      <c r="AA107" s="1031">
        <v>0</v>
      </c>
      <c r="AB107" s="1031">
        <v>0</v>
      </c>
      <c r="AC107" s="1031">
        <v>0</v>
      </c>
      <c r="AD107" s="1031">
        <v>0</v>
      </c>
      <c r="AE107" s="1031">
        <v>0</v>
      </c>
      <c r="AF107" s="1031">
        <v>0</v>
      </c>
      <c r="AG107" s="1031">
        <v>19339073</v>
      </c>
      <c r="AH107" s="1031">
        <v>0</v>
      </c>
      <c r="AI107" s="1031">
        <v>0</v>
      </c>
      <c r="AJ107" s="1031">
        <v>0</v>
      </c>
      <c r="AK107" s="1031">
        <v>0</v>
      </c>
      <c r="AL107" s="1031">
        <v>0</v>
      </c>
      <c r="AM107" s="1031">
        <v>0</v>
      </c>
      <c r="AN107" s="1031">
        <v>0</v>
      </c>
      <c r="AO107" s="1031">
        <v>0</v>
      </c>
      <c r="AP107" s="1031">
        <v>0</v>
      </c>
      <c r="AQ107" s="1031">
        <v>0</v>
      </c>
      <c r="AR107" s="1031">
        <v>0</v>
      </c>
      <c r="AS107" s="1031">
        <v>0</v>
      </c>
      <c r="AT107" s="1031">
        <v>19339073</v>
      </c>
      <c r="AU107" s="1031">
        <v>0</v>
      </c>
      <c r="AV107" s="1031">
        <v>0</v>
      </c>
      <c r="AW107" s="1031">
        <v>0</v>
      </c>
      <c r="AX107" s="1031">
        <v>0</v>
      </c>
      <c r="AY107" s="1031">
        <v>0</v>
      </c>
      <c r="AZ107" s="1031">
        <v>0</v>
      </c>
      <c r="BA107" s="1031">
        <v>0</v>
      </c>
      <c r="BB107" s="1031">
        <v>0</v>
      </c>
      <c r="BC107" s="1031">
        <v>516483953.05000001</v>
      </c>
      <c r="BD107" s="1032">
        <v>19339073</v>
      </c>
      <c r="BE107" s="1032">
        <v>497144880.05000001</v>
      </c>
      <c r="BG107" s="909"/>
      <c r="BH107" s="1028"/>
    </row>
    <row r="108" spans="1:60" ht="15" customHeight="1">
      <c r="A108" s="1033"/>
      <c r="B108" s="1034" t="s">
        <v>767</v>
      </c>
      <c r="C108" s="1035">
        <v>0</v>
      </c>
      <c r="D108" s="1035">
        <v>0</v>
      </c>
      <c r="E108" s="1035">
        <v>0</v>
      </c>
      <c r="F108" s="1035">
        <v>0</v>
      </c>
      <c r="G108" s="1035">
        <v>0</v>
      </c>
      <c r="H108" s="1035">
        <v>0</v>
      </c>
      <c r="I108" s="1035">
        <v>0</v>
      </c>
      <c r="J108" s="1035">
        <v>0</v>
      </c>
      <c r="K108" s="1035">
        <v>0</v>
      </c>
      <c r="L108" s="1035">
        <v>0</v>
      </c>
      <c r="M108" s="1035">
        <v>0</v>
      </c>
      <c r="N108" s="1035">
        <v>593150598.46000004</v>
      </c>
      <c r="O108" s="1035">
        <v>0</v>
      </c>
      <c r="P108" s="1035">
        <v>0</v>
      </c>
      <c r="Q108" s="1035">
        <v>593150598.46000004</v>
      </c>
      <c r="R108" s="1035">
        <v>3000000</v>
      </c>
      <c r="S108" s="1035">
        <v>3000000</v>
      </c>
      <c r="T108" s="1035">
        <v>0</v>
      </c>
      <c r="U108" s="1035">
        <v>0</v>
      </c>
      <c r="V108" s="1035">
        <v>0</v>
      </c>
      <c r="W108" s="1035">
        <v>0</v>
      </c>
      <c r="X108" s="1035">
        <v>0</v>
      </c>
      <c r="Y108" s="1035">
        <v>0</v>
      </c>
      <c r="Z108" s="1035">
        <v>0</v>
      </c>
      <c r="AA108" s="1035">
        <v>0</v>
      </c>
      <c r="AB108" s="1035">
        <v>0</v>
      </c>
      <c r="AC108" s="1035">
        <v>0</v>
      </c>
      <c r="AD108" s="1035">
        <v>0</v>
      </c>
      <c r="AE108" s="1035">
        <v>0</v>
      </c>
      <c r="AF108" s="1035">
        <v>0</v>
      </c>
      <c r="AG108" s="1035">
        <v>533205541.75</v>
      </c>
      <c r="AH108" s="1035">
        <v>0</v>
      </c>
      <c r="AI108" s="1035">
        <v>0</v>
      </c>
      <c r="AJ108" s="1035">
        <v>0</v>
      </c>
      <c r="AK108" s="1035">
        <v>0</v>
      </c>
      <c r="AL108" s="1035">
        <v>168822500</v>
      </c>
      <c r="AM108" s="1035">
        <v>0</v>
      </c>
      <c r="AN108" s="1035">
        <v>0</v>
      </c>
      <c r="AO108" s="1035">
        <v>1108593.75</v>
      </c>
      <c r="AP108" s="1035">
        <v>0</v>
      </c>
      <c r="AQ108" s="1035">
        <v>0</v>
      </c>
      <c r="AR108" s="1035">
        <v>0</v>
      </c>
      <c r="AS108" s="1035">
        <v>0</v>
      </c>
      <c r="AT108" s="1035">
        <v>703136635.5</v>
      </c>
      <c r="AU108" s="1035">
        <v>0</v>
      </c>
      <c r="AV108" s="1035">
        <v>0</v>
      </c>
      <c r="AW108" s="1035">
        <v>0</v>
      </c>
      <c r="AX108" s="1035">
        <v>0</v>
      </c>
      <c r="AY108" s="1035">
        <v>0</v>
      </c>
      <c r="AZ108" s="1035">
        <v>0</v>
      </c>
      <c r="BA108" s="1035">
        <v>0</v>
      </c>
      <c r="BB108" s="1035">
        <v>0</v>
      </c>
      <c r="BC108" s="1035">
        <v>1299287233.96</v>
      </c>
      <c r="BD108" s="1036">
        <v>702028041.75</v>
      </c>
      <c r="BE108" s="1036">
        <v>597259192.21000004</v>
      </c>
      <c r="BG108" s="909"/>
      <c r="BH108" s="1028"/>
    </row>
    <row r="109" spans="1:60" ht="13.95" customHeight="1">
      <c r="A109" s="1017" t="s">
        <v>302</v>
      </c>
      <c r="B109" s="1017" t="s">
        <v>354</v>
      </c>
      <c r="C109" s="1025">
        <v>0</v>
      </c>
      <c r="D109" s="1025">
        <v>0</v>
      </c>
      <c r="E109" s="1025">
        <v>0</v>
      </c>
      <c r="F109" s="1025">
        <v>0</v>
      </c>
      <c r="G109" s="1025">
        <v>0</v>
      </c>
      <c r="H109" s="1025">
        <v>0</v>
      </c>
      <c r="I109" s="1025">
        <v>60000000</v>
      </c>
      <c r="J109" s="1025">
        <v>0</v>
      </c>
      <c r="K109" s="1025">
        <v>0</v>
      </c>
      <c r="L109" s="1025">
        <v>0</v>
      </c>
      <c r="M109" s="1025">
        <v>0</v>
      </c>
      <c r="N109" s="1025">
        <v>0</v>
      </c>
      <c r="O109" s="1025">
        <v>0</v>
      </c>
      <c r="P109" s="1025">
        <v>0</v>
      </c>
      <c r="Q109" s="1026">
        <v>60000000</v>
      </c>
      <c r="R109" s="1025">
        <v>0</v>
      </c>
      <c r="S109" s="1026">
        <v>0</v>
      </c>
      <c r="T109" s="1025">
        <v>0</v>
      </c>
      <c r="U109" s="1025">
        <v>0</v>
      </c>
      <c r="V109" s="1025">
        <v>0</v>
      </c>
      <c r="W109" s="1025">
        <v>0</v>
      </c>
      <c r="X109" s="1025">
        <v>0</v>
      </c>
      <c r="Y109" s="1025">
        <v>0</v>
      </c>
      <c r="Z109" s="1025">
        <v>0</v>
      </c>
      <c r="AA109" s="1025">
        <v>0</v>
      </c>
      <c r="AB109" s="1025">
        <v>0</v>
      </c>
      <c r="AC109" s="1025">
        <v>0</v>
      </c>
      <c r="AD109" s="1025">
        <v>0</v>
      </c>
      <c r="AE109" s="1025">
        <v>0</v>
      </c>
      <c r="AF109" s="1025">
        <v>0</v>
      </c>
      <c r="AG109" s="1025">
        <v>0</v>
      </c>
      <c r="AH109" s="1025">
        <v>0</v>
      </c>
      <c r="AI109" s="1025">
        <v>411894272</v>
      </c>
      <c r="AJ109" s="1025">
        <v>0</v>
      </c>
      <c r="AK109" s="1025">
        <v>0</v>
      </c>
      <c r="AL109" s="1025">
        <v>0</v>
      </c>
      <c r="AM109" s="1025">
        <v>0</v>
      </c>
      <c r="AN109" s="1025">
        <v>0</v>
      </c>
      <c r="AO109" s="1025">
        <v>0</v>
      </c>
      <c r="AP109" s="1025">
        <v>0</v>
      </c>
      <c r="AQ109" s="1025">
        <v>0</v>
      </c>
      <c r="AR109" s="1025">
        <v>0</v>
      </c>
      <c r="AS109" s="1025">
        <v>0</v>
      </c>
      <c r="AT109" s="1026">
        <v>411894272</v>
      </c>
      <c r="AU109" s="1025">
        <v>0</v>
      </c>
      <c r="AV109" s="1025">
        <v>0</v>
      </c>
      <c r="AW109" s="1025">
        <v>0</v>
      </c>
      <c r="AX109" s="1025">
        <v>0</v>
      </c>
      <c r="AY109" s="1025">
        <v>0</v>
      </c>
      <c r="AZ109" s="1025">
        <v>0</v>
      </c>
      <c r="BA109" s="1025">
        <v>0</v>
      </c>
      <c r="BB109" s="1026">
        <v>0</v>
      </c>
      <c r="BC109" s="1026">
        <v>471894272</v>
      </c>
      <c r="BD109" s="1027">
        <v>0</v>
      </c>
      <c r="BE109" s="1027">
        <v>471894272</v>
      </c>
      <c r="BG109" s="909"/>
      <c r="BH109" s="1028"/>
    </row>
    <row r="110" spans="1:60" ht="13.95" customHeight="1">
      <c r="A110" s="1029"/>
      <c r="B110" s="1030" t="s">
        <v>768</v>
      </c>
      <c r="C110" s="1031">
        <v>0</v>
      </c>
      <c r="D110" s="1031">
        <v>0</v>
      </c>
      <c r="E110" s="1031">
        <v>0</v>
      </c>
      <c r="F110" s="1031">
        <v>0</v>
      </c>
      <c r="G110" s="1031">
        <v>0</v>
      </c>
      <c r="H110" s="1031">
        <v>0</v>
      </c>
      <c r="I110" s="1031">
        <v>60000000</v>
      </c>
      <c r="J110" s="1031">
        <v>0</v>
      </c>
      <c r="K110" s="1031">
        <v>0</v>
      </c>
      <c r="L110" s="1031">
        <v>0</v>
      </c>
      <c r="M110" s="1031">
        <v>0</v>
      </c>
      <c r="N110" s="1031">
        <v>0</v>
      </c>
      <c r="O110" s="1031">
        <v>0</v>
      </c>
      <c r="P110" s="1031">
        <v>0</v>
      </c>
      <c r="Q110" s="1031">
        <v>60000000</v>
      </c>
      <c r="R110" s="1031">
        <v>0</v>
      </c>
      <c r="S110" s="1031">
        <v>0</v>
      </c>
      <c r="T110" s="1031">
        <v>0</v>
      </c>
      <c r="U110" s="1031">
        <v>0</v>
      </c>
      <c r="V110" s="1031">
        <v>0</v>
      </c>
      <c r="W110" s="1031">
        <v>0</v>
      </c>
      <c r="X110" s="1031">
        <v>0</v>
      </c>
      <c r="Y110" s="1031">
        <v>0</v>
      </c>
      <c r="Z110" s="1031">
        <v>0</v>
      </c>
      <c r="AA110" s="1031">
        <v>0</v>
      </c>
      <c r="AB110" s="1031">
        <v>0</v>
      </c>
      <c r="AC110" s="1031">
        <v>0</v>
      </c>
      <c r="AD110" s="1031">
        <v>0</v>
      </c>
      <c r="AE110" s="1031">
        <v>0</v>
      </c>
      <c r="AF110" s="1031">
        <v>0</v>
      </c>
      <c r="AG110" s="1031">
        <v>0</v>
      </c>
      <c r="AH110" s="1031">
        <v>0</v>
      </c>
      <c r="AI110" s="1031">
        <v>411894272</v>
      </c>
      <c r="AJ110" s="1031">
        <v>0</v>
      </c>
      <c r="AK110" s="1031">
        <v>0</v>
      </c>
      <c r="AL110" s="1031">
        <v>0</v>
      </c>
      <c r="AM110" s="1031">
        <v>0</v>
      </c>
      <c r="AN110" s="1031">
        <v>0</v>
      </c>
      <c r="AO110" s="1031">
        <v>0</v>
      </c>
      <c r="AP110" s="1031">
        <v>0</v>
      </c>
      <c r="AQ110" s="1031">
        <v>0</v>
      </c>
      <c r="AR110" s="1031">
        <v>0</v>
      </c>
      <c r="AS110" s="1031">
        <v>0</v>
      </c>
      <c r="AT110" s="1031">
        <v>411894272</v>
      </c>
      <c r="AU110" s="1031">
        <v>0</v>
      </c>
      <c r="AV110" s="1031">
        <v>0</v>
      </c>
      <c r="AW110" s="1031">
        <v>0</v>
      </c>
      <c r="AX110" s="1031">
        <v>0</v>
      </c>
      <c r="AY110" s="1031">
        <v>0</v>
      </c>
      <c r="AZ110" s="1031">
        <v>0</v>
      </c>
      <c r="BA110" s="1031">
        <v>0</v>
      </c>
      <c r="BB110" s="1031">
        <v>0</v>
      </c>
      <c r="BC110" s="1031">
        <v>471894272</v>
      </c>
      <c r="BD110" s="1032">
        <v>0</v>
      </c>
      <c r="BE110" s="1032">
        <v>471894272</v>
      </c>
      <c r="BG110" s="909"/>
      <c r="BH110" s="1028"/>
    </row>
    <row r="111" spans="1:60" ht="13.95" customHeight="1">
      <c r="A111" s="1017" t="s">
        <v>614</v>
      </c>
      <c r="B111" s="1017" t="s">
        <v>615</v>
      </c>
      <c r="C111" s="1025">
        <v>0</v>
      </c>
      <c r="D111" s="1025">
        <v>0</v>
      </c>
      <c r="E111" s="1025">
        <v>0</v>
      </c>
      <c r="F111" s="1025">
        <v>0</v>
      </c>
      <c r="G111" s="1025">
        <v>0</v>
      </c>
      <c r="H111" s="1025">
        <v>0</v>
      </c>
      <c r="I111" s="1025">
        <v>0</v>
      </c>
      <c r="J111" s="1025">
        <v>0</v>
      </c>
      <c r="K111" s="1025">
        <v>7000000</v>
      </c>
      <c r="L111" s="1025">
        <v>0</v>
      </c>
      <c r="M111" s="1025">
        <v>0</v>
      </c>
      <c r="N111" s="1025">
        <v>0</v>
      </c>
      <c r="O111" s="1025">
        <v>0</v>
      </c>
      <c r="P111" s="1025">
        <v>0</v>
      </c>
      <c r="Q111" s="1026">
        <v>7000000</v>
      </c>
      <c r="R111" s="1025">
        <v>0</v>
      </c>
      <c r="S111" s="1026">
        <v>0</v>
      </c>
      <c r="T111" s="1025">
        <v>0</v>
      </c>
      <c r="U111" s="1025">
        <v>0</v>
      </c>
      <c r="V111" s="1025">
        <v>0</v>
      </c>
      <c r="W111" s="1025">
        <v>0</v>
      </c>
      <c r="X111" s="1025">
        <v>0</v>
      </c>
      <c r="Y111" s="1025">
        <v>0</v>
      </c>
      <c r="Z111" s="1025">
        <v>0</v>
      </c>
      <c r="AA111" s="1025">
        <v>0</v>
      </c>
      <c r="AB111" s="1025">
        <v>0</v>
      </c>
      <c r="AC111" s="1025">
        <v>0</v>
      </c>
      <c r="AD111" s="1025">
        <v>0</v>
      </c>
      <c r="AE111" s="1025">
        <v>0</v>
      </c>
      <c r="AF111" s="1025">
        <v>0</v>
      </c>
      <c r="AG111" s="1025">
        <v>0</v>
      </c>
      <c r="AH111" s="1025">
        <v>0</v>
      </c>
      <c r="AI111" s="1025">
        <v>0</v>
      </c>
      <c r="AJ111" s="1025">
        <v>0</v>
      </c>
      <c r="AK111" s="1025">
        <v>0</v>
      </c>
      <c r="AL111" s="1025">
        <v>0</v>
      </c>
      <c r="AM111" s="1025">
        <v>0</v>
      </c>
      <c r="AN111" s="1025">
        <v>0</v>
      </c>
      <c r="AO111" s="1025">
        <v>0</v>
      </c>
      <c r="AP111" s="1025">
        <v>0</v>
      </c>
      <c r="AQ111" s="1025">
        <v>0</v>
      </c>
      <c r="AR111" s="1025">
        <v>0</v>
      </c>
      <c r="AS111" s="1025">
        <v>0</v>
      </c>
      <c r="AT111" s="1026">
        <v>0</v>
      </c>
      <c r="AU111" s="1025">
        <v>0</v>
      </c>
      <c r="AV111" s="1025">
        <v>0</v>
      </c>
      <c r="AW111" s="1025">
        <v>0</v>
      </c>
      <c r="AX111" s="1025">
        <v>0</v>
      </c>
      <c r="AY111" s="1025">
        <v>0</v>
      </c>
      <c r="AZ111" s="1025">
        <v>0</v>
      </c>
      <c r="BA111" s="1025">
        <v>0</v>
      </c>
      <c r="BB111" s="1026">
        <v>0</v>
      </c>
      <c r="BC111" s="1026">
        <v>7000000</v>
      </c>
      <c r="BD111" s="1027">
        <v>0</v>
      </c>
      <c r="BE111" s="1027">
        <v>7000000</v>
      </c>
      <c r="BG111" s="909"/>
      <c r="BH111" s="1028"/>
    </row>
    <row r="112" spans="1:60" ht="13.95" customHeight="1">
      <c r="A112" s="1029"/>
      <c r="B112" s="1030" t="s">
        <v>769</v>
      </c>
      <c r="C112" s="1031">
        <v>0</v>
      </c>
      <c r="D112" s="1031">
        <v>0</v>
      </c>
      <c r="E112" s="1031">
        <v>0</v>
      </c>
      <c r="F112" s="1031">
        <v>0</v>
      </c>
      <c r="G112" s="1031">
        <v>0</v>
      </c>
      <c r="H112" s="1031">
        <v>0</v>
      </c>
      <c r="I112" s="1031">
        <v>0</v>
      </c>
      <c r="J112" s="1031">
        <v>0</v>
      </c>
      <c r="K112" s="1031">
        <v>7000000</v>
      </c>
      <c r="L112" s="1031">
        <v>0</v>
      </c>
      <c r="M112" s="1031">
        <v>0</v>
      </c>
      <c r="N112" s="1031">
        <v>0</v>
      </c>
      <c r="O112" s="1031">
        <v>0</v>
      </c>
      <c r="P112" s="1031">
        <v>0</v>
      </c>
      <c r="Q112" s="1031">
        <v>7000000</v>
      </c>
      <c r="R112" s="1031">
        <v>0</v>
      </c>
      <c r="S112" s="1031">
        <v>0</v>
      </c>
      <c r="T112" s="1031">
        <v>0</v>
      </c>
      <c r="U112" s="1031">
        <v>0</v>
      </c>
      <c r="V112" s="1031">
        <v>0</v>
      </c>
      <c r="W112" s="1031">
        <v>0</v>
      </c>
      <c r="X112" s="1031">
        <v>0</v>
      </c>
      <c r="Y112" s="1031">
        <v>0</v>
      </c>
      <c r="Z112" s="1031">
        <v>0</v>
      </c>
      <c r="AA112" s="1031">
        <v>0</v>
      </c>
      <c r="AB112" s="1031">
        <v>0</v>
      </c>
      <c r="AC112" s="1031">
        <v>0</v>
      </c>
      <c r="AD112" s="1031">
        <v>0</v>
      </c>
      <c r="AE112" s="1031">
        <v>0</v>
      </c>
      <c r="AF112" s="1031">
        <v>0</v>
      </c>
      <c r="AG112" s="1031">
        <v>0</v>
      </c>
      <c r="AH112" s="1031">
        <v>0</v>
      </c>
      <c r="AI112" s="1031">
        <v>0</v>
      </c>
      <c r="AJ112" s="1031">
        <v>0</v>
      </c>
      <c r="AK112" s="1031">
        <v>0</v>
      </c>
      <c r="AL112" s="1031">
        <v>0</v>
      </c>
      <c r="AM112" s="1031">
        <v>0</v>
      </c>
      <c r="AN112" s="1031">
        <v>0</v>
      </c>
      <c r="AO112" s="1031">
        <v>0</v>
      </c>
      <c r="AP112" s="1031">
        <v>0</v>
      </c>
      <c r="AQ112" s="1031">
        <v>0</v>
      </c>
      <c r="AR112" s="1031">
        <v>0</v>
      </c>
      <c r="AS112" s="1031">
        <v>0</v>
      </c>
      <c r="AT112" s="1031">
        <v>0</v>
      </c>
      <c r="AU112" s="1031">
        <v>0</v>
      </c>
      <c r="AV112" s="1031">
        <v>0</v>
      </c>
      <c r="AW112" s="1031">
        <v>0</v>
      </c>
      <c r="AX112" s="1031">
        <v>0</v>
      </c>
      <c r="AY112" s="1031">
        <v>0</v>
      </c>
      <c r="AZ112" s="1031">
        <v>0</v>
      </c>
      <c r="BA112" s="1031">
        <v>0</v>
      </c>
      <c r="BB112" s="1031">
        <v>0</v>
      </c>
      <c r="BC112" s="1031">
        <v>7000000</v>
      </c>
      <c r="BD112" s="1032">
        <v>0</v>
      </c>
      <c r="BE112" s="1032">
        <v>7000000</v>
      </c>
      <c r="BG112" s="909"/>
      <c r="BH112" s="1028"/>
    </row>
    <row r="113" spans="1:60" ht="13.95" customHeight="1">
      <c r="A113" s="1017" t="s">
        <v>294</v>
      </c>
      <c r="B113" s="1017" t="s">
        <v>34</v>
      </c>
      <c r="C113" s="1025">
        <v>0</v>
      </c>
      <c r="D113" s="1025">
        <v>0</v>
      </c>
      <c r="E113" s="1025">
        <v>0</v>
      </c>
      <c r="F113" s="1025">
        <v>0</v>
      </c>
      <c r="G113" s="1025">
        <v>0</v>
      </c>
      <c r="H113" s="1025">
        <v>0</v>
      </c>
      <c r="I113" s="1025">
        <v>0</v>
      </c>
      <c r="J113" s="1025">
        <v>0</v>
      </c>
      <c r="K113" s="1025">
        <v>70000000</v>
      </c>
      <c r="L113" s="1025">
        <v>0</v>
      </c>
      <c r="M113" s="1025">
        <v>0</v>
      </c>
      <c r="N113" s="1025">
        <v>0</v>
      </c>
      <c r="O113" s="1025">
        <v>0</v>
      </c>
      <c r="P113" s="1025">
        <v>0</v>
      </c>
      <c r="Q113" s="1026">
        <v>70000000</v>
      </c>
      <c r="R113" s="1025">
        <v>0</v>
      </c>
      <c r="S113" s="1026">
        <v>0</v>
      </c>
      <c r="T113" s="1025">
        <v>0</v>
      </c>
      <c r="U113" s="1025">
        <v>2500000</v>
      </c>
      <c r="V113" s="1025">
        <v>0</v>
      </c>
      <c r="W113" s="1025">
        <v>1500000</v>
      </c>
      <c r="X113" s="1025">
        <v>1200000</v>
      </c>
      <c r="Y113" s="1025">
        <v>0</v>
      </c>
      <c r="Z113" s="1025">
        <v>0</v>
      </c>
      <c r="AA113" s="1025">
        <v>0</v>
      </c>
      <c r="AB113" s="1025">
        <v>0</v>
      </c>
      <c r="AC113" s="1025">
        <v>1400000</v>
      </c>
      <c r="AD113" s="1025">
        <v>1400000</v>
      </c>
      <c r="AE113" s="1025">
        <v>1400000</v>
      </c>
      <c r="AF113" s="1025">
        <v>0</v>
      </c>
      <c r="AG113" s="1025">
        <v>2000000</v>
      </c>
      <c r="AH113" s="1025">
        <v>0</v>
      </c>
      <c r="AI113" s="1025">
        <v>0</v>
      </c>
      <c r="AJ113" s="1025">
        <v>0</v>
      </c>
      <c r="AK113" s="1025">
        <v>0</v>
      </c>
      <c r="AL113" s="1025">
        <v>3000000</v>
      </c>
      <c r="AM113" s="1025">
        <v>49025000</v>
      </c>
      <c r="AN113" s="1025">
        <v>0</v>
      </c>
      <c r="AO113" s="1025">
        <v>1400000</v>
      </c>
      <c r="AP113" s="1025">
        <v>0</v>
      </c>
      <c r="AQ113" s="1025">
        <v>0</v>
      </c>
      <c r="AR113" s="1025">
        <v>0</v>
      </c>
      <c r="AS113" s="1025">
        <v>0</v>
      </c>
      <c r="AT113" s="1026">
        <v>64825000</v>
      </c>
      <c r="AU113" s="1025">
        <v>0</v>
      </c>
      <c r="AV113" s="1025">
        <v>0</v>
      </c>
      <c r="AW113" s="1025">
        <v>0</v>
      </c>
      <c r="AX113" s="1025">
        <v>0</v>
      </c>
      <c r="AY113" s="1025">
        <v>0</v>
      </c>
      <c r="AZ113" s="1025">
        <v>0</v>
      </c>
      <c r="BA113" s="1025">
        <v>0</v>
      </c>
      <c r="BB113" s="1026">
        <v>0</v>
      </c>
      <c r="BC113" s="1026">
        <v>134825000</v>
      </c>
      <c r="BD113" s="1027">
        <v>54025000</v>
      </c>
      <c r="BE113" s="1027">
        <v>80800000</v>
      </c>
      <c r="BG113" s="909"/>
      <c r="BH113" s="1028"/>
    </row>
    <row r="114" spans="1:60" ht="13.95" customHeight="1">
      <c r="A114" s="1029"/>
      <c r="B114" s="1030" t="s">
        <v>770</v>
      </c>
      <c r="C114" s="1031">
        <v>0</v>
      </c>
      <c r="D114" s="1031">
        <v>0</v>
      </c>
      <c r="E114" s="1031">
        <v>0</v>
      </c>
      <c r="F114" s="1031">
        <v>0</v>
      </c>
      <c r="G114" s="1031">
        <v>0</v>
      </c>
      <c r="H114" s="1031">
        <v>0</v>
      </c>
      <c r="I114" s="1031">
        <v>0</v>
      </c>
      <c r="J114" s="1031">
        <v>0</v>
      </c>
      <c r="K114" s="1031">
        <v>70000000</v>
      </c>
      <c r="L114" s="1031">
        <v>0</v>
      </c>
      <c r="M114" s="1031">
        <v>0</v>
      </c>
      <c r="N114" s="1031">
        <v>0</v>
      </c>
      <c r="O114" s="1031">
        <v>0</v>
      </c>
      <c r="P114" s="1031">
        <v>0</v>
      </c>
      <c r="Q114" s="1031">
        <v>70000000</v>
      </c>
      <c r="R114" s="1031">
        <v>0</v>
      </c>
      <c r="S114" s="1031">
        <v>0</v>
      </c>
      <c r="T114" s="1031">
        <v>0</v>
      </c>
      <c r="U114" s="1031">
        <v>2500000</v>
      </c>
      <c r="V114" s="1031">
        <v>0</v>
      </c>
      <c r="W114" s="1031">
        <v>1500000</v>
      </c>
      <c r="X114" s="1031">
        <v>1200000</v>
      </c>
      <c r="Y114" s="1031">
        <v>0</v>
      </c>
      <c r="Z114" s="1031">
        <v>0</v>
      </c>
      <c r="AA114" s="1031">
        <v>0</v>
      </c>
      <c r="AB114" s="1031">
        <v>0</v>
      </c>
      <c r="AC114" s="1031">
        <v>1400000</v>
      </c>
      <c r="AD114" s="1031">
        <v>1400000</v>
      </c>
      <c r="AE114" s="1031">
        <v>1400000</v>
      </c>
      <c r="AF114" s="1031">
        <v>0</v>
      </c>
      <c r="AG114" s="1031">
        <v>2000000</v>
      </c>
      <c r="AH114" s="1031">
        <v>0</v>
      </c>
      <c r="AI114" s="1031">
        <v>0</v>
      </c>
      <c r="AJ114" s="1031">
        <v>0</v>
      </c>
      <c r="AK114" s="1031">
        <v>0</v>
      </c>
      <c r="AL114" s="1031">
        <v>3000000</v>
      </c>
      <c r="AM114" s="1031">
        <v>49025000</v>
      </c>
      <c r="AN114" s="1031">
        <v>0</v>
      </c>
      <c r="AO114" s="1031">
        <v>1400000</v>
      </c>
      <c r="AP114" s="1031">
        <v>0</v>
      </c>
      <c r="AQ114" s="1031">
        <v>0</v>
      </c>
      <c r="AR114" s="1031">
        <v>0</v>
      </c>
      <c r="AS114" s="1031">
        <v>0</v>
      </c>
      <c r="AT114" s="1031">
        <v>64825000</v>
      </c>
      <c r="AU114" s="1031">
        <v>0</v>
      </c>
      <c r="AV114" s="1031">
        <v>0</v>
      </c>
      <c r="AW114" s="1031">
        <v>0</v>
      </c>
      <c r="AX114" s="1031">
        <v>0</v>
      </c>
      <c r="AY114" s="1031">
        <v>0</v>
      </c>
      <c r="AZ114" s="1031">
        <v>0</v>
      </c>
      <c r="BA114" s="1031">
        <v>0</v>
      </c>
      <c r="BB114" s="1031">
        <v>0</v>
      </c>
      <c r="BC114" s="1031">
        <v>134825000</v>
      </c>
      <c r="BD114" s="1032">
        <v>54025000</v>
      </c>
      <c r="BE114" s="1032">
        <v>80800000</v>
      </c>
      <c r="BG114" s="909"/>
      <c r="BH114" s="1028"/>
    </row>
    <row r="115" spans="1:60">
      <c r="A115" s="1017" t="s">
        <v>235</v>
      </c>
      <c r="B115" s="1017" t="s">
        <v>632</v>
      </c>
      <c r="C115" s="1025">
        <v>0</v>
      </c>
      <c r="D115" s="1025">
        <v>0</v>
      </c>
      <c r="E115" s="1025">
        <v>0</v>
      </c>
      <c r="F115" s="1025">
        <v>0</v>
      </c>
      <c r="G115" s="1025">
        <v>0</v>
      </c>
      <c r="H115" s="1025">
        <v>0</v>
      </c>
      <c r="I115" s="1025">
        <v>0</v>
      </c>
      <c r="J115" s="1025">
        <v>0</v>
      </c>
      <c r="K115" s="1025">
        <v>0</v>
      </c>
      <c r="L115" s="1025">
        <v>0</v>
      </c>
      <c r="M115" s="1025">
        <v>0</v>
      </c>
      <c r="N115" s="1025">
        <v>0</v>
      </c>
      <c r="O115" s="1025">
        <v>0</v>
      </c>
      <c r="P115" s="1025">
        <v>0</v>
      </c>
      <c r="Q115" s="1026">
        <v>0</v>
      </c>
      <c r="R115" s="1025">
        <v>0</v>
      </c>
      <c r="S115" s="1026">
        <v>0</v>
      </c>
      <c r="T115" s="1025">
        <v>0</v>
      </c>
      <c r="U115" s="1025">
        <v>0</v>
      </c>
      <c r="V115" s="1025">
        <v>0</v>
      </c>
      <c r="W115" s="1025">
        <v>0</v>
      </c>
      <c r="X115" s="1025">
        <v>0</v>
      </c>
      <c r="Y115" s="1025">
        <v>0</v>
      </c>
      <c r="Z115" s="1025">
        <v>0</v>
      </c>
      <c r="AA115" s="1025">
        <v>0</v>
      </c>
      <c r="AB115" s="1025">
        <v>0</v>
      </c>
      <c r="AC115" s="1025">
        <v>0</v>
      </c>
      <c r="AD115" s="1025">
        <v>0</v>
      </c>
      <c r="AE115" s="1025">
        <v>0</v>
      </c>
      <c r="AF115" s="1025">
        <v>0</v>
      </c>
      <c r="AG115" s="1025">
        <v>0</v>
      </c>
      <c r="AH115" s="1025">
        <v>0</v>
      </c>
      <c r="AI115" s="1025">
        <v>0</v>
      </c>
      <c r="AJ115" s="1025">
        <v>0</v>
      </c>
      <c r="AK115" s="1025">
        <v>0</v>
      </c>
      <c r="AL115" s="1025">
        <v>0</v>
      </c>
      <c r="AM115" s="1025">
        <v>0</v>
      </c>
      <c r="AN115" s="1025">
        <v>0</v>
      </c>
      <c r="AO115" s="1025">
        <v>0</v>
      </c>
      <c r="AP115" s="1025">
        <v>0</v>
      </c>
      <c r="AQ115" s="1025">
        <v>0</v>
      </c>
      <c r="AR115" s="1025">
        <v>0</v>
      </c>
      <c r="AS115" s="1025">
        <v>40000000</v>
      </c>
      <c r="AT115" s="1026">
        <v>40000000</v>
      </c>
      <c r="AU115" s="1025">
        <v>0</v>
      </c>
      <c r="AV115" s="1025">
        <v>0</v>
      </c>
      <c r="AW115" s="1025">
        <v>0</v>
      </c>
      <c r="AX115" s="1025">
        <v>0</v>
      </c>
      <c r="AY115" s="1025">
        <v>0</v>
      </c>
      <c r="AZ115" s="1025">
        <v>0</v>
      </c>
      <c r="BA115" s="1025">
        <v>0</v>
      </c>
      <c r="BB115" s="1026">
        <v>0</v>
      </c>
      <c r="BC115" s="1026">
        <v>40000000</v>
      </c>
      <c r="BD115" s="1027">
        <v>0</v>
      </c>
      <c r="BE115" s="1027">
        <v>40000000</v>
      </c>
      <c r="BG115" s="909"/>
      <c r="BH115" s="1028"/>
    </row>
    <row r="116" spans="1:60" ht="13.95" customHeight="1">
      <c r="A116" s="1017" t="s">
        <v>307</v>
      </c>
      <c r="B116" s="1017" t="s">
        <v>771</v>
      </c>
      <c r="C116" s="1025">
        <v>0</v>
      </c>
      <c r="D116" s="1025">
        <v>0</v>
      </c>
      <c r="E116" s="1025">
        <v>0</v>
      </c>
      <c r="F116" s="1025">
        <v>0</v>
      </c>
      <c r="G116" s="1025">
        <v>0</v>
      </c>
      <c r="H116" s="1025">
        <v>0</v>
      </c>
      <c r="I116" s="1025">
        <v>0</v>
      </c>
      <c r="J116" s="1025">
        <v>0</v>
      </c>
      <c r="K116" s="1025">
        <v>0</v>
      </c>
      <c r="L116" s="1025">
        <v>0</v>
      </c>
      <c r="M116" s="1025">
        <v>0</v>
      </c>
      <c r="N116" s="1025">
        <v>0</v>
      </c>
      <c r="O116" s="1025">
        <v>0</v>
      </c>
      <c r="P116" s="1025">
        <v>0</v>
      </c>
      <c r="Q116" s="1026">
        <v>0</v>
      </c>
      <c r="R116" s="1025">
        <v>0</v>
      </c>
      <c r="S116" s="1026">
        <v>0</v>
      </c>
      <c r="T116" s="1025">
        <v>0</v>
      </c>
      <c r="U116" s="1025">
        <v>0</v>
      </c>
      <c r="V116" s="1025">
        <v>0</v>
      </c>
      <c r="W116" s="1025">
        <v>0</v>
      </c>
      <c r="X116" s="1025">
        <v>0</v>
      </c>
      <c r="Y116" s="1025">
        <v>0</v>
      </c>
      <c r="Z116" s="1025">
        <v>0</v>
      </c>
      <c r="AA116" s="1025">
        <v>0</v>
      </c>
      <c r="AB116" s="1025">
        <v>0</v>
      </c>
      <c r="AC116" s="1025">
        <v>0</v>
      </c>
      <c r="AD116" s="1025">
        <v>0</v>
      </c>
      <c r="AE116" s="1025">
        <v>0</v>
      </c>
      <c r="AF116" s="1025">
        <v>0</v>
      </c>
      <c r="AG116" s="1025">
        <v>0</v>
      </c>
      <c r="AH116" s="1025">
        <v>0</v>
      </c>
      <c r="AI116" s="1025">
        <v>0</v>
      </c>
      <c r="AJ116" s="1025">
        <v>0</v>
      </c>
      <c r="AK116" s="1025">
        <v>0</v>
      </c>
      <c r="AL116" s="1025">
        <v>0</v>
      </c>
      <c r="AM116" s="1025">
        <v>0</v>
      </c>
      <c r="AN116" s="1025">
        <v>0</v>
      </c>
      <c r="AO116" s="1025">
        <v>0</v>
      </c>
      <c r="AP116" s="1025">
        <v>0</v>
      </c>
      <c r="AQ116" s="1025">
        <v>0</v>
      </c>
      <c r="AR116" s="1025">
        <v>0</v>
      </c>
      <c r="AS116" s="1025">
        <v>0</v>
      </c>
      <c r="AT116" s="1026">
        <v>0</v>
      </c>
      <c r="AU116" s="1025">
        <v>0</v>
      </c>
      <c r="AV116" s="1025">
        <v>0</v>
      </c>
      <c r="AW116" s="1025">
        <v>0</v>
      </c>
      <c r="AX116" s="1025">
        <v>0</v>
      </c>
      <c r="AY116" s="1025">
        <v>0</v>
      </c>
      <c r="AZ116" s="1025">
        <v>1200000</v>
      </c>
      <c r="BA116" s="1025">
        <v>0</v>
      </c>
      <c r="BB116" s="1026">
        <v>1200000</v>
      </c>
      <c r="BC116" s="1026">
        <v>1200000</v>
      </c>
      <c r="BD116" s="1027">
        <v>0</v>
      </c>
      <c r="BE116" s="1027">
        <v>1200000</v>
      </c>
      <c r="BG116" s="909"/>
      <c r="BH116" s="1028"/>
    </row>
    <row r="117" spans="1:60" ht="13.95" customHeight="1">
      <c r="A117" s="1029"/>
      <c r="B117" s="1030" t="s">
        <v>772</v>
      </c>
      <c r="C117" s="1031">
        <v>0</v>
      </c>
      <c r="D117" s="1031">
        <v>0</v>
      </c>
      <c r="E117" s="1031">
        <v>0</v>
      </c>
      <c r="F117" s="1031">
        <v>0</v>
      </c>
      <c r="G117" s="1031">
        <v>0</v>
      </c>
      <c r="H117" s="1031">
        <v>0</v>
      </c>
      <c r="I117" s="1031">
        <v>0</v>
      </c>
      <c r="J117" s="1031">
        <v>0</v>
      </c>
      <c r="K117" s="1031">
        <v>0</v>
      </c>
      <c r="L117" s="1031">
        <v>0</v>
      </c>
      <c r="M117" s="1031">
        <v>0</v>
      </c>
      <c r="N117" s="1031">
        <v>0</v>
      </c>
      <c r="O117" s="1031">
        <v>0</v>
      </c>
      <c r="P117" s="1031">
        <v>0</v>
      </c>
      <c r="Q117" s="1031">
        <v>0</v>
      </c>
      <c r="R117" s="1031">
        <v>0</v>
      </c>
      <c r="S117" s="1031">
        <v>0</v>
      </c>
      <c r="T117" s="1031">
        <v>0</v>
      </c>
      <c r="U117" s="1031">
        <v>0</v>
      </c>
      <c r="V117" s="1031">
        <v>0</v>
      </c>
      <c r="W117" s="1031">
        <v>0</v>
      </c>
      <c r="X117" s="1031">
        <v>0</v>
      </c>
      <c r="Y117" s="1031">
        <v>0</v>
      </c>
      <c r="Z117" s="1031">
        <v>0</v>
      </c>
      <c r="AA117" s="1031">
        <v>0</v>
      </c>
      <c r="AB117" s="1031">
        <v>0</v>
      </c>
      <c r="AC117" s="1031">
        <v>0</v>
      </c>
      <c r="AD117" s="1031">
        <v>0</v>
      </c>
      <c r="AE117" s="1031">
        <v>0</v>
      </c>
      <c r="AF117" s="1031">
        <v>0</v>
      </c>
      <c r="AG117" s="1031">
        <v>0</v>
      </c>
      <c r="AH117" s="1031">
        <v>0</v>
      </c>
      <c r="AI117" s="1031">
        <v>0</v>
      </c>
      <c r="AJ117" s="1031">
        <v>0</v>
      </c>
      <c r="AK117" s="1031">
        <v>0</v>
      </c>
      <c r="AL117" s="1031">
        <v>0</v>
      </c>
      <c r="AM117" s="1031">
        <v>0</v>
      </c>
      <c r="AN117" s="1031">
        <v>0</v>
      </c>
      <c r="AO117" s="1031">
        <v>0</v>
      </c>
      <c r="AP117" s="1031">
        <v>0</v>
      </c>
      <c r="AQ117" s="1031">
        <v>0</v>
      </c>
      <c r="AR117" s="1031">
        <v>0</v>
      </c>
      <c r="AS117" s="1031">
        <v>40000000</v>
      </c>
      <c r="AT117" s="1031">
        <v>40000000</v>
      </c>
      <c r="AU117" s="1031">
        <v>0</v>
      </c>
      <c r="AV117" s="1031">
        <v>0</v>
      </c>
      <c r="AW117" s="1031">
        <v>0</v>
      </c>
      <c r="AX117" s="1031">
        <v>0</v>
      </c>
      <c r="AY117" s="1031">
        <v>0</v>
      </c>
      <c r="AZ117" s="1031">
        <v>1200000</v>
      </c>
      <c r="BA117" s="1031">
        <v>0</v>
      </c>
      <c r="BB117" s="1031">
        <v>1200000</v>
      </c>
      <c r="BC117" s="1031">
        <v>41200000</v>
      </c>
      <c r="BD117" s="1032">
        <v>0</v>
      </c>
      <c r="BE117" s="1032">
        <v>41200000</v>
      </c>
      <c r="BG117" s="909"/>
      <c r="BH117" s="1028"/>
    </row>
    <row r="118" spans="1:60" ht="15" customHeight="1" thickBot="1">
      <c r="A118" s="1041"/>
      <c r="B118" s="1042" t="s">
        <v>773</v>
      </c>
      <c r="C118" s="1043">
        <v>0</v>
      </c>
      <c r="D118" s="1043">
        <v>0</v>
      </c>
      <c r="E118" s="1043">
        <v>0</v>
      </c>
      <c r="F118" s="1043">
        <v>0</v>
      </c>
      <c r="G118" s="1043">
        <v>0</v>
      </c>
      <c r="H118" s="1043">
        <v>0</v>
      </c>
      <c r="I118" s="1043">
        <v>60000000</v>
      </c>
      <c r="J118" s="1043">
        <v>0</v>
      </c>
      <c r="K118" s="1043">
        <v>77000000</v>
      </c>
      <c r="L118" s="1043">
        <v>0</v>
      </c>
      <c r="M118" s="1043">
        <v>0</v>
      </c>
      <c r="N118" s="1043">
        <v>0</v>
      </c>
      <c r="O118" s="1043">
        <v>0</v>
      </c>
      <c r="P118" s="1043">
        <v>0</v>
      </c>
      <c r="Q118" s="1043">
        <v>137000000</v>
      </c>
      <c r="R118" s="1043">
        <v>0</v>
      </c>
      <c r="S118" s="1043">
        <v>0</v>
      </c>
      <c r="T118" s="1043">
        <v>0</v>
      </c>
      <c r="U118" s="1043">
        <v>2500000</v>
      </c>
      <c r="V118" s="1043">
        <v>0</v>
      </c>
      <c r="W118" s="1043">
        <v>1500000</v>
      </c>
      <c r="X118" s="1043">
        <v>1200000</v>
      </c>
      <c r="Y118" s="1043">
        <v>0</v>
      </c>
      <c r="Z118" s="1043">
        <v>0</v>
      </c>
      <c r="AA118" s="1043">
        <v>0</v>
      </c>
      <c r="AB118" s="1043">
        <v>0</v>
      </c>
      <c r="AC118" s="1043">
        <v>1400000</v>
      </c>
      <c r="AD118" s="1043">
        <v>1400000</v>
      </c>
      <c r="AE118" s="1043">
        <v>1400000</v>
      </c>
      <c r="AF118" s="1043">
        <v>0</v>
      </c>
      <c r="AG118" s="1043">
        <v>2000000</v>
      </c>
      <c r="AH118" s="1043">
        <v>0</v>
      </c>
      <c r="AI118" s="1043">
        <v>411894272</v>
      </c>
      <c r="AJ118" s="1043">
        <v>0</v>
      </c>
      <c r="AK118" s="1043">
        <v>0</v>
      </c>
      <c r="AL118" s="1043">
        <v>3000000</v>
      </c>
      <c r="AM118" s="1043">
        <v>49025000</v>
      </c>
      <c r="AN118" s="1043">
        <v>0</v>
      </c>
      <c r="AO118" s="1043">
        <v>1400000</v>
      </c>
      <c r="AP118" s="1043">
        <v>0</v>
      </c>
      <c r="AQ118" s="1043">
        <v>0</v>
      </c>
      <c r="AR118" s="1043">
        <v>0</v>
      </c>
      <c r="AS118" s="1043">
        <v>40000000</v>
      </c>
      <c r="AT118" s="1043">
        <v>516719272</v>
      </c>
      <c r="AU118" s="1043">
        <v>0</v>
      </c>
      <c r="AV118" s="1043">
        <v>0</v>
      </c>
      <c r="AW118" s="1043">
        <v>0</v>
      </c>
      <c r="AX118" s="1043">
        <v>0</v>
      </c>
      <c r="AY118" s="1043">
        <v>0</v>
      </c>
      <c r="AZ118" s="1043">
        <v>1200000</v>
      </c>
      <c r="BA118" s="1043">
        <v>0</v>
      </c>
      <c r="BB118" s="1043">
        <v>1200000</v>
      </c>
      <c r="BC118" s="1043">
        <v>654919272</v>
      </c>
      <c r="BD118" s="1044">
        <v>54025000</v>
      </c>
      <c r="BE118" s="1044">
        <v>600894272</v>
      </c>
      <c r="BG118" s="909"/>
      <c r="BH118" s="1028"/>
    </row>
    <row r="119" spans="1:60" ht="15" customHeight="1" thickTop="1" thickBot="1">
      <c r="A119" s="1037"/>
      <c r="B119" s="1037" t="s">
        <v>20</v>
      </c>
      <c r="C119" s="1038">
        <v>264270000</v>
      </c>
      <c r="D119" s="1038">
        <v>25911000</v>
      </c>
      <c r="E119" s="1038">
        <v>317972000</v>
      </c>
      <c r="F119" s="1038">
        <v>319339000</v>
      </c>
      <c r="G119" s="1038">
        <v>89028000</v>
      </c>
      <c r="H119" s="1038">
        <v>97469000</v>
      </c>
      <c r="I119" s="1038">
        <v>309398000</v>
      </c>
      <c r="J119" s="1038">
        <v>164695000</v>
      </c>
      <c r="K119" s="1038">
        <v>582795180.08000004</v>
      </c>
      <c r="L119" s="1038">
        <v>62812800</v>
      </c>
      <c r="M119" s="1038">
        <v>50667730</v>
      </c>
      <c r="N119" s="1038">
        <v>1582016506.46</v>
      </c>
      <c r="O119" s="1038">
        <v>2229588603.3100014</v>
      </c>
      <c r="P119" s="1038">
        <v>328479329.19</v>
      </c>
      <c r="Q119" s="1038">
        <v>6424442149.0400009</v>
      </c>
      <c r="R119" s="1038">
        <v>569125000</v>
      </c>
      <c r="S119" s="1038">
        <v>569125000</v>
      </c>
      <c r="T119" s="1038">
        <v>513380160</v>
      </c>
      <c r="U119" s="1038">
        <v>645407000</v>
      </c>
      <c r="V119" s="1038">
        <v>195993000</v>
      </c>
      <c r="W119" s="1038">
        <v>678613000</v>
      </c>
      <c r="X119" s="1038">
        <v>215833000</v>
      </c>
      <c r="Y119" s="1038">
        <v>116391000</v>
      </c>
      <c r="Z119" s="1038">
        <v>390683000</v>
      </c>
      <c r="AA119" s="1038">
        <v>171849000</v>
      </c>
      <c r="AB119" s="1038">
        <v>275469538</v>
      </c>
      <c r="AC119" s="1038">
        <v>447269000</v>
      </c>
      <c r="AD119" s="1038">
        <v>491948000</v>
      </c>
      <c r="AE119" s="1038">
        <v>170426000</v>
      </c>
      <c r="AF119" s="1038">
        <v>137030000</v>
      </c>
      <c r="AG119" s="1038">
        <v>2414040075.75</v>
      </c>
      <c r="AH119" s="1038">
        <v>49687000</v>
      </c>
      <c r="AI119" s="1038">
        <v>411894272</v>
      </c>
      <c r="AJ119" s="1038">
        <v>151628000</v>
      </c>
      <c r="AK119" s="1038">
        <v>175328000</v>
      </c>
      <c r="AL119" s="1038">
        <v>1710552347</v>
      </c>
      <c r="AM119" s="1038">
        <v>273060407</v>
      </c>
      <c r="AN119" s="1038">
        <v>190401000</v>
      </c>
      <c r="AO119" s="1038">
        <v>231538750.75</v>
      </c>
      <c r="AP119" s="1038">
        <v>53592000</v>
      </c>
      <c r="AQ119" s="1038">
        <v>31960000</v>
      </c>
      <c r="AR119" s="1038">
        <v>44226000</v>
      </c>
      <c r="AS119" s="1038">
        <v>40000000</v>
      </c>
      <c r="AT119" s="1038">
        <v>10228199550.5</v>
      </c>
      <c r="AU119" s="1038">
        <v>101456000</v>
      </c>
      <c r="AV119" s="1038">
        <v>141267000</v>
      </c>
      <c r="AW119" s="1038">
        <v>57555000</v>
      </c>
      <c r="AX119" s="1038">
        <v>53129000</v>
      </c>
      <c r="AY119" s="1038">
        <v>71289000</v>
      </c>
      <c r="AZ119" s="1038">
        <v>165287000</v>
      </c>
      <c r="BA119" s="1038">
        <v>61893000</v>
      </c>
      <c r="BB119" s="1038">
        <v>651876000</v>
      </c>
      <c r="BC119" s="1038">
        <v>17873642699.540001</v>
      </c>
      <c r="BD119" s="1039">
        <v>4527430829.75</v>
      </c>
      <c r="BE119" s="1039">
        <v>13346211869.790001</v>
      </c>
      <c r="BG119" s="909"/>
      <c r="BH119" s="1028"/>
    </row>
    <row r="120" spans="1:60">
      <c r="BG120" s="909"/>
    </row>
    <row r="121" spans="1:60">
      <c r="O121" s="1028">
        <v>2196631825.3100014</v>
      </c>
      <c r="BB121" s="1028"/>
      <c r="BC121" s="909">
        <v>17873642699.540001</v>
      </c>
      <c r="BE121" s="1028">
        <v>17873642699.540001</v>
      </c>
    </row>
    <row r="122" spans="1:60">
      <c r="O122" s="1028">
        <v>32956778</v>
      </c>
      <c r="BC122" s="1028">
        <v>0</v>
      </c>
      <c r="BE122" s="1028">
        <v>0</v>
      </c>
    </row>
    <row r="123" spans="1:60">
      <c r="O123" s="909"/>
      <c r="BC123" s="1040"/>
    </row>
    <row r="124" spans="1:60">
      <c r="O124" s="1028"/>
      <c r="BC124" s="24"/>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theme="9" tint="-0.499984740745262"/>
  </sheetPr>
  <dimension ref="A1:M230"/>
  <sheetViews>
    <sheetView showGridLines="0" zoomScaleNormal="100" workbookViewId="0">
      <selection activeCell="G19" sqref="G19"/>
    </sheetView>
  </sheetViews>
  <sheetFormatPr baseColWidth="10" defaultColWidth="11.44140625" defaultRowHeight="16.2" outlineLevelRow="1"/>
  <cols>
    <col min="1" max="1" width="7.6640625" style="3" customWidth="1"/>
    <col min="2" max="2" width="65.44140625" style="3" bestFit="1" customWidth="1"/>
    <col min="3" max="7" width="17.6640625" style="24" customWidth="1"/>
    <col min="8" max="8" width="14.6640625" style="3" hidden="1" customWidth="1"/>
    <col min="9" max="9" width="13.44140625" style="3" hidden="1" customWidth="1"/>
    <col min="10" max="10" width="15.88671875" style="3" hidden="1" customWidth="1"/>
    <col min="11" max="11" width="14.33203125" style="3" hidden="1" customWidth="1"/>
    <col min="12" max="12" width="16.5546875" style="3" hidden="1" customWidth="1"/>
    <col min="13" max="13" width="14.33203125" style="3" hidden="1" customWidth="1"/>
    <col min="14" max="14" width="0" style="3" hidden="1" customWidth="1"/>
    <col min="15" max="16384" width="11.44140625" style="3"/>
  </cols>
  <sheetData>
    <row r="1" spans="1:13" ht="7.5" customHeight="1">
      <c r="B1" s="12"/>
      <c r="C1" s="335"/>
      <c r="D1" s="335"/>
      <c r="E1" s="335"/>
      <c r="F1" s="335"/>
      <c r="G1" s="335"/>
    </row>
    <row r="2" spans="1:13">
      <c r="B2" s="12"/>
      <c r="C2" s="335"/>
      <c r="D2" s="335"/>
      <c r="E2" s="335"/>
      <c r="F2" s="335"/>
      <c r="G2" s="335"/>
    </row>
    <row r="3" spans="1:13">
      <c r="A3" s="1173" t="s">
        <v>249</v>
      </c>
      <c r="B3" s="1173"/>
      <c r="C3" s="1207"/>
      <c r="D3" s="1207"/>
      <c r="E3" s="1207"/>
      <c r="F3" s="1207"/>
      <c r="G3" s="1207"/>
    </row>
    <row r="4" spans="1:13">
      <c r="A4" s="1173" t="s">
        <v>1341</v>
      </c>
      <c r="B4" s="1173"/>
      <c r="C4" s="1207"/>
      <c r="D4" s="1207"/>
      <c r="E4" s="1207"/>
      <c r="F4" s="1207"/>
      <c r="G4" s="1207"/>
    </row>
    <row r="5" spans="1:13">
      <c r="A5" s="1173" t="s">
        <v>0</v>
      </c>
      <c r="B5" s="1173"/>
      <c r="C5" s="1207"/>
      <c r="D5" s="1207"/>
      <c r="E5" s="1207"/>
      <c r="F5" s="1207"/>
      <c r="G5" s="1207"/>
    </row>
    <row r="6" spans="1:13" ht="17.399999999999999">
      <c r="A6" s="1192" t="s">
        <v>37</v>
      </c>
      <c r="B6" s="1192"/>
      <c r="C6" s="1226"/>
      <c r="D6" s="1226"/>
      <c r="E6" s="1226"/>
      <c r="F6" s="1226"/>
      <c r="G6" s="1226"/>
      <c r="H6" s="493"/>
    </row>
    <row r="7" spans="1:13" ht="16.8" thickBot="1">
      <c r="A7" s="494"/>
      <c r="I7" s="24"/>
      <c r="J7" s="24"/>
      <c r="K7" s="24"/>
      <c r="L7" s="24"/>
    </row>
    <row r="8" spans="1:13" ht="16.8" thickBot="1">
      <c r="A8" s="495"/>
      <c r="B8" s="496" t="s">
        <v>20</v>
      </c>
      <c r="C8" s="1045">
        <f>SUM(C13+C55+C129+C175+C198+C222+C167)</f>
        <v>6424442149.0400009</v>
      </c>
      <c r="D8" s="1045">
        <f>SUM(D13+D55+D129+D175+D198+D222)</f>
        <v>569125000</v>
      </c>
      <c r="E8" s="1045">
        <f>SUM(E13+E55+E129+E175+E198+E222+E167)</f>
        <v>10268184550.5</v>
      </c>
      <c r="F8" s="1045">
        <f>SUM(F13+F55+F129+F175+F198+F222)</f>
        <v>651876000</v>
      </c>
      <c r="G8" s="364">
        <f>SUM(G13+G55+G129+G175+G198+G222+G167)</f>
        <v>17913627699.540001</v>
      </c>
      <c r="H8" s="23">
        <f>+'Distribución OyA Detalle'!G1056</f>
        <v>0</v>
      </c>
      <c r="I8" s="24">
        <f>+G8-H8</f>
        <v>17913627699.540001</v>
      </c>
      <c r="J8" s="24"/>
      <c r="K8" s="24"/>
      <c r="L8" s="24"/>
    </row>
    <row r="9" spans="1:13" ht="7.5" customHeight="1" thickBot="1">
      <c r="A9" s="497"/>
      <c r="B9" s="4"/>
      <c r="C9" s="1217"/>
      <c r="D9" s="1217"/>
      <c r="E9" s="1217"/>
      <c r="F9" s="498"/>
      <c r="G9" s="327"/>
    </row>
    <row r="10" spans="1:13" ht="28.5" customHeight="1" thickBot="1">
      <c r="A10" s="499"/>
      <c r="B10" s="500"/>
      <c r="C10" s="501" t="s">
        <v>61</v>
      </c>
      <c r="D10" s="501" t="s">
        <v>62</v>
      </c>
      <c r="E10" s="501" t="s">
        <v>63</v>
      </c>
      <c r="F10" s="501" t="s">
        <v>304</v>
      </c>
      <c r="G10" s="502" t="s">
        <v>29</v>
      </c>
      <c r="J10" s="501" t="s">
        <v>61</v>
      </c>
      <c r="K10" s="501" t="s">
        <v>62</v>
      </c>
      <c r="L10" s="501" t="s">
        <v>63</v>
      </c>
      <c r="M10" s="501" t="s">
        <v>304</v>
      </c>
    </row>
    <row r="11" spans="1:13" ht="16.8" thickBot="1">
      <c r="A11" s="688"/>
      <c r="B11" s="497" t="s">
        <v>44</v>
      </c>
      <c r="C11" s="689"/>
      <c r="D11" s="689"/>
      <c r="E11" s="689"/>
      <c r="F11" s="689"/>
      <c r="G11" s="368"/>
      <c r="J11" s="24">
        <f>+'EST.ORIGEN Y APLICACION'!C9</f>
        <v>6424442149.0400009</v>
      </c>
      <c r="K11" s="24">
        <f>+'EST.ORIGEN Y APLICACION'!D9</f>
        <v>569125000</v>
      </c>
      <c r="L11" s="24">
        <f>+'EST.ORIGEN Y APLICACION'!E9</f>
        <v>10268184550.5</v>
      </c>
      <c r="M11" s="24">
        <f>+'EST.ORIGEN Y APLICACION'!F9</f>
        <v>651876000</v>
      </c>
    </row>
    <row r="12" spans="1:13" ht="15.9" hidden="1" customHeight="1" thickBot="1">
      <c r="A12" s="503"/>
      <c r="B12" s="504"/>
      <c r="C12" s="498"/>
      <c r="D12" s="498"/>
      <c r="E12" s="498"/>
      <c r="F12" s="498"/>
      <c r="G12" s="505"/>
    </row>
    <row r="13" spans="1:13" ht="15.9" customHeight="1" thickBot="1">
      <c r="A13" s="414" t="s">
        <v>65</v>
      </c>
      <c r="B13" s="415" t="s">
        <v>50</v>
      </c>
      <c r="C13" s="506">
        <f>SUM(C14+C37+C51)</f>
        <v>2441676180.0799999</v>
      </c>
      <c r="D13" s="506">
        <f>SUM(D14+D37+D51)</f>
        <v>498199000</v>
      </c>
      <c r="E13" s="506">
        <f>SUM(E14+E37+E51)</f>
        <v>7109665184</v>
      </c>
      <c r="F13" s="506">
        <f>SUM(F14+F37+F51)</f>
        <v>421786000</v>
      </c>
      <c r="G13" s="417">
        <f>SUM(G14+G36+G45+G51)</f>
        <v>10471326364.08</v>
      </c>
      <c r="H13" s="23" t="s">
        <v>325</v>
      </c>
      <c r="J13" s="24">
        <f>+J11-C8</f>
        <v>0</v>
      </c>
      <c r="K13" s="24">
        <f>+K11-D8</f>
        <v>0</v>
      </c>
      <c r="L13" s="24">
        <f>+L11-E8</f>
        <v>0</v>
      </c>
      <c r="M13" s="24">
        <f>+M11-F8</f>
        <v>0</v>
      </c>
    </row>
    <row r="14" spans="1:13" ht="15.9" hidden="1" customHeight="1" outlineLevel="1">
      <c r="A14" s="507"/>
      <c r="B14" s="419" t="s">
        <v>332</v>
      </c>
      <c r="C14" s="508">
        <f>+C16+C22+C28</f>
        <v>1963354180.0799999</v>
      </c>
      <c r="D14" s="508">
        <f>+D16+D22+D28</f>
        <v>399768000</v>
      </c>
      <c r="E14" s="508">
        <f>+E16+E22+E28</f>
        <v>5704998184</v>
      </c>
      <c r="F14" s="508">
        <f>+F16+F22+F28</f>
        <v>338458000</v>
      </c>
      <c r="G14" s="509">
        <f>+G16+G22+G28</f>
        <v>8406578364.0799999</v>
      </c>
    </row>
    <row r="15" spans="1:13" ht="9.9" customHeight="1" collapsed="1">
      <c r="A15" s="510"/>
      <c r="B15" s="423"/>
      <c r="C15" s="511"/>
      <c r="D15" s="511"/>
      <c r="E15" s="511"/>
      <c r="F15" s="511"/>
      <c r="G15" s="512"/>
    </row>
    <row r="16" spans="1:13" ht="15.9" customHeight="1">
      <c r="A16" s="1047" t="s">
        <v>285</v>
      </c>
      <c r="B16" s="449" t="s">
        <v>66</v>
      </c>
      <c r="C16" s="338">
        <f>SUM(C18:C20)</f>
        <v>1186335000</v>
      </c>
      <c r="D16" s="338">
        <f>SUM(D18:D20)</f>
        <v>237020000</v>
      </c>
      <c r="E16" s="338">
        <f>SUM(E18:E20)</f>
        <v>4152586184</v>
      </c>
      <c r="F16" s="338">
        <f>SUM(F18:F20)</f>
        <v>193422000</v>
      </c>
      <c r="G16" s="429">
        <f>SUM(C16:F16)</f>
        <v>5769363184</v>
      </c>
    </row>
    <row r="17" spans="1:8" ht="9.9" customHeight="1">
      <c r="A17" s="510"/>
      <c r="B17" s="423"/>
      <c r="C17" s="511"/>
      <c r="D17" s="511"/>
      <c r="E17" s="511"/>
      <c r="F17" s="511"/>
      <c r="G17" s="512"/>
    </row>
    <row r="18" spans="1:8" ht="15.9" customHeight="1">
      <c r="A18" s="517" t="s">
        <v>67</v>
      </c>
      <c r="B18" s="432" t="s">
        <v>366</v>
      </c>
      <c r="C18" s="433">
        <f>SUMIFS('Distribución OyA Detalle'!$G:$G,'Distribución OyA Detalle'!$D:$D,A18,'Distribución OyA Detalle'!$A:$A,1)</f>
        <v>1181335000</v>
      </c>
      <c r="D18" s="433">
        <f>SUMIFS('Distribución OyA Detalle'!$G:$G,'Distribución OyA Detalle'!$D:$D,A18,'Distribución OyA Detalle'!$A:$A,2)</f>
        <v>237020000</v>
      </c>
      <c r="E18" s="433">
        <f>SUMIFS('Distribución OyA Detalle'!$G:$G,'Distribución OyA Detalle'!$D:$D,A18,'Distribución OyA Detalle'!$A:$A,3)</f>
        <v>1908969784</v>
      </c>
      <c r="F18" s="433">
        <f>SUMIFS('Distribución OyA Detalle'!$G:$G,'Distribución OyA Detalle'!$D:$D,A18,'Distribución OyA Detalle'!$A:$A,4)</f>
        <v>193422000</v>
      </c>
      <c r="G18" s="518">
        <f>SUM(C18:F18)</f>
        <v>3520746784</v>
      </c>
      <c r="H18" s="24" t="s">
        <v>325</v>
      </c>
    </row>
    <row r="19" spans="1:8" ht="15.9" customHeight="1">
      <c r="A19" s="517" t="s">
        <v>68</v>
      </c>
      <c r="B19" s="432" t="s">
        <v>367</v>
      </c>
      <c r="C19" s="433">
        <f>SUMIFS('Distribución OyA Detalle'!$G:$G,'Distribución OyA Detalle'!$D:$D,A19,'Distribución OyA Detalle'!$A:$A,1)</f>
        <v>0</v>
      </c>
      <c r="D19" s="433">
        <f>SUMIFS('Distribución OyA Detalle'!$G:$G,'Distribución OyA Detalle'!$D:$D,A19,'Distribución OyA Detalle'!$A:$A,2)</f>
        <v>0</v>
      </c>
      <c r="E19" s="433">
        <f>SUMIFS('Distribución OyA Detalle'!$G:$G,'Distribución OyA Detalle'!$D:$D,A19,'Distribución OyA Detalle'!$A:$A,3)</f>
        <v>2243616400</v>
      </c>
      <c r="F19" s="433">
        <f>SUMIFS('Distribución OyA Detalle'!$G:$G,'Distribución OyA Detalle'!$D:$D,A19,'Distribución OyA Detalle'!$A:$A,4)</f>
        <v>0</v>
      </c>
      <c r="G19" s="518">
        <f>SUM(C19:F19)</f>
        <v>2243616400</v>
      </c>
      <c r="H19" s="24" t="s">
        <v>325</v>
      </c>
    </row>
    <row r="20" spans="1:8" ht="15.9" customHeight="1">
      <c r="A20" s="517" t="s">
        <v>333</v>
      </c>
      <c r="B20" s="432" t="s">
        <v>319</v>
      </c>
      <c r="C20" s="433">
        <f>SUMIFS('Distribución OyA Detalle'!$G:$G,'Distribución OyA Detalle'!$D:$D,A20,'Distribución OyA Detalle'!$A:$A,1)</f>
        <v>5000000</v>
      </c>
      <c r="D20" s="433">
        <f>SUMIFS('Distribución OyA Detalle'!$G:$G,'Distribución OyA Detalle'!$D:$D,A20,'Distribución OyA Detalle'!$A:$A,2)</f>
        <v>0</v>
      </c>
      <c r="E20" s="433">
        <f>SUMIFS('Distribución OyA Detalle'!$G:$G,'Distribución OyA Detalle'!$D:$D,A20,'Distribución OyA Detalle'!$A:$A,3)</f>
        <v>0</v>
      </c>
      <c r="F20" s="433">
        <f>SUMIFS('Distribución OyA Detalle'!$G:$G,'Distribución OyA Detalle'!$D:$D,A20,'Distribución OyA Detalle'!$A:$A,4)</f>
        <v>0</v>
      </c>
      <c r="G20" s="518">
        <f>SUM(C20:F20)</f>
        <v>5000000</v>
      </c>
      <c r="H20" s="24" t="s">
        <v>325</v>
      </c>
    </row>
    <row r="21" spans="1:8" ht="9.9" customHeight="1">
      <c r="A21" s="517"/>
      <c r="B21" s="436"/>
      <c r="C21" s="478"/>
      <c r="D21" s="478"/>
      <c r="E21" s="478"/>
      <c r="F21" s="478"/>
      <c r="G21" s="519"/>
      <c r="H21" s="24" t="s">
        <v>325</v>
      </c>
    </row>
    <row r="22" spans="1:8" ht="15.9" customHeight="1">
      <c r="A22" s="1047" t="s">
        <v>69</v>
      </c>
      <c r="B22" s="449" t="s">
        <v>70</v>
      </c>
      <c r="C22" s="338">
        <f>SUM(C24:C26)</f>
        <v>24481180.079999998</v>
      </c>
      <c r="D22" s="338">
        <f>SUM(D24:D26)</f>
        <v>718000</v>
      </c>
      <c r="E22" s="338">
        <f>SUM(E24:E26)</f>
        <v>188175000</v>
      </c>
      <c r="F22" s="338">
        <f>SUM(F24:F26)</f>
        <v>1728000</v>
      </c>
      <c r="G22" s="429">
        <f>SUM(C22:F22)</f>
        <v>215102180.07999998</v>
      </c>
    </row>
    <row r="23" spans="1:8" ht="9.9" customHeight="1">
      <c r="A23" s="517"/>
      <c r="B23" s="423"/>
      <c r="C23" s="478"/>
      <c r="D23" s="478"/>
      <c r="E23" s="478"/>
      <c r="F23" s="478"/>
      <c r="G23" s="519"/>
    </row>
    <row r="24" spans="1:8" ht="15.9" customHeight="1">
      <c r="A24" s="517" t="s">
        <v>71</v>
      </c>
      <c r="B24" s="432" t="s">
        <v>33</v>
      </c>
      <c r="C24" s="433">
        <f>SUMIFS('Distribución OyA Detalle'!$G:$G,'Distribución OyA Detalle'!$D:$D,A24,'Distribución OyA Detalle'!$A:$A,1)</f>
        <v>8862000</v>
      </c>
      <c r="D24" s="433">
        <f>SUMIFS('Distribución OyA Detalle'!$G:$G,'Distribución OyA Detalle'!$D:$D,A24,'Distribución OyA Detalle'!$A:$A,2)</f>
        <v>718000</v>
      </c>
      <c r="E24" s="433">
        <f>SUMIFS('Distribución OyA Detalle'!$G:$G,'Distribución OyA Detalle'!$D:$D,A24,'Distribución OyA Detalle'!$A:$A,3)</f>
        <v>188175000</v>
      </c>
      <c r="F24" s="433">
        <f>SUMIFS('Distribución OyA Detalle'!$G:$G,'Distribución OyA Detalle'!$D:$D,A24,'Distribución OyA Detalle'!$A:$A,4)</f>
        <v>1728000</v>
      </c>
      <c r="G24" s="518">
        <f>SUM(C24:F24)</f>
        <v>199483000</v>
      </c>
    </row>
    <row r="25" spans="1:8" ht="15.9" customHeight="1">
      <c r="A25" s="517" t="s">
        <v>477</v>
      </c>
      <c r="B25" s="432" t="s">
        <v>478</v>
      </c>
      <c r="C25" s="433">
        <f>SUMIFS('Distribución OyA Detalle'!$G:$G,'Distribución OyA Detalle'!$D:$D,A25,'Distribución OyA Detalle'!$A:$A,1)</f>
        <v>2119180.08</v>
      </c>
      <c r="D25" s="433">
        <f>SUMIFS('Distribución OyA Detalle'!$G:$G,'Distribución OyA Detalle'!$D:$D,A25,'Distribución OyA Detalle'!$A:$A,2)</f>
        <v>0</v>
      </c>
      <c r="E25" s="433">
        <f>SUMIFS('Distribución OyA Detalle'!$G:$G,'Distribución OyA Detalle'!$D:$D,A25,'Distribución OyA Detalle'!$A:$A,3)</f>
        <v>0</v>
      </c>
      <c r="F25" s="433">
        <f>SUMIFS('Distribución OyA Detalle'!$G:$G,'Distribución OyA Detalle'!$D:$D,A25,'Distribución OyA Detalle'!$A:$A,4)</f>
        <v>0</v>
      </c>
      <c r="G25" s="518">
        <f>SUM(C25:F25)</f>
        <v>2119180.08</v>
      </c>
    </row>
    <row r="26" spans="1:8" ht="15.9" customHeight="1">
      <c r="A26" s="517" t="s">
        <v>72</v>
      </c>
      <c r="B26" s="440" t="s">
        <v>17</v>
      </c>
      <c r="C26" s="433">
        <f>SUMIFS('Distribución OyA Detalle'!$G:$G,'Distribución OyA Detalle'!$D:$D,A26,'Distribución OyA Detalle'!$A:$A,1)</f>
        <v>13500000</v>
      </c>
      <c r="D26" s="433">
        <f>SUMIFS('Distribución OyA Detalle'!$G:$G,'Distribución OyA Detalle'!$D:$D,A26,'Distribución OyA Detalle'!$A:$A,2)</f>
        <v>0</v>
      </c>
      <c r="E26" s="433">
        <f>SUMIFS('Distribución OyA Detalle'!$G:$G,'Distribución OyA Detalle'!$D:$D,A26,'Distribución OyA Detalle'!$A:$A,3)</f>
        <v>0</v>
      </c>
      <c r="F26" s="433">
        <f>SUMIFS('Distribución OyA Detalle'!$G:$G,'Distribución OyA Detalle'!$D:$D,A26,'Distribución OyA Detalle'!$A:$A,4)</f>
        <v>0</v>
      </c>
      <c r="G26" s="518">
        <f>SUM(C26:F26)</f>
        <v>13500000</v>
      </c>
    </row>
    <row r="27" spans="1:8" ht="9.9" customHeight="1">
      <c r="A27" s="517"/>
      <c r="B27" s="423"/>
      <c r="C27" s="478"/>
      <c r="D27" s="478"/>
      <c r="E27" s="478"/>
      <c r="F27" s="478"/>
      <c r="G27" s="519"/>
    </row>
    <row r="28" spans="1:8" ht="15.9" customHeight="1">
      <c r="A28" s="1047" t="s">
        <v>73</v>
      </c>
      <c r="B28" s="449" t="s">
        <v>74</v>
      </c>
      <c r="C28" s="338">
        <f>SUM(C30:C34)</f>
        <v>752538000</v>
      </c>
      <c r="D28" s="338">
        <f>SUM(D30:D34)</f>
        <v>162030000</v>
      </c>
      <c r="E28" s="338">
        <f>SUM(E30:E34)</f>
        <v>1364237000</v>
      </c>
      <c r="F28" s="338">
        <f>SUM(F30:F34)</f>
        <v>143308000</v>
      </c>
      <c r="G28" s="429">
        <f>SUM(C28:F28)</f>
        <v>2422113000</v>
      </c>
    </row>
    <row r="29" spans="1:8" ht="9.9" customHeight="1">
      <c r="A29" s="517"/>
      <c r="B29" s="423"/>
      <c r="C29" s="478"/>
      <c r="D29" s="478"/>
      <c r="E29" s="478"/>
      <c r="F29" s="478"/>
      <c r="G29" s="519"/>
    </row>
    <row r="30" spans="1:8" ht="15.9" customHeight="1">
      <c r="A30" s="517" t="s">
        <v>75</v>
      </c>
      <c r="B30" s="432" t="s">
        <v>368</v>
      </c>
      <c r="C30" s="433">
        <f>SUMIFS('Distribución OyA Detalle'!$G:$G,'Distribución OyA Detalle'!$D:$D,A30,'Distribución OyA Detalle'!$A:$A,1)</f>
        <v>187667000</v>
      </c>
      <c r="D30" s="433">
        <f>SUMIFS('Distribución OyA Detalle'!$G:$G,'Distribución OyA Detalle'!$D:$D,A30,'Distribución OyA Detalle'!$A:$A,2)</f>
        <v>36608000</v>
      </c>
      <c r="E30" s="433">
        <f>SUMIFS('Distribución OyA Detalle'!$G:$G,'Distribución OyA Detalle'!$D:$D,A30,'Distribución OyA Detalle'!$A:$A,3)</f>
        <v>263217000</v>
      </c>
      <c r="F30" s="433">
        <f>SUMIFS('Distribución OyA Detalle'!$G:$G,'Distribución OyA Detalle'!$D:$D,A30,'Distribución OyA Detalle'!$A:$A,4)</f>
        <v>44201000</v>
      </c>
      <c r="G30" s="518">
        <f>SUM(C30:F30)</f>
        <v>531693000</v>
      </c>
    </row>
    <row r="31" spans="1:8" ht="15.9" customHeight="1">
      <c r="A31" s="517" t="s">
        <v>76</v>
      </c>
      <c r="B31" s="432" t="s">
        <v>369</v>
      </c>
      <c r="C31" s="433">
        <f>SUMIFS('Distribución OyA Detalle'!$G:$G,'Distribución OyA Detalle'!$D:$D,A31,'Distribución OyA Detalle'!$A:$A,1)</f>
        <v>223390000</v>
      </c>
      <c r="D31" s="433">
        <f>SUMIFS('Distribución OyA Detalle'!$G:$G,'Distribución OyA Detalle'!$D:$D,A31,'Distribución OyA Detalle'!$A:$A,2)</f>
        <v>52035000</v>
      </c>
      <c r="E31" s="433">
        <f>SUMIFS('Distribución OyA Detalle'!$G:$G,'Distribución OyA Detalle'!$D:$D,A31,'Distribución OyA Detalle'!$A:$A,3)</f>
        <v>202137000</v>
      </c>
      <c r="F31" s="433">
        <f>SUMIFS('Distribución OyA Detalle'!$G:$G,'Distribución OyA Detalle'!$D:$D,A31,'Distribución OyA Detalle'!$A:$A,4)</f>
        <v>38279000</v>
      </c>
      <c r="G31" s="518">
        <f>SUM(C31:F31)</f>
        <v>515841000</v>
      </c>
    </row>
    <row r="32" spans="1:8" ht="15.9" customHeight="1">
      <c r="A32" s="517" t="s">
        <v>77</v>
      </c>
      <c r="B32" s="432" t="s">
        <v>14</v>
      </c>
      <c r="C32" s="433">
        <f>SUMIFS('Distribución OyA Detalle'!$G:$G,'Distribución OyA Detalle'!$D:$D,A32,'Distribución OyA Detalle'!$A:$A,1)</f>
        <v>149252000</v>
      </c>
      <c r="D32" s="433">
        <f>SUMIFS('Distribución OyA Detalle'!$G:$G,'Distribución OyA Detalle'!$D:$D,A32,'Distribución OyA Detalle'!$A:$A,2)</f>
        <v>30697000</v>
      </c>
      <c r="E32" s="433">
        <f>SUMIFS('Distribución OyA Detalle'!$G:$G,'Distribución OyA Detalle'!$D:$D,A32,'Distribución OyA Detalle'!$A:$A,3)</f>
        <v>438158000</v>
      </c>
      <c r="F32" s="433">
        <f>SUMIFS('Distribución OyA Detalle'!$G:$G,'Distribución OyA Detalle'!$D:$D,A32,'Distribución OyA Detalle'!$A:$A,4)</f>
        <v>26008000</v>
      </c>
      <c r="G32" s="518">
        <f>SUM(C32:F32)</f>
        <v>644115000</v>
      </c>
    </row>
    <row r="33" spans="1:7" ht="15.9" customHeight="1">
      <c r="A33" s="517" t="s">
        <v>78</v>
      </c>
      <c r="B33" s="432" t="s">
        <v>370</v>
      </c>
      <c r="C33" s="433">
        <f>SUMIFS('Distribución OyA Detalle'!$G:$G,'Distribución OyA Detalle'!$D:$D,A33,'Distribución OyA Detalle'!$A:$A,1)</f>
        <v>140186000</v>
      </c>
      <c r="D33" s="433">
        <f>SUMIFS('Distribución OyA Detalle'!$G:$G,'Distribución OyA Detalle'!$D:$D,A33,'Distribución OyA Detalle'!$A:$A,2)</f>
        <v>29034000</v>
      </c>
      <c r="E33" s="433">
        <f>SUMIFS('Distribución OyA Detalle'!$G:$G,'Distribución OyA Detalle'!$D:$D,A33,'Distribución OyA Detalle'!$A:$A,3)</f>
        <v>413264000</v>
      </c>
      <c r="F33" s="433">
        <f>SUMIFS('Distribución OyA Detalle'!$G:$G,'Distribución OyA Detalle'!$D:$D,A33,'Distribución OyA Detalle'!$A:$A,4)</f>
        <v>24359000</v>
      </c>
      <c r="G33" s="518">
        <f>SUM(C33:F33)</f>
        <v>606843000</v>
      </c>
    </row>
    <row r="34" spans="1:7" ht="15.9" customHeight="1">
      <c r="A34" s="517" t="s">
        <v>79</v>
      </c>
      <c r="B34" s="432" t="s">
        <v>80</v>
      </c>
      <c r="C34" s="433">
        <f>SUMIFS('Distribución OyA Detalle'!$G:$G,'Distribución OyA Detalle'!$D:$D,A34,'Distribución OyA Detalle'!$A:$A,1)</f>
        <v>52043000</v>
      </c>
      <c r="D34" s="433">
        <f>SUMIFS('Distribución OyA Detalle'!$G:$G,'Distribución OyA Detalle'!$D:$D,A34,'Distribución OyA Detalle'!$A:$A,2)</f>
        <v>13656000</v>
      </c>
      <c r="E34" s="433">
        <f>SUMIFS('Distribución OyA Detalle'!$G:$G,'Distribución OyA Detalle'!$D:$D,A34,'Distribución OyA Detalle'!$A:$A,3)</f>
        <v>47461000</v>
      </c>
      <c r="F34" s="433">
        <f>SUMIFS('Distribución OyA Detalle'!$G:$G,'Distribución OyA Detalle'!$D:$D,A34,'Distribución OyA Detalle'!$A:$A,4)</f>
        <v>10461000</v>
      </c>
      <c r="G34" s="518">
        <f>SUM(C34:F34)</f>
        <v>123621000</v>
      </c>
    </row>
    <row r="35" spans="1:7" ht="9.9" customHeight="1">
      <c r="A35" s="517"/>
      <c r="B35" s="436"/>
      <c r="C35" s="478"/>
      <c r="D35" s="478"/>
      <c r="E35" s="478"/>
      <c r="F35" s="478"/>
      <c r="G35" s="519"/>
    </row>
    <row r="36" spans="1:7" ht="15.9" customHeight="1">
      <c r="A36" s="1047" t="s">
        <v>81</v>
      </c>
      <c r="B36" s="449" t="s">
        <v>334</v>
      </c>
      <c r="C36" s="338">
        <f>SUM(C39:C43)</f>
        <v>300407000</v>
      </c>
      <c r="D36" s="338">
        <f>SUM(D39:D43)</f>
        <v>61819000</v>
      </c>
      <c r="E36" s="338">
        <f>SUM(E39:E43)</f>
        <v>882199000</v>
      </c>
      <c r="F36" s="338">
        <f>SUM(F39:F43)</f>
        <v>52335000</v>
      </c>
      <c r="G36" s="429">
        <f>SUM(C36:F36)</f>
        <v>1296760000</v>
      </c>
    </row>
    <row r="37" spans="1:7" ht="15.9" hidden="1" customHeight="1" outlineLevel="1">
      <c r="A37" s="507"/>
      <c r="B37" s="419" t="s">
        <v>241</v>
      </c>
      <c r="C37" s="508">
        <f>+C36+C45</f>
        <v>478322000</v>
      </c>
      <c r="D37" s="508">
        <f>+D36+D45</f>
        <v>98431000</v>
      </c>
      <c r="E37" s="508">
        <f>+E36+E45</f>
        <v>1404667000</v>
      </c>
      <c r="F37" s="508">
        <f>+F36+F45</f>
        <v>83328000</v>
      </c>
      <c r="G37" s="509">
        <f>+G36+G45</f>
        <v>2064748000</v>
      </c>
    </row>
    <row r="38" spans="1:7" ht="9.9" customHeight="1" collapsed="1">
      <c r="A38" s="517"/>
      <c r="B38" s="423"/>
      <c r="C38" s="478"/>
      <c r="D38" s="478"/>
      <c r="E38" s="478"/>
      <c r="F38" s="478"/>
      <c r="G38" s="446"/>
    </row>
    <row r="39" spans="1:7" ht="15.9" customHeight="1">
      <c r="A39" s="476" t="s">
        <v>82</v>
      </c>
      <c r="B39" s="432" t="s">
        <v>371</v>
      </c>
      <c r="C39" s="433">
        <f>SUMIFS('Distribución OyA Detalle'!$G:$G,'Distribución OyA Detalle'!$D:$D,A39,'Distribución OyA Detalle'!$A:$A,1)</f>
        <v>165897000</v>
      </c>
      <c r="D39" s="433">
        <f>SUMIFS('Distribución OyA Detalle'!$G:$G,'Distribución OyA Detalle'!$D:$D,A39,'Distribución OyA Detalle'!$A:$A,2)</f>
        <v>34139000</v>
      </c>
      <c r="E39" s="433">
        <f>SUMIFS('Distribución OyA Detalle'!$G:$G,'Distribución OyA Detalle'!$D:$D,A39,'Distribución OyA Detalle'!$A:$A,3)</f>
        <v>487183000</v>
      </c>
      <c r="F39" s="433">
        <f>SUMIFS('Distribución OyA Detalle'!$G:$G,'Distribución OyA Detalle'!$D:$D,A39,'Distribución OyA Detalle'!$A:$A,4)</f>
        <v>28902000</v>
      </c>
      <c r="G39" s="518">
        <f>SUM(C39:F39)</f>
        <v>716121000</v>
      </c>
    </row>
    <row r="40" spans="1:7" ht="15.9" customHeight="1">
      <c r="A40" s="476" t="s">
        <v>83</v>
      </c>
      <c r="B40" s="432" t="s">
        <v>372</v>
      </c>
      <c r="C40" s="433">
        <f>SUMIFS('Distribución OyA Detalle'!$G:$G,'Distribución OyA Detalle'!$D:$D,A40,'Distribución OyA Detalle'!$A:$A,1)</f>
        <v>8967000</v>
      </c>
      <c r="D40" s="433">
        <f>SUMIFS('Distribución OyA Detalle'!$G:$G,'Distribución OyA Detalle'!$D:$D,A40,'Distribución OyA Detalle'!$A:$A,2)</f>
        <v>1845000</v>
      </c>
      <c r="E40" s="433">
        <f>SUMIFS('Distribución OyA Detalle'!$G:$G,'Distribución OyA Detalle'!$D:$D,A40,'Distribución OyA Detalle'!$A:$A,3)</f>
        <v>26335000</v>
      </c>
      <c r="F40" s="433">
        <f>SUMIFS('Distribución OyA Detalle'!$G:$G,'Distribución OyA Detalle'!$D:$D,A40,'Distribución OyA Detalle'!$A:$A,4)</f>
        <v>1562000</v>
      </c>
      <c r="G40" s="518">
        <f>SUM(C40:F40)</f>
        <v>38709000</v>
      </c>
    </row>
    <row r="41" spans="1:7" ht="15.9" customHeight="1">
      <c r="A41" s="476" t="s">
        <v>84</v>
      </c>
      <c r="B41" s="432" t="s">
        <v>373</v>
      </c>
      <c r="C41" s="433">
        <f>SUMIFS('Distribución OyA Detalle'!$G:$G,'Distribución OyA Detalle'!$D:$D,A41,'Distribución OyA Detalle'!$A:$A,1)</f>
        <v>26902000</v>
      </c>
      <c r="D41" s="433">
        <f>SUMIFS('Distribución OyA Detalle'!$G:$G,'Distribución OyA Detalle'!$D:$D,A41,'Distribución OyA Detalle'!$A:$A,2)</f>
        <v>5536000</v>
      </c>
      <c r="E41" s="433">
        <f>SUMIFS('Distribución OyA Detalle'!$G:$G,'Distribución OyA Detalle'!$D:$D,A41,'Distribución OyA Detalle'!$A:$A,3)</f>
        <v>79001000</v>
      </c>
      <c r="F41" s="433">
        <f>SUMIFS('Distribución OyA Detalle'!$G:$G,'Distribución OyA Detalle'!$D:$D,A41,'Distribución OyA Detalle'!$A:$A,4)</f>
        <v>4687000</v>
      </c>
      <c r="G41" s="518">
        <f>SUM(C41:F41)</f>
        <v>116126000</v>
      </c>
    </row>
    <row r="42" spans="1:7" ht="15.9" customHeight="1">
      <c r="A42" s="476" t="s">
        <v>85</v>
      </c>
      <c r="B42" s="432" t="s">
        <v>499</v>
      </c>
      <c r="C42" s="433">
        <f>SUMIFS('Distribución OyA Detalle'!$G:$G,'Distribución OyA Detalle'!$D:$D,A42,'Distribución OyA Detalle'!$A:$A,1)</f>
        <v>89674000</v>
      </c>
      <c r="D42" s="433">
        <f>SUMIFS('Distribución OyA Detalle'!$G:$G,'Distribución OyA Detalle'!$D:$D,A42,'Distribución OyA Detalle'!$A:$A,2)</f>
        <v>18454000</v>
      </c>
      <c r="E42" s="433">
        <f>SUMIFS('Distribución OyA Detalle'!$G:$G,'Distribución OyA Detalle'!$D:$D,A42,'Distribución OyA Detalle'!$A:$A,3)</f>
        <v>263345000</v>
      </c>
      <c r="F42" s="433">
        <f>SUMIFS('Distribución OyA Detalle'!$G:$G,'Distribución OyA Detalle'!$D:$D,A42,'Distribución OyA Detalle'!$A:$A,4)</f>
        <v>15622000</v>
      </c>
      <c r="G42" s="518">
        <f>SUM(C42:F42)</f>
        <v>387095000</v>
      </c>
    </row>
    <row r="43" spans="1:7" ht="15.9" customHeight="1">
      <c r="A43" s="476" t="s">
        <v>86</v>
      </c>
      <c r="B43" s="432" t="s">
        <v>731</v>
      </c>
      <c r="C43" s="433">
        <f>SUMIFS('Distribución OyA Detalle'!$G:$G,'Distribución OyA Detalle'!$D:$D,A43,'Distribución OyA Detalle'!$A:$A,1)</f>
        <v>8967000</v>
      </c>
      <c r="D43" s="433">
        <f>SUMIFS('Distribución OyA Detalle'!$G:$G,'Distribución OyA Detalle'!$D:$D,A43,'Distribución OyA Detalle'!$A:$A,2)</f>
        <v>1845000</v>
      </c>
      <c r="E43" s="433">
        <f>SUMIFS('Distribución OyA Detalle'!$G:$G,'Distribución OyA Detalle'!$D:$D,A43,'Distribución OyA Detalle'!$A:$A,3)</f>
        <v>26335000</v>
      </c>
      <c r="F43" s="433">
        <f>SUMIFS('Distribución OyA Detalle'!$G:$G,'Distribución OyA Detalle'!$D:$D,A43,'Distribución OyA Detalle'!$A:$A,4)</f>
        <v>1562000</v>
      </c>
      <c r="G43" s="518">
        <f>SUM(C43:F43)</f>
        <v>38709000</v>
      </c>
    </row>
    <row r="44" spans="1:7" ht="9.9" customHeight="1">
      <c r="A44" s="476"/>
      <c r="B44" s="436" t="s">
        <v>325</v>
      </c>
      <c r="C44" s="478"/>
      <c r="D44" s="478"/>
      <c r="E44" s="478"/>
      <c r="F44" s="478"/>
      <c r="G44" s="519"/>
    </row>
    <row r="45" spans="1:7" ht="15.9" customHeight="1">
      <c r="A45" s="1047" t="s">
        <v>87</v>
      </c>
      <c r="B45" s="449" t="s">
        <v>88</v>
      </c>
      <c r="C45" s="338">
        <f>SUM(C47:C49)</f>
        <v>177915000</v>
      </c>
      <c r="D45" s="338">
        <f>SUM(D47:D49)</f>
        <v>36612000</v>
      </c>
      <c r="E45" s="338">
        <f>SUM(E47:E49)</f>
        <v>522468000</v>
      </c>
      <c r="F45" s="338">
        <f>SUM(F47:F49)</f>
        <v>30993000</v>
      </c>
      <c r="G45" s="429">
        <f>SUM(C45:F45)</f>
        <v>767988000</v>
      </c>
    </row>
    <row r="46" spans="1:7" ht="9.9" customHeight="1">
      <c r="A46" s="476"/>
      <c r="B46" s="423"/>
      <c r="C46" s="478"/>
      <c r="D46" s="478"/>
      <c r="E46" s="478"/>
      <c r="F46" s="478"/>
      <c r="G46" s="519"/>
    </row>
    <row r="47" spans="1:7" ht="15.9" customHeight="1">
      <c r="A47" s="476" t="s">
        <v>425</v>
      </c>
      <c r="B47" s="436" t="s">
        <v>733</v>
      </c>
      <c r="C47" s="433">
        <f>SUMIFS('Distribución OyA Detalle'!$G:$G,'Distribución OyA Detalle'!$D:$D,A47,'Distribución OyA Detalle'!$A:$A,1)</f>
        <v>97208000</v>
      </c>
      <c r="D47" s="433">
        <f>SUMIFS('Distribución OyA Detalle'!$G:$G,'Distribución OyA Detalle'!$D:$D,A47,'Distribución OyA Detalle'!$A:$A,2)</f>
        <v>20004000</v>
      </c>
      <c r="E47" s="433">
        <f>SUMIFS('Distribución OyA Detalle'!$G:$G,'Distribución OyA Detalle'!$D:$D,A47,'Distribución OyA Detalle'!$A:$A,3)</f>
        <v>285460000</v>
      </c>
      <c r="F47" s="433">
        <f>SUMIFS('Distribución OyA Detalle'!$G:$G,'Distribución OyA Detalle'!$D:$D,A47,'Distribución OyA Detalle'!$A:$A,4)</f>
        <v>16933000</v>
      </c>
      <c r="G47" s="518">
        <f>SUM(C47:F47)</f>
        <v>419605000</v>
      </c>
    </row>
    <row r="48" spans="1:7" ht="15.9" customHeight="1">
      <c r="A48" s="476" t="s">
        <v>89</v>
      </c>
      <c r="B48" s="450" t="s">
        <v>734</v>
      </c>
      <c r="C48" s="433">
        <f>SUMIFS('Distribución OyA Detalle'!$G:$G,'Distribución OyA Detalle'!$D:$D,A48,'Distribución OyA Detalle'!$A:$A,1)</f>
        <v>53805000</v>
      </c>
      <c r="D48" s="433">
        <f>SUMIFS('Distribución OyA Detalle'!$G:$G,'Distribución OyA Detalle'!$D:$D,A48,'Distribución OyA Detalle'!$A:$A,2)</f>
        <v>11072000</v>
      </c>
      <c r="E48" s="433">
        <f>SUMIFS('Distribución OyA Detalle'!$G:$G,'Distribución OyA Detalle'!$D:$D,A48,'Distribución OyA Detalle'!$A:$A,3)</f>
        <v>158007000</v>
      </c>
      <c r="F48" s="433">
        <f>SUMIFS('Distribución OyA Detalle'!$G:$G,'Distribución OyA Detalle'!$D:$D,A48,'Distribución OyA Detalle'!$A:$A,4)</f>
        <v>9373000</v>
      </c>
      <c r="G48" s="518">
        <f>SUM(C48:F48)</f>
        <v>232257000</v>
      </c>
    </row>
    <row r="49" spans="1:7" ht="15.9" customHeight="1">
      <c r="A49" s="476" t="s">
        <v>90</v>
      </c>
      <c r="B49" s="450" t="s">
        <v>457</v>
      </c>
      <c r="C49" s="433">
        <f>SUMIFS('Distribución OyA Detalle'!$G:$G,'Distribución OyA Detalle'!$D:$D,A49,'Distribución OyA Detalle'!$A:$A,1)</f>
        <v>26902000</v>
      </c>
      <c r="D49" s="433">
        <f>SUMIFS('Distribución OyA Detalle'!$G:$G,'Distribución OyA Detalle'!$D:$D,A49,'Distribución OyA Detalle'!$A:$A,2)</f>
        <v>5536000</v>
      </c>
      <c r="E49" s="433">
        <f>SUMIFS('Distribución OyA Detalle'!$G:$G,'Distribución OyA Detalle'!$D:$D,A49,'Distribución OyA Detalle'!$A:$A,3)</f>
        <v>79001000</v>
      </c>
      <c r="F49" s="433">
        <f>SUMIFS('Distribución OyA Detalle'!$G:$G,'Distribución OyA Detalle'!$D:$D,A49,'Distribución OyA Detalle'!$A:$A,4)</f>
        <v>4687000</v>
      </c>
      <c r="G49" s="518">
        <f>SUM(C49:F49)</f>
        <v>116126000</v>
      </c>
    </row>
    <row r="50" spans="1:7" ht="15.9" hidden="1" customHeight="1">
      <c r="A50" s="474"/>
      <c r="B50" s="436"/>
      <c r="C50" s="433">
        <v>0</v>
      </c>
      <c r="D50" s="433">
        <v>0</v>
      </c>
      <c r="E50" s="433">
        <v>0</v>
      </c>
      <c r="F50" s="433">
        <v>0</v>
      </c>
      <c r="G50" s="520"/>
    </row>
    <row r="51" spans="1:7" ht="15.9" hidden="1" customHeight="1">
      <c r="A51" s="513" t="s">
        <v>335</v>
      </c>
      <c r="B51" s="514" t="s">
        <v>336</v>
      </c>
      <c r="C51" s="433">
        <v>0</v>
      </c>
      <c r="D51" s="433">
        <v>0</v>
      </c>
      <c r="E51" s="433">
        <v>0</v>
      </c>
      <c r="F51" s="433">
        <v>0</v>
      </c>
      <c r="G51" s="516">
        <f>SUM(C51:F51)</f>
        <v>0</v>
      </c>
    </row>
    <row r="52" spans="1:7" ht="15.9" hidden="1" customHeight="1">
      <c r="A52" s="474"/>
      <c r="B52" s="423"/>
      <c r="C52" s="433">
        <v>0</v>
      </c>
      <c r="D52" s="433">
        <v>0</v>
      </c>
      <c r="E52" s="433">
        <v>0</v>
      </c>
      <c r="F52" s="433">
        <v>0</v>
      </c>
      <c r="G52" s="520"/>
    </row>
    <row r="53" spans="1:7" ht="15.9" hidden="1" customHeight="1">
      <c r="A53" s="451" t="s">
        <v>337</v>
      </c>
      <c r="B53" s="440" t="s">
        <v>338</v>
      </c>
      <c r="C53" s="433">
        <f>SUMIFS('Distribución OyA Detalle'!$G:$G,'Distribución OyA Detalle'!$D:$D,A53,'Distribución OyA Detalle'!$A:$A,1)</f>
        <v>0</v>
      </c>
      <c r="D53" s="433">
        <f>SUMIFS('Distribución OyA Detalle'!$G:$G,'Distribución OyA Detalle'!$D:$D,A53,'Distribución OyA Detalle'!$A:$A,2)</f>
        <v>0</v>
      </c>
      <c r="E53" s="433">
        <f>SUMIFS('Distribución OyA Detalle'!$G:$G,'Distribución OyA Detalle'!$D:$D,A53,'Distribución OyA Detalle'!$A:$A,3)</f>
        <v>0</v>
      </c>
      <c r="F53" s="433">
        <f>SUMIFS('Distribución OyA Detalle'!$G:$G,'Distribución OyA Detalle'!$D:$D,A53,'Distribución OyA Detalle'!$A:$A,4)</f>
        <v>0</v>
      </c>
      <c r="G53" s="521">
        <f>SUM(C53:F53)</f>
        <v>0</v>
      </c>
    </row>
    <row r="54" spans="1:7" ht="9.9" customHeight="1" thickBot="1">
      <c r="A54" s="522"/>
      <c r="B54" s="453"/>
      <c r="C54" s="523"/>
      <c r="D54" s="523"/>
      <c r="E54" s="523"/>
      <c r="F54" s="523"/>
      <c r="G54" s="524"/>
    </row>
    <row r="55" spans="1:7" ht="15.9" customHeight="1" thickBot="1">
      <c r="A55" s="456" t="s">
        <v>91</v>
      </c>
      <c r="B55" s="415" t="s">
        <v>51</v>
      </c>
      <c r="C55" s="458">
        <f>+C57+C64+C72+C81+C91+C98+C102+C108+C123+C119</f>
        <v>976208764.19000006</v>
      </c>
      <c r="D55" s="458">
        <f>+D57+D64+D72+D81+D91+D98+D102+D108+D123+D119</f>
        <v>67926000</v>
      </c>
      <c r="E55" s="458">
        <f>+E57+E64+E72+E81+E91+E98+E102+E108+E123+E119</f>
        <v>1731878816</v>
      </c>
      <c r="F55" s="458">
        <f>+F57+F64+F72+F81+F91+F98+F102+F108+F123+F119</f>
        <v>227890000</v>
      </c>
      <c r="G55" s="459">
        <f>+G57+G64+G72+G81+G91+G98+G102+G108+G123+G119</f>
        <v>3003903580.1900001</v>
      </c>
    </row>
    <row r="56" spans="1:7" ht="9.9" customHeight="1" outlineLevel="1">
      <c r="A56" s="397"/>
      <c r="B56" s="461"/>
      <c r="C56" s="336"/>
      <c r="D56" s="336"/>
      <c r="E56" s="336"/>
      <c r="F56" s="336"/>
      <c r="G56" s="525"/>
    </row>
    <row r="57" spans="1:7" ht="15.9" customHeight="1" outlineLevel="1">
      <c r="A57" s="1047" t="s">
        <v>92</v>
      </c>
      <c r="B57" s="449" t="s">
        <v>93</v>
      </c>
      <c r="C57" s="338">
        <f>SUM(C59:C62)</f>
        <v>192607000</v>
      </c>
      <c r="D57" s="338">
        <f>SUM(D59:D62)</f>
        <v>7654000</v>
      </c>
      <c r="E57" s="338">
        <f>SUM(E59:E62)</f>
        <v>252608000</v>
      </c>
      <c r="F57" s="338">
        <f>SUM(F59:F62)</f>
        <v>36270000</v>
      </c>
      <c r="G57" s="429">
        <f>SUM(C57:F57)</f>
        <v>489139000</v>
      </c>
    </row>
    <row r="58" spans="1:7" ht="9.9" customHeight="1" outlineLevel="1">
      <c r="A58" s="397"/>
      <c r="B58" s="423"/>
      <c r="C58" s="336"/>
      <c r="D58" s="336"/>
      <c r="E58" s="336"/>
      <c r="F58" s="336"/>
      <c r="G58" s="525"/>
    </row>
    <row r="59" spans="1:7" ht="15.9" customHeight="1" outlineLevel="1">
      <c r="A59" s="476" t="s">
        <v>94</v>
      </c>
      <c r="B59" s="440" t="s">
        <v>508</v>
      </c>
      <c r="C59" s="433">
        <f>SUMIFS('Distribución OyA Detalle'!$G:$G,'Distribución OyA Detalle'!$D:$D,A59,'Distribución OyA Detalle'!$A:$A,1)</f>
        <v>89052000</v>
      </c>
      <c r="D59" s="433">
        <f>SUMIFS('Distribución OyA Detalle'!$G:$G,'Distribución OyA Detalle'!$D:$D,A59,'Distribución OyA Detalle'!$A:$A,2)</f>
        <v>7654000</v>
      </c>
      <c r="E59" s="433">
        <f>SUMIFS('Distribución OyA Detalle'!$G:$G,'Distribución OyA Detalle'!$D:$D,A59,'Distribución OyA Detalle'!$A:$A,3)</f>
        <v>127608000</v>
      </c>
      <c r="F59" s="433">
        <f>SUMIFS('Distribución OyA Detalle'!$G:$G,'Distribución OyA Detalle'!$D:$D,A59,'Distribución OyA Detalle'!$A:$A,4)</f>
        <v>36270000</v>
      </c>
      <c r="G59" s="518">
        <f>SUM(C59:F59)</f>
        <v>260584000</v>
      </c>
    </row>
    <row r="60" spans="1:7" ht="15.9" customHeight="1" outlineLevel="1">
      <c r="A60" s="476" t="s">
        <v>95</v>
      </c>
      <c r="B60" s="432" t="s">
        <v>96</v>
      </c>
      <c r="C60" s="433">
        <f>SUMIFS('Distribución OyA Detalle'!$G:$G,'Distribución OyA Detalle'!$D:$D,A60,'Distribución OyA Detalle'!$A:$A,1)</f>
        <v>50000000</v>
      </c>
      <c r="D60" s="433">
        <f>SUMIFS('Distribución OyA Detalle'!$G:$G,'Distribución OyA Detalle'!$D:$D,A60,'Distribución OyA Detalle'!$A:$A,2)</f>
        <v>0</v>
      </c>
      <c r="E60" s="433">
        <f>SUMIFS('Distribución OyA Detalle'!$G:$G,'Distribución OyA Detalle'!$D:$D,A60,'Distribución OyA Detalle'!$A:$A,3)</f>
        <v>125000000</v>
      </c>
      <c r="F60" s="433">
        <f>SUMIFS('Distribución OyA Detalle'!$G:$G,'Distribución OyA Detalle'!$D:$D,A60,'Distribución OyA Detalle'!$A:$A,4)</f>
        <v>0</v>
      </c>
      <c r="G60" s="518">
        <f>SUM(C60:F60)</f>
        <v>175000000</v>
      </c>
    </row>
    <row r="61" spans="1:7" ht="15.9" hidden="1" customHeight="1" outlineLevel="1">
      <c r="A61" s="476" t="s">
        <v>97</v>
      </c>
      <c r="B61" s="432" t="s">
        <v>98</v>
      </c>
      <c r="C61" s="433">
        <f>SUMIFS('Distribución OyA Detalle'!$G:$G,'Distribución OyA Detalle'!$D:$D,A61,'Distribución OyA Detalle'!$A:$A,1)</f>
        <v>0</v>
      </c>
      <c r="D61" s="433">
        <f>SUMIFS('Distribución OyA Detalle'!$G:$G,'Distribución OyA Detalle'!$D:$D,A61,'Distribución OyA Detalle'!$A:$A,2)</f>
        <v>0</v>
      </c>
      <c r="E61" s="433">
        <f>SUMIFS('Distribución OyA Detalle'!$G:$G,'Distribución OyA Detalle'!$D:$D,A61,'Distribución OyA Detalle'!$A:$A,3)</f>
        <v>0</v>
      </c>
      <c r="F61" s="433">
        <f>SUMIFS('Distribución OyA Detalle'!$G:$G,'Distribución OyA Detalle'!$D:$D,A61,'Distribución OyA Detalle'!$A:$A,4)</f>
        <v>0</v>
      </c>
      <c r="G61" s="521">
        <f>SUM(C61:F61)</f>
        <v>0</v>
      </c>
    </row>
    <row r="62" spans="1:7" ht="15.9" customHeight="1" outlineLevel="1">
      <c r="A62" s="476" t="s">
        <v>99</v>
      </c>
      <c r="B62" s="432" t="s">
        <v>100</v>
      </c>
      <c r="C62" s="433">
        <f>SUMIFS('Distribución OyA Detalle'!$G:$G,'Distribución OyA Detalle'!$D:$D,A62,'Distribución OyA Detalle'!$A:$A,1)</f>
        <v>53555000</v>
      </c>
      <c r="D62" s="433">
        <f>SUMIFS('Distribución OyA Detalle'!$G:$G,'Distribución OyA Detalle'!$D:$D,A62,'Distribución OyA Detalle'!$A:$A,2)</f>
        <v>0</v>
      </c>
      <c r="E62" s="433">
        <f>SUMIFS('Distribución OyA Detalle'!$G:$G,'Distribución OyA Detalle'!$D:$D,A62,'Distribución OyA Detalle'!$A:$A,3)</f>
        <v>0</v>
      </c>
      <c r="F62" s="433">
        <f>SUMIFS('Distribución OyA Detalle'!$G:$G,'Distribución OyA Detalle'!$D:$D,A62,'Distribución OyA Detalle'!$A:$A,4)</f>
        <v>0</v>
      </c>
      <c r="G62" s="518">
        <f>SUM(C62:F62)</f>
        <v>53555000</v>
      </c>
    </row>
    <row r="63" spans="1:7" ht="9.9" customHeight="1" outlineLevel="1">
      <c r="A63" s="476"/>
      <c r="B63" s="442"/>
      <c r="C63" s="478"/>
      <c r="D63" s="478"/>
      <c r="E63" s="478"/>
      <c r="F63" s="478"/>
      <c r="G63" s="519"/>
    </row>
    <row r="64" spans="1:7" ht="15.9" customHeight="1" outlineLevel="1">
      <c r="A64" s="1047" t="s">
        <v>101</v>
      </c>
      <c r="B64" s="449" t="s">
        <v>102</v>
      </c>
      <c r="C64" s="338">
        <f>SUM(C66:C70)</f>
        <v>47395380</v>
      </c>
      <c r="D64" s="338">
        <f>SUM(D66:D70)</f>
        <v>1902000</v>
      </c>
      <c r="E64" s="338">
        <f>SUM(E66:E70)</f>
        <v>78409000</v>
      </c>
      <c r="F64" s="338">
        <f>SUM(F66:F70)</f>
        <v>10314000</v>
      </c>
      <c r="G64" s="429">
        <f>SUM(C64:F64)</f>
        <v>138020380</v>
      </c>
    </row>
    <row r="65" spans="1:7" ht="9.9" customHeight="1" outlineLevel="1">
      <c r="A65" s="476"/>
      <c r="B65" s="423"/>
      <c r="C65" s="478"/>
      <c r="D65" s="478"/>
      <c r="E65" s="478"/>
      <c r="F65" s="478"/>
      <c r="G65" s="519"/>
    </row>
    <row r="66" spans="1:7" ht="15.9" customHeight="1" outlineLevel="1">
      <c r="A66" s="476" t="s">
        <v>103</v>
      </c>
      <c r="B66" s="440" t="s">
        <v>104</v>
      </c>
      <c r="C66" s="433">
        <f>SUMIFS('Distribución OyA Detalle'!$G:$G,'Distribución OyA Detalle'!$D:$D,A66,'Distribución OyA Detalle'!$A:$A,1)</f>
        <v>3114000</v>
      </c>
      <c r="D66" s="433">
        <f>SUMIFS('Distribución OyA Detalle'!$G:$G,'Distribución OyA Detalle'!$D:$D,A66,'Distribución OyA Detalle'!$A:$A,2)</f>
        <v>330000</v>
      </c>
      <c r="E66" s="433">
        <f>SUMIFS('Distribución OyA Detalle'!$G:$G,'Distribución OyA Detalle'!$D:$D,A66,'Distribución OyA Detalle'!$A:$A,3)</f>
        <v>5504000</v>
      </c>
      <c r="F66" s="433">
        <f>SUMIFS('Distribución OyA Detalle'!$G:$G,'Distribución OyA Detalle'!$D:$D,A66,'Distribución OyA Detalle'!$A:$A,4)</f>
        <v>1564000</v>
      </c>
      <c r="G66" s="518">
        <f>SUM(C66:F66)</f>
        <v>10512000</v>
      </c>
    </row>
    <row r="67" spans="1:7" ht="15.9" customHeight="1" outlineLevel="1">
      <c r="A67" s="476" t="s">
        <v>105</v>
      </c>
      <c r="B67" s="466" t="s">
        <v>106</v>
      </c>
      <c r="C67" s="433">
        <f>SUMIFS('Distribución OyA Detalle'!$G:$G,'Distribución OyA Detalle'!$D:$D,A67,'Distribución OyA Detalle'!$A:$A,1)</f>
        <v>9740000</v>
      </c>
      <c r="D67" s="433">
        <f>SUMIFS('Distribución OyA Detalle'!$G:$G,'Distribución OyA Detalle'!$D:$D,A67,'Distribución OyA Detalle'!$A:$A,2)</f>
        <v>1034000</v>
      </c>
      <c r="E67" s="433">
        <f>SUMIFS('Distribución OyA Detalle'!$G:$G,'Distribución OyA Detalle'!$D:$D,A67,'Distribución OyA Detalle'!$A:$A,3)</f>
        <v>17244000</v>
      </c>
      <c r="F67" s="433">
        <f>SUMIFS('Distribución OyA Detalle'!$G:$G,'Distribución OyA Detalle'!$D:$D,A67,'Distribución OyA Detalle'!$A:$A,4)</f>
        <v>4904000</v>
      </c>
      <c r="G67" s="518">
        <f>SUM(C67:F67)</f>
        <v>32922000</v>
      </c>
    </row>
    <row r="68" spans="1:7" ht="15.9" customHeight="1" outlineLevel="1">
      <c r="A68" s="476" t="s">
        <v>107</v>
      </c>
      <c r="B68" s="432" t="s">
        <v>108</v>
      </c>
      <c r="C68" s="433">
        <f>SUMIFS('Distribución OyA Detalle'!$G:$G,'Distribución OyA Detalle'!$D:$D,A68,'Distribución OyA Detalle'!$A:$A,1)</f>
        <v>3500000</v>
      </c>
      <c r="D68" s="433">
        <f>SUMIFS('Distribución OyA Detalle'!$G:$G,'Distribución OyA Detalle'!$D:$D,A68,'Distribución OyA Detalle'!$A:$A,2)</f>
        <v>0</v>
      </c>
      <c r="E68" s="433">
        <f>SUMIFS('Distribución OyA Detalle'!$G:$G,'Distribución OyA Detalle'!$D:$D,A68,'Distribución OyA Detalle'!$A:$A,3)</f>
        <v>0</v>
      </c>
      <c r="F68" s="433">
        <f>SUMIFS('Distribución OyA Detalle'!$G:$G,'Distribución OyA Detalle'!$D:$D,A68,'Distribución OyA Detalle'!$A:$A,4)</f>
        <v>0</v>
      </c>
      <c r="G68" s="518">
        <f>SUM(C68:F68)</f>
        <v>3500000</v>
      </c>
    </row>
    <row r="69" spans="1:7" ht="15.9" customHeight="1" outlineLevel="1">
      <c r="A69" s="476" t="s">
        <v>286</v>
      </c>
      <c r="B69" s="432" t="s">
        <v>384</v>
      </c>
      <c r="C69" s="433">
        <f>SUMIFS('Distribución OyA Detalle'!$G:$G,'Distribución OyA Detalle'!$D:$D,A69,'Distribución OyA Detalle'!$A:$A,1)</f>
        <v>30260000</v>
      </c>
      <c r="D69" s="433">
        <f>SUMIFS('Distribución OyA Detalle'!$G:$G,'Distribución OyA Detalle'!$D:$D,A69,'Distribución OyA Detalle'!$A:$A,2)</f>
        <v>538000</v>
      </c>
      <c r="E69" s="433">
        <f>SUMIFS('Distribución OyA Detalle'!$G:$G,'Distribución OyA Detalle'!$D:$D,A69,'Distribución OyA Detalle'!$A:$A,3)</f>
        <v>55661000</v>
      </c>
      <c r="F69" s="433">
        <f>SUMIFS('Distribución OyA Detalle'!$G:$G,'Distribución OyA Detalle'!$D:$D,A69,'Distribución OyA Detalle'!$A:$A,4)</f>
        <v>3846000</v>
      </c>
      <c r="G69" s="518">
        <f>SUM(C69:F69)</f>
        <v>90305000</v>
      </c>
    </row>
    <row r="70" spans="1:7" ht="15.9" customHeight="1" outlineLevel="1">
      <c r="A70" s="476" t="s">
        <v>109</v>
      </c>
      <c r="B70" s="440" t="s">
        <v>110</v>
      </c>
      <c r="C70" s="433">
        <f>SUMIFS('Distribución OyA Detalle'!$G:$G,'Distribución OyA Detalle'!$D:$D,A70,'Distribución OyA Detalle'!$A:$A,1)</f>
        <v>781380</v>
      </c>
      <c r="D70" s="433">
        <f>SUMIFS('Distribución OyA Detalle'!$G:$G,'Distribución OyA Detalle'!$D:$D,A70,'Distribución OyA Detalle'!$A:$A,2)</f>
        <v>0</v>
      </c>
      <c r="E70" s="433">
        <f>SUMIFS('Distribución OyA Detalle'!$G:$G,'Distribución OyA Detalle'!$D:$D,A70,'Distribución OyA Detalle'!$A:$A,3)</f>
        <v>0</v>
      </c>
      <c r="F70" s="433">
        <f>SUMIFS('Distribución OyA Detalle'!$G:$G,'Distribución OyA Detalle'!$D:$D,A70,'Distribución OyA Detalle'!$A:$A,4)</f>
        <v>0</v>
      </c>
      <c r="G70" s="518">
        <f>SUM(C70:F70)</f>
        <v>781380</v>
      </c>
    </row>
    <row r="71" spans="1:7" ht="9.9" customHeight="1" outlineLevel="1">
      <c r="A71" s="476"/>
      <c r="B71" s="442"/>
      <c r="C71" s="478"/>
      <c r="D71" s="478"/>
      <c r="E71" s="478"/>
      <c r="F71" s="478"/>
      <c r="G71" s="519"/>
    </row>
    <row r="72" spans="1:7" ht="15.9" customHeight="1" outlineLevel="1">
      <c r="A72" s="1047" t="s">
        <v>111</v>
      </c>
      <c r="B72" s="449" t="s">
        <v>112</v>
      </c>
      <c r="C72" s="338">
        <f>SUM(C74:C79)</f>
        <v>102117908</v>
      </c>
      <c r="D72" s="338">
        <f>SUM(D74:D79)</f>
        <v>0</v>
      </c>
      <c r="E72" s="338">
        <f>SUM(E74:E79)</f>
        <v>9400000</v>
      </c>
      <c r="F72" s="338">
        <f>SUM(F74:F79)</f>
        <v>43800000</v>
      </c>
      <c r="G72" s="429">
        <f>SUM(C72:F72)</f>
        <v>155317908</v>
      </c>
    </row>
    <row r="73" spans="1:7" ht="9.9" customHeight="1" outlineLevel="1">
      <c r="A73" s="476"/>
      <c r="B73" s="423"/>
      <c r="C73" s="478"/>
      <c r="D73" s="478"/>
      <c r="E73" s="478"/>
      <c r="F73" s="478"/>
      <c r="G73" s="519"/>
    </row>
    <row r="74" spans="1:7" ht="15.9" customHeight="1" outlineLevel="1">
      <c r="A74" s="447" t="s">
        <v>113</v>
      </c>
      <c r="B74" s="432" t="s">
        <v>361</v>
      </c>
      <c r="C74" s="433">
        <f>SUMIFS('Distribución OyA Detalle'!$G:$G,'Distribución OyA Detalle'!$D:$D,A74,'Distribución OyA Detalle'!$A:$A,1)</f>
        <v>1337000</v>
      </c>
      <c r="D74" s="433">
        <f>SUMIFS('Distribución OyA Detalle'!$G:$G,'Distribución OyA Detalle'!$D:$D,A74,'Distribución OyA Detalle'!$A:$A,2)</f>
        <v>0</v>
      </c>
      <c r="E74" s="433">
        <f>SUMIFS('Distribución OyA Detalle'!$G:$G,'Distribución OyA Detalle'!$D:$D,A74,'Distribución OyA Detalle'!$A:$A,3)</f>
        <v>0</v>
      </c>
      <c r="F74" s="433">
        <f>SUMIFS('Distribución OyA Detalle'!$G:$G,'Distribución OyA Detalle'!$D:$D,A74,'Distribución OyA Detalle'!$A:$A,4)</f>
        <v>0</v>
      </c>
      <c r="G74" s="518">
        <f t="shared" ref="G74:G79" si="0">SUM(C74:F74)</f>
        <v>1337000</v>
      </c>
    </row>
    <row r="75" spans="1:7" ht="15.9" customHeight="1" outlineLevel="1">
      <c r="A75" s="447" t="s">
        <v>114</v>
      </c>
      <c r="B75" s="432" t="s">
        <v>362</v>
      </c>
      <c r="C75" s="433">
        <f>SUMIFS('Distribución OyA Detalle'!$G:$G,'Distribución OyA Detalle'!$D:$D,A75,'Distribución OyA Detalle'!$A:$A,1)</f>
        <v>0</v>
      </c>
      <c r="D75" s="433">
        <f>SUMIFS('Distribución OyA Detalle'!$G:$G,'Distribución OyA Detalle'!$D:$D,A75,'Distribución OyA Detalle'!$A:$A,2)</f>
        <v>0</v>
      </c>
      <c r="E75" s="433">
        <f>SUMIFS('Distribución OyA Detalle'!$G:$G,'Distribución OyA Detalle'!$D:$D,A75,'Distribución OyA Detalle'!$A:$A,3)</f>
        <v>0</v>
      </c>
      <c r="F75" s="433">
        <f>SUMIFS('Distribución OyA Detalle'!$G:$G,'Distribución OyA Detalle'!$D:$D,A75,'Distribución OyA Detalle'!$A:$A,4)</f>
        <v>40000000</v>
      </c>
      <c r="G75" s="518">
        <f t="shared" si="0"/>
        <v>40000000</v>
      </c>
    </row>
    <row r="76" spans="1:7" ht="15.9" customHeight="1" outlineLevel="1">
      <c r="A76" s="447" t="s">
        <v>115</v>
      </c>
      <c r="B76" s="432" t="s">
        <v>363</v>
      </c>
      <c r="C76" s="433">
        <f>SUMIFS('Distribución OyA Detalle'!$G:$G,'Distribución OyA Detalle'!$D:$D,A76,'Distribución OyA Detalle'!$A:$A,1)</f>
        <v>50000</v>
      </c>
      <c r="D76" s="433">
        <f>SUMIFS('Distribución OyA Detalle'!$G:$G,'Distribución OyA Detalle'!$D:$D,A76,'Distribución OyA Detalle'!$A:$A,2)</f>
        <v>0</v>
      </c>
      <c r="E76" s="433">
        <f>SUMIFS('Distribución OyA Detalle'!$G:$G,'Distribución OyA Detalle'!$D:$D,A76,'Distribución OyA Detalle'!$A:$A,3)</f>
        <v>9000000</v>
      </c>
      <c r="F76" s="433">
        <f>SUMIFS('Distribución OyA Detalle'!$G:$G,'Distribución OyA Detalle'!$D:$D,A76,'Distribución OyA Detalle'!$A:$A,4)</f>
        <v>3500000</v>
      </c>
      <c r="G76" s="518">
        <f t="shared" si="0"/>
        <v>12550000</v>
      </c>
    </row>
    <row r="77" spans="1:7" ht="15.9" customHeight="1" outlineLevel="1">
      <c r="A77" s="447" t="s">
        <v>116</v>
      </c>
      <c r="B77" s="432" t="s">
        <v>364</v>
      </c>
      <c r="C77" s="433">
        <f>SUMIFS('Distribución OyA Detalle'!$G:$G,'Distribución OyA Detalle'!$D:$D,A77,'Distribución OyA Detalle'!$A:$A,1)</f>
        <v>250000</v>
      </c>
      <c r="D77" s="433">
        <f>SUMIFS('Distribución OyA Detalle'!$G:$G,'Distribución OyA Detalle'!$D:$D,A77,'Distribución OyA Detalle'!$A:$A,2)</f>
        <v>0</v>
      </c>
      <c r="E77" s="433">
        <f>SUMIFS('Distribución OyA Detalle'!$G:$G,'Distribución OyA Detalle'!$D:$D,A77,'Distribución OyA Detalle'!$A:$A,3)</f>
        <v>400000</v>
      </c>
      <c r="F77" s="433">
        <f>SUMIFS('Distribución OyA Detalle'!$G:$G,'Distribución OyA Detalle'!$D:$D,A77,'Distribución OyA Detalle'!$A:$A,4)</f>
        <v>0</v>
      </c>
      <c r="G77" s="518">
        <f t="shared" si="0"/>
        <v>650000</v>
      </c>
    </row>
    <row r="78" spans="1:7" ht="15.9" customHeight="1" outlineLevel="1">
      <c r="A78" s="451" t="s">
        <v>118</v>
      </c>
      <c r="B78" s="440" t="s">
        <v>374</v>
      </c>
      <c r="C78" s="433">
        <f>SUMIFS('Distribución OyA Detalle'!$G:$G,'Distribución OyA Detalle'!$D:$D,A78,'Distribución OyA Detalle'!$A:$A,1)</f>
        <v>22300000</v>
      </c>
      <c r="D78" s="433">
        <f>SUMIFS('Distribución OyA Detalle'!$G:$G,'Distribución OyA Detalle'!$D:$D,A78,'Distribución OyA Detalle'!$A:$A,2)</f>
        <v>0</v>
      </c>
      <c r="E78" s="433">
        <f>SUMIFS('Distribución OyA Detalle'!$G:$G,'Distribución OyA Detalle'!$D:$D,A78,'Distribución OyA Detalle'!$A:$A,3)</f>
        <v>0</v>
      </c>
      <c r="F78" s="433">
        <f>SUMIFS('Distribución OyA Detalle'!$G:$G,'Distribución OyA Detalle'!$D:$D,A78,'Distribución OyA Detalle'!$A:$A,4)</f>
        <v>0</v>
      </c>
      <c r="G78" s="518">
        <f t="shared" si="0"/>
        <v>22300000</v>
      </c>
    </row>
    <row r="79" spans="1:7" ht="15.9" customHeight="1" outlineLevel="1">
      <c r="A79" s="447" t="s">
        <v>339</v>
      </c>
      <c r="B79" s="432" t="s">
        <v>340</v>
      </c>
      <c r="C79" s="433">
        <f>SUMIFS('Distribución OyA Detalle'!$G:$G,'Distribución OyA Detalle'!$D:$D,A79,'Distribución OyA Detalle'!$A:$A,1)</f>
        <v>78180908</v>
      </c>
      <c r="D79" s="433">
        <f>SUMIFS('Distribución OyA Detalle'!$G:$G,'Distribución OyA Detalle'!$D:$D,A79,'Distribución OyA Detalle'!$A:$A,2)</f>
        <v>0</v>
      </c>
      <c r="E79" s="433">
        <f>SUMIFS('Distribución OyA Detalle'!$G:$G,'Distribución OyA Detalle'!$D:$D,A79,'Distribución OyA Detalle'!$A:$A,3)</f>
        <v>0</v>
      </c>
      <c r="F79" s="433">
        <f>SUMIFS('Distribución OyA Detalle'!$G:$G,'Distribución OyA Detalle'!$D:$D,A79,'Distribución OyA Detalle'!$A:$A,4)</f>
        <v>300000</v>
      </c>
      <c r="G79" s="518">
        <f t="shared" si="0"/>
        <v>78480908</v>
      </c>
    </row>
    <row r="80" spans="1:7" ht="9.9" customHeight="1" outlineLevel="1">
      <c r="A80" s="448"/>
      <c r="B80" s="436"/>
      <c r="C80" s="478"/>
      <c r="D80" s="478"/>
      <c r="E80" s="478"/>
      <c r="F80" s="478"/>
      <c r="G80" s="519"/>
    </row>
    <row r="81" spans="1:7" ht="15.9" customHeight="1" outlineLevel="1">
      <c r="A81" s="1047" t="s">
        <v>119</v>
      </c>
      <c r="B81" s="449" t="s">
        <v>120</v>
      </c>
      <c r="C81" s="338">
        <f>SUM(C83:C89)</f>
        <v>421002000</v>
      </c>
      <c r="D81" s="338">
        <f>SUM(D83:D89)</f>
        <v>53332000</v>
      </c>
      <c r="E81" s="338">
        <f>SUM(E83:E89)</f>
        <v>270150000</v>
      </c>
      <c r="F81" s="338">
        <f>SUM(F83:F89)</f>
        <v>128496000</v>
      </c>
      <c r="G81" s="429">
        <f>SUM(C81:F81)</f>
        <v>872980000</v>
      </c>
    </row>
    <row r="82" spans="1:7" ht="9.9" customHeight="1" outlineLevel="1">
      <c r="A82" s="448"/>
      <c r="B82" s="423"/>
      <c r="C82" s="478"/>
      <c r="D82" s="478"/>
      <c r="E82" s="478"/>
      <c r="F82" s="478"/>
      <c r="G82" s="519"/>
    </row>
    <row r="83" spans="1:7" ht="15.9" hidden="1" customHeight="1" outlineLevel="1">
      <c r="A83" s="526" t="s">
        <v>479</v>
      </c>
      <c r="B83" s="432" t="s">
        <v>480</v>
      </c>
      <c r="C83" s="433">
        <f>SUMIFS('Distribución OyA Detalle'!$G:$G,'Distribución OyA Detalle'!$D:$D,A83,'Distribución OyA Detalle'!$A:$A,1)</f>
        <v>0</v>
      </c>
      <c r="D83" s="433">
        <f>SUMIFS('Distribución OyA Detalle'!$G:$G,'Distribución OyA Detalle'!$D:$D,A83,'Distribución OyA Detalle'!$A:$A,2)</f>
        <v>0</v>
      </c>
      <c r="E83" s="433">
        <f>SUMIFS('Distribución OyA Detalle'!$G:$G,'Distribución OyA Detalle'!$D:$D,A83,'Distribución OyA Detalle'!$A:$A,3)</f>
        <v>0</v>
      </c>
      <c r="F83" s="433">
        <f>SUMIFS('Distribución OyA Detalle'!$G:$G,'Distribución OyA Detalle'!$D:$D,A83,'Distribución OyA Detalle'!$A:$A,4)</f>
        <v>0</v>
      </c>
      <c r="G83" s="518">
        <f t="shared" ref="G83:G89" si="1">SUM(C83:F83)</f>
        <v>0</v>
      </c>
    </row>
    <row r="84" spans="1:7" ht="15.9" customHeight="1" outlineLevel="1">
      <c r="A84" s="526" t="s">
        <v>341</v>
      </c>
      <c r="B84" s="432" t="s">
        <v>342</v>
      </c>
      <c r="C84" s="433">
        <f>SUMIFS('Distribución OyA Detalle'!$G:$G,'Distribución OyA Detalle'!$D:$D,A84,'Distribución OyA Detalle'!$A:$A,1)</f>
        <v>5500000</v>
      </c>
      <c r="D84" s="433">
        <f>SUMIFS('Distribución OyA Detalle'!$G:$G,'Distribución OyA Detalle'!$D:$D,A84,'Distribución OyA Detalle'!$A:$A,2)</f>
        <v>0</v>
      </c>
      <c r="E84" s="433">
        <f>SUMIFS('Distribución OyA Detalle'!$G:$G,'Distribución OyA Detalle'!$D:$D,A84,'Distribución OyA Detalle'!$A:$A,3)</f>
        <v>0</v>
      </c>
      <c r="F84" s="433">
        <f>SUMIFS('Distribución OyA Detalle'!$G:$G,'Distribución OyA Detalle'!$D:$D,A84,'Distribución OyA Detalle'!$A:$A,4)</f>
        <v>0</v>
      </c>
      <c r="G84" s="518">
        <f t="shared" si="1"/>
        <v>5500000</v>
      </c>
    </row>
    <row r="85" spans="1:7" ht="15.9" hidden="1" customHeight="1" outlineLevel="1">
      <c r="A85" s="526" t="s">
        <v>293</v>
      </c>
      <c r="B85" s="432" t="s">
        <v>343</v>
      </c>
      <c r="C85" s="433">
        <f>SUMIFS('Distribución OyA Detalle'!$G:$G,'Distribución OyA Detalle'!$D:$D,A85,'Distribución OyA Detalle'!$A:$A,1)</f>
        <v>0</v>
      </c>
      <c r="D85" s="433">
        <f>SUMIFS('Distribución OyA Detalle'!$G:$G,'Distribución OyA Detalle'!$D:$D,A85,'Distribución OyA Detalle'!$A:$A,2)</f>
        <v>0</v>
      </c>
      <c r="E85" s="433">
        <f>SUMIFS('Distribución OyA Detalle'!$G:$G,'Distribución OyA Detalle'!$D:$D,A85,'Distribución OyA Detalle'!$A:$A,3)</f>
        <v>0</v>
      </c>
      <c r="F85" s="433">
        <f>SUMIFS('Distribución OyA Detalle'!$G:$G,'Distribución OyA Detalle'!$D:$D,A85,'Distribución OyA Detalle'!$A:$A,4)</f>
        <v>0</v>
      </c>
      <c r="G85" s="518">
        <f t="shared" si="1"/>
        <v>0</v>
      </c>
    </row>
    <row r="86" spans="1:7" ht="15.9" customHeight="1" outlineLevel="1">
      <c r="A86" s="448" t="s">
        <v>121</v>
      </c>
      <c r="B86" s="432" t="s">
        <v>122</v>
      </c>
      <c r="C86" s="433">
        <f>SUMIFS('Distribución OyA Detalle'!$G:$G,'Distribución OyA Detalle'!$D:$D,A86,'Distribución OyA Detalle'!$A:$A,1)</f>
        <v>45500000</v>
      </c>
      <c r="D86" s="433">
        <f>SUMIFS('Distribución OyA Detalle'!$G:$G,'Distribución OyA Detalle'!$D:$D,A86,'Distribución OyA Detalle'!$A:$A,2)</f>
        <v>0</v>
      </c>
      <c r="E86" s="433">
        <f>SUMIFS('Distribución OyA Detalle'!$G:$G,'Distribución OyA Detalle'!$D:$D,A86,'Distribución OyA Detalle'!$A:$A,3)</f>
        <v>0</v>
      </c>
      <c r="F86" s="433">
        <f>SUMIFS('Distribución OyA Detalle'!$G:$G,'Distribución OyA Detalle'!$D:$D,A86,'Distribución OyA Detalle'!$A:$A,4)</f>
        <v>0</v>
      </c>
      <c r="G86" s="518">
        <f t="shared" si="1"/>
        <v>45500000</v>
      </c>
    </row>
    <row r="87" spans="1:7" ht="15.9" customHeight="1" outlineLevel="1">
      <c r="A87" s="448" t="s">
        <v>123</v>
      </c>
      <c r="B87" s="432" t="s">
        <v>124</v>
      </c>
      <c r="C87" s="433">
        <f>SUMIFS('Distribución OyA Detalle'!$G:$G,'Distribución OyA Detalle'!$D:$D,A87,'Distribución OyA Detalle'!$A:$A,1)</f>
        <v>7000000</v>
      </c>
      <c r="D87" s="433">
        <f>SUMIFS('Distribución OyA Detalle'!$G:$G,'Distribución OyA Detalle'!$D:$D,A87,'Distribución OyA Detalle'!$A:$A,2)</f>
        <v>0</v>
      </c>
      <c r="E87" s="433">
        <f>SUMIFS('Distribución OyA Detalle'!$G:$G,'Distribución OyA Detalle'!$D:$D,A87,'Distribución OyA Detalle'!$A:$A,3)</f>
        <v>71000000</v>
      </c>
      <c r="F87" s="433">
        <f>SUMIFS('Distribución OyA Detalle'!$G:$G,'Distribución OyA Detalle'!$D:$D,A87,'Distribución OyA Detalle'!$A:$A,4)</f>
        <v>0</v>
      </c>
      <c r="G87" s="518">
        <f t="shared" si="1"/>
        <v>78000000</v>
      </c>
    </row>
    <row r="88" spans="1:7" ht="15.9" customHeight="1" outlineLevel="1">
      <c r="A88" s="448" t="s">
        <v>125</v>
      </c>
      <c r="B88" s="440" t="s">
        <v>126</v>
      </c>
      <c r="C88" s="433">
        <f>SUMIFS('Distribución OyA Detalle'!$G:$G,'Distribución OyA Detalle'!$D:$D,A88,'Distribución OyA Detalle'!$A:$A,1)</f>
        <v>35252000</v>
      </c>
      <c r="D88" s="433">
        <f>SUMIFS('Distribución OyA Detalle'!$G:$G,'Distribución OyA Detalle'!$D:$D,A88,'Distribución OyA Detalle'!$A:$A,2)</f>
        <v>2532000</v>
      </c>
      <c r="E88" s="433">
        <f>SUMIFS('Distribución OyA Detalle'!$G:$G,'Distribución OyA Detalle'!$D:$D,A88,'Distribución OyA Detalle'!$A:$A,3)</f>
        <v>48150000</v>
      </c>
      <c r="F88" s="433">
        <f>SUMIFS('Distribución OyA Detalle'!$G:$G,'Distribución OyA Detalle'!$D:$D,A88,'Distribución OyA Detalle'!$A:$A,4)</f>
        <v>11996000</v>
      </c>
      <c r="G88" s="518">
        <f t="shared" si="1"/>
        <v>97930000</v>
      </c>
    </row>
    <row r="89" spans="1:7" ht="15.9" customHeight="1" outlineLevel="1">
      <c r="A89" s="467" t="s">
        <v>127</v>
      </c>
      <c r="B89" s="440" t="s">
        <v>128</v>
      </c>
      <c r="C89" s="433">
        <f>SUMIFS('Distribución OyA Detalle'!$G:$G,'Distribución OyA Detalle'!$D:$D,A89,'Distribución OyA Detalle'!$A:$A,1)</f>
        <v>327750000</v>
      </c>
      <c r="D89" s="433">
        <f>SUMIFS('Distribución OyA Detalle'!$G:$G,'Distribución OyA Detalle'!$D:$D,A89,'Distribución OyA Detalle'!$A:$A,2)</f>
        <v>50800000</v>
      </c>
      <c r="E89" s="433">
        <f>SUMIFS('Distribución OyA Detalle'!$G:$G,'Distribución OyA Detalle'!$D:$D,A89,'Distribución OyA Detalle'!$A:$A,3)</f>
        <v>151000000</v>
      </c>
      <c r="F89" s="433">
        <f>SUMIFS('Distribución OyA Detalle'!$G:$G,'Distribución OyA Detalle'!$D:$D,A89,'Distribución OyA Detalle'!$A:$A,4)</f>
        <v>116500000</v>
      </c>
      <c r="G89" s="518">
        <f t="shared" si="1"/>
        <v>646050000</v>
      </c>
    </row>
    <row r="90" spans="1:7" ht="9.9" customHeight="1" outlineLevel="1">
      <c r="A90" s="448"/>
      <c r="B90" s="436"/>
      <c r="C90" s="478"/>
      <c r="D90" s="478"/>
      <c r="E90" s="478"/>
      <c r="F90" s="478"/>
      <c r="G90" s="519"/>
    </row>
    <row r="91" spans="1:7" ht="15.9" customHeight="1" outlineLevel="1">
      <c r="A91" s="1047" t="s">
        <v>129</v>
      </c>
      <c r="B91" s="449" t="s">
        <v>130</v>
      </c>
      <c r="C91" s="338">
        <f>SUM(C93:C96)</f>
        <v>26080000</v>
      </c>
      <c r="D91" s="338">
        <f>SUM(D93:D96)</f>
        <v>1000000</v>
      </c>
      <c r="E91" s="338">
        <f>SUM(E93:E96)</f>
        <v>772643816</v>
      </c>
      <c r="F91" s="338">
        <f>SUM(F93:F96)</f>
        <v>500000</v>
      </c>
      <c r="G91" s="429">
        <f>SUM(C91:F91)</f>
        <v>800223816</v>
      </c>
    </row>
    <row r="92" spans="1:7" ht="9.9" customHeight="1" outlineLevel="1">
      <c r="A92" s="448"/>
      <c r="B92" s="423"/>
      <c r="C92" s="478"/>
      <c r="D92" s="478"/>
      <c r="E92" s="478"/>
      <c r="F92" s="478"/>
      <c r="G92" s="519"/>
    </row>
    <row r="93" spans="1:7" ht="15.9" customHeight="1" outlineLevel="1">
      <c r="A93" s="476" t="s">
        <v>131</v>
      </c>
      <c r="B93" s="432" t="s">
        <v>132</v>
      </c>
      <c r="C93" s="433">
        <f>SUMIFS('Distribución OyA Detalle'!$G:$G,'Distribución OyA Detalle'!$D:$D,A93,'Distribución OyA Detalle'!$A:$A,1)</f>
        <v>880000</v>
      </c>
      <c r="D93" s="433">
        <f>SUMIFS('Distribución OyA Detalle'!$G:$G,'Distribución OyA Detalle'!$D:$D,A93,'Distribución OyA Detalle'!$A:$A,2)</f>
        <v>0</v>
      </c>
      <c r="E93" s="433">
        <f>SUMIFS('Distribución OyA Detalle'!$G:$G,'Distribución OyA Detalle'!$D:$D,A93,'Distribución OyA Detalle'!$A:$A,3)</f>
        <v>5655000</v>
      </c>
      <c r="F93" s="433">
        <f>SUMIFS('Distribución OyA Detalle'!$G:$G,'Distribución OyA Detalle'!$D:$D,A93,'Distribución OyA Detalle'!$A:$A,4)</f>
        <v>0</v>
      </c>
      <c r="G93" s="518">
        <f>SUM(C93:F93)</f>
        <v>6535000</v>
      </c>
    </row>
    <row r="94" spans="1:7" ht="15.9" customHeight="1" outlineLevel="1">
      <c r="A94" s="476" t="s">
        <v>133</v>
      </c>
      <c r="B94" s="432" t="s">
        <v>375</v>
      </c>
      <c r="C94" s="433">
        <f>SUMIFS('Distribución OyA Detalle'!$G:$G,'Distribución OyA Detalle'!$D:$D,A94,'Distribución OyA Detalle'!$A:$A,1)</f>
        <v>4700000</v>
      </c>
      <c r="D94" s="433">
        <f>SUMIFS('Distribución OyA Detalle'!$G:$G,'Distribución OyA Detalle'!$D:$D,A94,'Distribución OyA Detalle'!$A:$A,2)</f>
        <v>0</v>
      </c>
      <c r="E94" s="433">
        <f>SUMIFS('Distribución OyA Detalle'!$G:$G,'Distribución OyA Detalle'!$D:$D,A94,'Distribución OyA Detalle'!$A:$A,3)</f>
        <v>753888816</v>
      </c>
      <c r="F94" s="433">
        <f>SUMIFS('Distribución OyA Detalle'!$G:$G,'Distribución OyA Detalle'!$D:$D,A94,'Distribución OyA Detalle'!$A:$A,4)</f>
        <v>500000</v>
      </c>
      <c r="G94" s="518">
        <f>SUM(C94:F94)</f>
        <v>759088816</v>
      </c>
    </row>
    <row r="95" spans="1:7" ht="15.9" customHeight="1" outlineLevel="1">
      <c r="A95" s="476" t="s">
        <v>134</v>
      </c>
      <c r="B95" s="432" t="s">
        <v>135</v>
      </c>
      <c r="C95" s="433">
        <f>SUMIFS('Distribución OyA Detalle'!$G:$G,'Distribución OyA Detalle'!$D:$D,A95,'Distribución OyA Detalle'!$A:$A,1)</f>
        <v>10500000</v>
      </c>
      <c r="D95" s="433">
        <f>SUMIFS('Distribución OyA Detalle'!$G:$G,'Distribución OyA Detalle'!$D:$D,A95,'Distribución OyA Detalle'!$A:$A,2)</f>
        <v>500000</v>
      </c>
      <c r="E95" s="433">
        <f>SUMIFS('Distribución OyA Detalle'!$G:$G,'Distribución OyA Detalle'!$D:$D,A95,'Distribución OyA Detalle'!$A:$A,3)</f>
        <v>5000000</v>
      </c>
      <c r="F95" s="433">
        <f>SUMIFS('Distribución OyA Detalle'!$G:$G,'Distribución OyA Detalle'!$D:$D,A95,'Distribución OyA Detalle'!$A:$A,4)</f>
        <v>0</v>
      </c>
      <c r="G95" s="518">
        <f>SUM(C95:F95)</f>
        <v>16000000</v>
      </c>
    </row>
    <row r="96" spans="1:7" ht="15.9" customHeight="1" outlineLevel="1">
      <c r="A96" s="476" t="s">
        <v>136</v>
      </c>
      <c r="B96" s="432" t="s">
        <v>376</v>
      </c>
      <c r="C96" s="433">
        <f>SUMIFS('Distribución OyA Detalle'!$G:$G,'Distribución OyA Detalle'!$D:$D,A96,'Distribución OyA Detalle'!$A:$A,1)</f>
        <v>10000000</v>
      </c>
      <c r="D96" s="433">
        <f>SUMIFS('Distribución OyA Detalle'!$G:$G,'Distribución OyA Detalle'!$D:$D,A96,'Distribución OyA Detalle'!$A:$A,2)</f>
        <v>500000</v>
      </c>
      <c r="E96" s="433">
        <f>SUMIFS('Distribución OyA Detalle'!$G:$G,'Distribución OyA Detalle'!$D:$D,A96,'Distribución OyA Detalle'!$A:$A,3)</f>
        <v>8100000</v>
      </c>
      <c r="F96" s="433">
        <f>SUMIFS('Distribución OyA Detalle'!$G:$G,'Distribución OyA Detalle'!$D:$D,A96,'Distribución OyA Detalle'!$A:$A,4)</f>
        <v>0</v>
      </c>
      <c r="G96" s="518">
        <f>SUM(C96:F96)</f>
        <v>18600000</v>
      </c>
    </row>
    <row r="97" spans="1:7" ht="9.9" customHeight="1" outlineLevel="1">
      <c r="A97" s="476"/>
      <c r="B97" s="436"/>
      <c r="C97" s="478"/>
      <c r="D97" s="478"/>
      <c r="E97" s="478"/>
      <c r="F97" s="478"/>
      <c r="G97" s="519"/>
    </row>
    <row r="98" spans="1:7" ht="15.9" customHeight="1" outlineLevel="1">
      <c r="A98" s="1047" t="s">
        <v>137</v>
      </c>
      <c r="B98" s="449" t="s">
        <v>242</v>
      </c>
      <c r="C98" s="338">
        <f>SUM(C100)</f>
        <v>21766476.190000001</v>
      </c>
      <c r="D98" s="338">
        <f>SUM(D100)</f>
        <v>3438000</v>
      </c>
      <c r="E98" s="338">
        <f>SUM(E100)</f>
        <v>126007000</v>
      </c>
      <c r="F98" s="338">
        <f>SUM(F100)</f>
        <v>2910000</v>
      </c>
      <c r="G98" s="429">
        <f>SUM(C98:F98)</f>
        <v>154121476.19</v>
      </c>
    </row>
    <row r="99" spans="1:7" ht="9.9" customHeight="1" outlineLevel="1">
      <c r="A99" s="476"/>
      <c r="B99" s="423"/>
      <c r="C99" s="478"/>
      <c r="D99" s="478"/>
      <c r="E99" s="478"/>
      <c r="F99" s="478"/>
      <c r="G99" s="519"/>
    </row>
    <row r="100" spans="1:7" ht="15.9" customHeight="1" outlineLevel="1">
      <c r="A100" s="476" t="s">
        <v>138</v>
      </c>
      <c r="B100" s="440" t="s">
        <v>139</v>
      </c>
      <c r="C100" s="433">
        <f>SUMIFS('Distribución OyA Detalle'!$G:$G,'Distribución OyA Detalle'!$D:$D,A100,'Distribución OyA Detalle'!$A:$A,1)</f>
        <v>21766476.190000001</v>
      </c>
      <c r="D100" s="433">
        <f>SUMIFS('Distribución OyA Detalle'!$G:$G,'Distribución OyA Detalle'!$D:$D,A100,'Distribución OyA Detalle'!$A:$A,2)</f>
        <v>3438000</v>
      </c>
      <c r="E100" s="433">
        <f>SUMIFS('Distribución OyA Detalle'!$G:$G,'Distribución OyA Detalle'!$D:$D,A100,'Distribución OyA Detalle'!$A:$A,3)</f>
        <v>126007000</v>
      </c>
      <c r="F100" s="433">
        <f>SUMIFS('Distribución OyA Detalle'!$G:$G,'Distribución OyA Detalle'!$D:$D,A100,'Distribución OyA Detalle'!$A:$A,4)</f>
        <v>2910000</v>
      </c>
      <c r="G100" s="518">
        <f>SUM(C100:F100)</f>
        <v>154121476.19</v>
      </c>
    </row>
    <row r="101" spans="1:7" ht="9.9" customHeight="1" outlineLevel="1">
      <c r="A101" s="476"/>
      <c r="B101" s="442"/>
      <c r="C101" s="478"/>
      <c r="D101" s="478"/>
      <c r="E101" s="478"/>
      <c r="F101" s="478"/>
      <c r="G101" s="519"/>
    </row>
    <row r="102" spans="1:7" ht="15.9" customHeight="1" outlineLevel="1">
      <c r="A102" s="1047" t="s">
        <v>140</v>
      </c>
      <c r="B102" s="449" t="s">
        <v>141</v>
      </c>
      <c r="C102" s="338">
        <f>SUM(C104:C106)</f>
        <v>108150000</v>
      </c>
      <c r="D102" s="338">
        <f>SUM(D104:D106)</f>
        <v>600000</v>
      </c>
      <c r="E102" s="338">
        <f>SUM(E104:E106)</f>
        <v>104375000</v>
      </c>
      <c r="F102" s="338">
        <f>SUM(F104:F106)</f>
        <v>5600000</v>
      </c>
      <c r="G102" s="429">
        <f>SUM(C102:F102)</f>
        <v>218725000</v>
      </c>
    </row>
    <row r="103" spans="1:7" ht="9.9" customHeight="1" outlineLevel="1">
      <c r="A103" s="476"/>
      <c r="B103" s="423"/>
      <c r="C103" s="478"/>
      <c r="D103" s="478"/>
      <c r="E103" s="478"/>
      <c r="F103" s="478"/>
      <c r="G103" s="519"/>
    </row>
    <row r="104" spans="1:7" ht="15.9" customHeight="1" outlineLevel="1">
      <c r="A104" s="476" t="s">
        <v>142</v>
      </c>
      <c r="B104" s="432" t="s">
        <v>143</v>
      </c>
      <c r="C104" s="433">
        <f>SUMIFS('Distribución OyA Detalle'!$G:$G,'Distribución OyA Detalle'!$D:$D,A104,'Distribución OyA Detalle'!$A:$A,1)</f>
        <v>107000000</v>
      </c>
      <c r="D104" s="433">
        <f>SUMIFS('Distribución OyA Detalle'!$G:$G,'Distribución OyA Detalle'!$D:$D,A104,'Distribución OyA Detalle'!$A:$A,2)</f>
        <v>600000</v>
      </c>
      <c r="E104" s="433">
        <f>SUMIFS('Distribución OyA Detalle'!$G:$G,'Distribución OyA Detalle'!$D:$D,A104,'Distribución OyA Detalle'!$A:$A,3)</f>
        <v>104375000</v>
      </c>
      <c r="F104" s="433">
        <f>SUMIFS('Distribución OyA Detalle'!$G:$G,'Distribución OyA Detalle'!$D:$D,A104,'Distribución OyA Detalle'!$A:$A,4)</f>
        <v>5600000</v>
      </c>
      <c r="G104" s="518">
        <f>SUM(C104:F104)</f>
        <v>217575000</v>
      </c>
    </row>
    <row r="105" spans="1:7" ht="15.9" customHeight="1" outlineLevel="1">
      <c r="A105" s="476" t="s">
        <v>144</v>
      </c>
      <c r="B105" s="432" t="s">
        <v>145</v>
      </c>
      <c r="C105" s="433">
        <f>SUMIFS('Distribución OyA Detalle'!$G:$G,'Distribución OyA Detalle'!$D:$D,A105,'Distribución OyA Detalle'!$A:$A,1)</f>
        <v>1000000</v>
      </c>
      <c r="D105" s="433">
        <f>SUMIFS('Distribución OyA Detalle'!$G:$G,'Distribución OyA Detalle'!$D:$D,A105,'Distribución OyA Detalle'!$A:$A,2)</f>
        <v>0</v>
      </c>
      <c r="E105" s="433">
        <f>SUMIFS('Distribución OyA Detalle'!$G:$G,'Distribución OyA Detalle'!$D:$D,A105,'Distribución OyA Detalle'!$A:$A,3)</f>
        <v>0</v>
      </c>
      <c r="F105" s="433">
        <f>SUMIFS('Distribución OyA Detalle'!$G:$G,'Distribución OyA Detalle'!$D:$D,A105,'Distribución OyA Detalle'!$A:$A,4)</f>
        <v>0</v>
      </c>
      <c r="G105" s="518">
        <f>SUM(C105:F105)</f>
        <v>1000000</v>
      </c>
    </row>
    <row r="106" spans="1:7" ht="15.9" customHeight="1" outlineLevel="1">
      <c r="A106" s="476" t="s">
        <v>146</v>
      </c>
      <c r="B106" s="440" t="s">
        <v>147</v>
      </c>
      <c r="C106" s="433">
        <f>SUMIFS('Distribución OyA Detalle'!$G:$G,'Distribución OyA Detalle'!$D:$D,A106,'Distribución OyA Detalle'!$A:$A,1)</f>
        <v>150000</v>
      </c>
      <c r="D106" s="433">
        <f>SUMIFS('Distribución OyA Detalle'!$G:$G,'Distribución OyA Detalle'!$D:$D,A106,'Distribución OyA Detalle'!$A:$A,2)</f>
        <v>0</v>
      </c>
      <c r="E106" s="433">
        <f>SUMIFS('Distribución OyA Detalle'!$G:$G,'Distribución OyA Detalle'!$D:$D,A106,'Distribución OyA Detalle'!$A:$A,3)</f>
        <v>0</v>
      </c>
      <c r="F106" s="433">
        <f>SUMIFS('Distribución OyA Detalle'!$G:$G,'Distribución OyA Detalle'!$D:$D,A106,'Distribución OyA Detalle'!$A:$A,4)</f>
        <v>0</v>
      </c>
      <c r="G106" s="518">
        <f>SUM(C106:F106)</f>
        <v>150000</v>
      </c>
    </row>
    <row r="107" spans="1:7" ht="9.9" customHeight="1" outlineLevel="1">
      <c r="A107" s="476"/>
      <c r="B107" s="442"/>
      <c r="C107" s="478"/>
      <c r="D107" s="478"/>
      <c r="E107" s="478"/>
      <c r="F107" s="478"/>
      <c r="G107" s="519"/>
    </row>
    <row r="108" spans="1:7" ht="15.9" customHeight="1" outlineLevel="1">
      <c r="A108" s="1047" t="s">
        <v>148</v>
      </c>
      <c r="B108" s="449" t="s">
        <v>149</v>
      </c>
      <c r="C108" s="338">
        <f>SUM(C110:C117)</f>
        <v>50800000</v>
      </c>
      <c r="D108" s="338">
        <f>SUM(D110:D117)</f>
        <v>0</v>
      </c>
      <c r="E108" s="338">
        <f>SUM(E110:E117)</f>
        <v>117846000</v>
      </c>
      <c r="F108" s="338">
        <f>SUM(F110:F117)</f>
        <v>0</v>
      </c>
      <c r="G108" s="429">
        <f>SUM(C108:F108)</f>
        <v>168646000</v>
      </c>
    </row>
    <row r="109" spans="1:7" ht="9.9" customHeight="1" outlineLevel="1">
      <c r="A109" s="476"/>
      <c r="B109" s="423"/>
      <c r="C109" s="478"/>
      <c r="D109" s="478"/>
      <c r="E109" s="478"/>
      <c r="F109" s="478"/>
      <c r="G109" s="519"/>
    </row>
    <row r="110" spans="1:7" ht="15.9" customHeight="1" outlineLevel="1">
      <c r="A110" s="447" t="s">
        <v>150</v>
      </c>
      <c r="B110" s="432" t="s">
        <v>542</v>
      </c>
      <c r="C110" s="433">
        <f>SUMIFS('Distribución OyA Detalle'!$G:$G,'Distribución OyA Detalle'!$D:$D,A110,'Distribución OyA Detalle'!$A:$A,1)</f>
        <v>500000</v>
      </c>
      <c r="D110" s="433">
        <f>SUMIFS('Distribución OyA Detalle'!$G:$G,'Distribución OyA Detalle'!$D:$D,A110,'Distribución OyA Detalle'!$A:$A,2)</f>
        <v>0</v>
      </c>
      <c r="E110" s="433">
        <f>SUMIFS('Distribución OyA Detalle'!$G:$G,'Distribución OyA Detalle'!$D:$D,A110,'Distribución OyA Detalle'!$A:$A,3)</f>
        <v>0</v>
      </c>
      <c r="F110" s="433">
        <f>SUMIFS('Distribución OyA Detalle'!$G:$G,'Distribución OyA Detalle'!$D:$D,A110,'Distribución OyA Detalle'!$A:$A,4)</f>
        <v>0</v>
      </c>
      <c r="G110" s="518">
        <f t="shared" ref="G110:G117" si="2">SUM(C110:F110)</f>
        <v>500000</v>
      </c>
    </row>
    <row r="111" spans="1:7" ht="15.9" hidden="1" customHeight="1" outlineLevel="1">
      <c r="A111" s="447" t="s">
        <v>151</v>
      </c>
      <c r="B111" s="432" t="s">
        <v>152</v>
      </c>
      <c r="C111" s="433">
        <f>SUMIFS('Distribución OyA Detalle'!$G:$G,'Distribución OyA Detalle'!$D:$D,A111,'Distribución OyA Detalle'!$A:$A,1)</f>
        <v>0</v>
      </c>
      <c r="D111" s="433">
        <f>SUMIFS('Distribución OyA Detalle'!$G:$G,'Distribución OyA Detalle'!$D:$D,A111,'Distribución OyA Detalle'!$A:$A,2)</f>
        <v>0</v>
      </c>
      <c r="E111" s="433">
        <f>SUMIFS('Distribución OyA Detalle'!$G:$G,'Distribución OyA Detalle'!$D:$D,A111,'Distribución OyA Detalle'!$A:$A,3)</f>
        <v>0</v>
      </c>
      <c r="F111" s="433">
        <f>SUMIFS('Distribución OyA Detalle'!$G:$G,'Distribución OyA Detalle'!$D:$D,A111,'Distribución OyA Detalle'!$A:$A,4)</f>
        <v>0</v>
      </c>
      <c r="G111" s="518">
        <f t="shared" si="2"/>
        <v>0</v>
      </c>
    </row>
    <row r="112" spans="1:7" ht="15.9" hidden="1" customHeight="1" outlineLevel="1">
      <c r="A112" s="447" t="s">
        <v>344</v>
      </c>
      <c r="B112" s="432" t="s">
        <v>377</v>
      </c>
      <c r="C112" s="433">
        <f>SUMIFS('Distribución OyA Detalle'!$G:$G,'Distribución OyA Detalle'!$D:$D,A112,'Distribución OyA Detalle'!$A:$A,1)</f>
        <v>0</v>
      </c>
      <c r="D112" s="433">
        <f>SUMIFS('Distribución OyA Detalle'!$G:$G,'Distribución OyA Detalle'!$D:$D,A112,'Distribución OyA Detalle'!$A:$A,2)</f>
        <v>0</v>
      </c>
      <c r="E112" s="433">
        <f>SUMIFS('Distribución OyA Detalle'!$G:$G,'Distribución OyA Detalle'!$D:$D,A112,'Distribución OyA Detalle'!$A:$A,3)</f>
        <v>0</v>
      </c>
      <c r="F112" s="433">
        <f>SUMIFS('Distribución OyA Detalle'!$G:$G,'Distribución OyA Detalle'!$D:$D,A112,'Distribución OyA Detalle'!$A:$A,4)</f>
        <v>0</v>
      </c>
      <c r="G112" s="518">
        <f t="shared" si="2"/>
        <v>0</v>
      </c>
    </row>
    <row r="113" spans="1:7" ht="15.9" customHeight="1" outlineLevel="1">
      <c r="A113" s="447" t="s">
        <v>153</v>
      </c>
      <c r="B113" s="432" t="s">
        <v>748</v>
      </c>
      <c r="C113" s="433">
        <f>SUMIFS('Distribución OyA Detalle'!$G:$G,'Distribución OyA Detalle'!$D:$D,A113,'Distribución OyA Detalle'!$A:$A,1)</f>
        <v>5000000</v>
      </c>
      <c r="D113" s="433">
        <f>SUMIFS('Distribución OyA Detalle'!$G:$G,'Distribución OyA Detalle'!$D:$D,A113,'Distribución OyA Detalle'!$A:$A,2)</f>
        <v>0</v>
      </c>
      <c r="E113" s="433">
        <f>SUMIFS('Distribución OyA Detalle'!$G:$G,'Distribución OyA Detalle'!$D:$D,A113,'Distribución OyA Detalle'!$A:$A,3)</f>
        <v>116846000</v>
      </c>
      <c r="F113" s="433">
        <f>SUMIFS('Distribución OyA Detalle'!$G:$G,'Distribución OyA Detalle'!$D:$D,A113,'Distribución OyA Detalle'!$A:$A,4)</f>
        <v>0</v>
      </c>
      <c r="G113" s="518">
        <f t="shared" si="2"/>
        <v>121846000</v>
      </c>
    </row>
    <row r="114" spans="1:7" ht="15.9" customHeight="1" outlineLevel="1">
      <c r="A114" s="447" t="s">
        <v>154</v>
      </c>
      <c r="B114" s="432" t="s">
        <v>749</v>
      </c>
      <c r="C114" s="433">
        <f>SUMIFS('Distribución OyA Detalle'!$G:$G,'Distribución OyA Detalle'!$D:$D,A114,'Distribución OyA Detalle'!$A:$A,1)</f>
        <v>1900000</v>
      </c>
      <c r="D114" s="433">
        <f>SUMIFS('Distribución OyA Detalle'!$G:$G,'Distribución OyA Detalle'!$D:$D,A114,'Distribución OyA Detalle'!$A:$A,2)</f>
        <v>0</v>
      </c>
      <c r="E114" s="433">
        <f>SUMIFS('Distribución OyA Detalle'!$G:$G,'Distribución OyA Detalle'!$D:$D,A114,'Distribución OyA Detalle'!$A:$A,3)</f>
        <v>0</v>
      </c>
      <c r="F114" s="433">
        <f>SUMIFS('Distribución OyA Detalle'!$G:$G,'Distribución OyA Detalle'!$D:$D,A114,'Distribución OyA Detalle'!$A:$A,4)</f>
        <v>0</v>
      </c>
      <c r="G114" s="518">
        <f t="shared" si="2"/>
        <v>1900000</v>
      </c>
    </row>
    <row r="115" spans="1:7" ht="15.9" customHeight="1" outlineLevel="1">
      <c r="A115" s="447" t="s">
        <v>155</v>
      </c>
      <c r="B115" s="432" t="s">
        <v>750</v>
      </c>
      <c r="C115" s="433">
        <f>SUMIFS('Distribución OyA Detalle'!$G:$G,'Distribución OyA Detalle'!$D:$D,A115,'Distribución OyA Detalle'!$A:$A,1)</f>
        <v>4100000</v>
      </c>
      <c r="D115" s="433">
        <f>SUMIFS('Distribución OyA Detalle'!$G:$G,'Distribución OyA Detalle'!$D:$D,A115,'Distribución OyA Detalle'!$A:$A,2)</f>
        <v>0</v>
      </c>
      <c r="E115" s="433">
        <f>SUMIFS('Distribución OyA Detalle'!$G:$G,'Distribución OyA Detalle'!$D:$D,A115,'Distribución OyA Detalle'!$A:$A,3)</f>
        <v>0</v>
      </c>
      <c r="F115" s="433">
        <f>SUMIFS('Distribución OyA Detalle'!$G:$G,'Distribución OyA Detalle'!$D:$D,A115,'Distribución OyA Detalle'!$A:$A,4)</f>
        <v>0</v>
      </c>
      <c r="G115" s="518">
        <f t="shared" si="2"/>
        <v>4100000</v>
      </c>
    </row>
    <row r="116" spans="1:7" ht="15.9" customHeight="1" outlineLevel="1">
      <c r="A116" s="447" t="s">
        <v>156</v>
      </c>
      <c r="B116" s="432" t="s">
        <v>751</v>
      </c>
      <c r="C116" s="433">
        <f>SUMIFS('Distribución OyA Detalle'!$G:$G,'Distribución OyA Detalle'!$D:$D,A116,'Distribución OyA Detalle'!$A:$A,1)</f>
        <v>39000000</v>
      </c>
      <c r="D116" s="433">
        <f>SUMIFS('Distribución OyA Detalle'!$G:$G,'Distribución OyA Detalle'!$D:$D,A116,'Distribución OyA Detalle'!$A:$A,2)</f>
        <v>0</v>
      </c>
      <c r="E116" s="433">
        <f>SUMIFS('Distribución OyA Detalle'!$G:$G,'Distribución OyA Detalle'!$D:$D,A116,'Distribución OyA Detalle'!$A:$A,3)</f>
        <v>1000000</v>
      </c>
      <c r="F116" s="433">
        <f>SUMIFS('Distribución OyA Detalle'!$G:$G,'Distribución OyA Detalle'!$D:$D,A116,'Distribución OyA Detalle'!$A:$A,4)</f>
        <v>0</v>
      </c>
      <c r="G116" s="518">
        <f t="shared" si="2"/>
        <v>40000000</v>
      </c>
    </row>
    <row r="117" spans="1:7" ht="15.9" customHeight="1" outlineLevel="1">
      <c r="A117" s="447" t="s">
        <v>157</v>
      </c>
      <c r="B117" s="432" t="s">
        <v>787</v>
      </c>
      <c r="C117" s="433">
        <f>SUMIFS('Distribución OyA Detalle'!$G:$G,'Distribución OyA Detalle'!$D:$D,A117,'Distribución OyA Detalle'!$A:$A,1)</f>
        <v>300000</v>
      </c>
      <c r="D117" s="433">
        <f>SUMIFS('Distribución OyA Detalle'!$G:$G,'Distribución OyA Detalle'!$D:$D,A117,'Distribución OyA Detalle'!$A:$A,2)</f>
        <v>0</v>
      </c>
      <c r="E117" s="433">
        <f>SUMIFS('Distribución OyA Detalle'!$G:$G,'Distribución OyA Detalle'!$D:$D,A117,'Distribución OyA Detalle'!$A:$A,3)</f>
        <v>0</v>
      </c>
      <c r="F117" s="433">
        <f>SUMIFS('Distribución OyA Detalle'!$G:$G,'Distribución OyA Detalle'!$D:$D,A117,'Distribución OyA Detalle'!$A:$A,4)</f>
        <v>0</v>
      </c>
      <c r="G117" s="518">
        <f t="shared" si="2"/>
        <v>300000</v>
      </c>
    </row>
    <row r="118" spans="1:7" ht="9.9" customHeight="1" outlineLevel="1">
      <c r="A118" s="476"/>
      <c r="B118" s="436"/>
      <c r="C118" s="478"/>
      <c r="D118" s="478"/>
      <c r="E118" s="478"/>
      <c r="F118" s="478"/>
      <c r="G118" s="519"/>
    </row>
    <row r="119" spans="1:7" ht="15.9" customHeight="1" outlineLevel="1">
      <c r="A119" s="1047" t="s">
        <v>345</v>
      </c>
      <c r="B119" s="449" t="s">
        <v>346</v>
      </c>
      <c r="C119" s="338">
        <f>+C121</f>
        <v>1990000</v>
      </c>
      <c r="D119" s="338">
        <f>+D121</f>
        <v>0</v>
      </c>
      <c r="E119" s="338">
        <f>+E121</f>
        <v>350000</v>
      </c>
      <c r="F119" s="338">
        <f>+F121</f>
        <v>0</v>
      </c>
      <c r="G119" s="429">
        <f>SUM(C119:F119)</f>
        <v>2340000</v>
      </c>
    </row>
    <row r="120" spans="1:7" ht="9.9" customHeight="1" outlineLevel="1">
      <c r="A120" s="430"/>
      <c r="B120" s="423"/>
      <c r="C120" s="478"/>
      <c r="D120" s="478"/>
      <c r="E120" s="478"/>
      <c r="F120" s="478"/>
      <c r="G120" s="519"/>
    </row>
    <row r="121" spans="1:7" ht="15.9" customHeight="1" outlineLevel="1">
      <c r="A121" s="451" t="s">
        <v>347</v>
      </c>
      <c r="B121" s="440" t="s">
        <v>348</v>
      </c>
      <c r="C121" s="433">
        <f>SUMIFS('Distribución OyA Detalle'!$G:$G,'Distribución OyA Detalle'!$D:$D,A121,'Distribución OyA Detalle'!$A:$A,1)</f>
        <v>1990000</v>
      </c>
      <c r="D121" s="433">
        <f>SUMIFS('Distribución OyA Detalle'!$G:$G,'Distribución OyA Detalle'!$D:$D,A121,'Distribución OyA Detalle'!$A:$A,2)</f>
        <v>0</v>
      </c>
      <c r="E121" s="433">
        <f>SUMIFS('Distribución OyA Detalle'!$G:$G,'Distribución OyA Detalle'!$D:$D,A121,'Distribución OyA Detalle'!$A:$A,3)</f>
        <v>350000</v>
      </c>
      <c r="F121" s="433">
        <f>SUMIFS('Distribución OyA Detalle'!$G:$G,'Distribución OyA Detalle'!$D:$D,A121,'Distribución OyA Detalle'!$A:$A,4)</f>
        <v>0</v>
      </c>
      <c r="G121" s="518">
        <f>SUM(C121:F121)</f>
        <v>2340000</v>
      </c>
    </row>
    <row r="122" spans="1:7" ht="9.9" customHeight="1" outlineLevel="1">
      <c r="A122" s="476"/>
      <c r="B122" s="442"/>
      <c r="C122" s="527"/>
      <c r="D122" s="527"/>
      <c r="E122" s="527"/>
      <c r="F122" s="527"/>
      <c r="G122" s="528"/>
    </row>
    <row r="123" spans="1:7" ht="15.9" customHeight="1" outlineLevel="1">
      <c r="A123" s="1047" t="s">
        <v>158</v>
      </c>
      <c r="B123" s="449" t="s">
        <v>159</v>
      </c>
      <c r="C123" s="338">
        <f>SUM(C125:C127)</f>
        <v>4300000</v>
      </c>
      <c r="D123" s="338">
        <f>SUM(D125:D127)</f>
        <v>0</v>
      </c>
      <c r="E123" s="338">
        <f>SUM(E125:E127)</f>
        <v>90000</v>
      </c>
      <c r="F123" s="338">
        <f>SUM(F125:F127)</f>
        <v>0</v>
      </c>
      <c r="G123" s="429">
        <f>SUM(C123:F123)</f>
        <v>4390000</v>
      </c>
    </row>
    <row r="124" spans="1:7" s="65" customFormat="1" ht="9.9" customHeight="1" outlineLevel="1">
      <c r="A124" s="422"/>
      <c r="B124" s="423"/>
      <c r="C124" s="424"/>
      <c r="D124" s="424"/>
      <c r="E124" s="424"/>
      <c r="F124" s="424"/>
      <c r="G124" s="425"/>
    </row>
    <row r="125" spans="1:7" ht="15.9" customHeight="1" outlineLevel="1">
      <c r="A125" s="451" t="s">
        <v>349</v>
      </c>
      <c r="B125" s="440" t="s">
        <v>350</v>
      </c>
      <c r="C125" s="433">
        <f>SUMIFS('Distribución OyA Detalle'!$G:$G,'Distribución OyA Detalle'!$D:$D,A125,'Distribución OyA Detalle'!$A:$A,1)</f>
        <v>500000</v>
      </c>
      <c r="D125" s="433">
        <f>SUMIFS('Distribución OyA Detalle'!$G:$G,'Distribución OyA Detalle'!$D:$D,A125,'Distribución OyA Detalle'!$A:$A,2)</f>
        <v>0</v>
      </c>
      <c r="E125" s="433">
        <f>SUMIFS('Distribución OyA Detalle'!$G:$G,'Distribución OyA Detalle'!$D:$D,A125,'Distribución OyA Detalle'!$A:$A,3)</f>
        <v>0</v>
      </c>
      <c r="F125" s="433">
        <f>SUMIFS('Distribución OyA Detalle'!$G:$G,'Distribución OyA Detalle'!$D:$D,A125,'Distribución OyA Detalle'!$A:$A,4)</f>
        <v>0</v>
      </c>
      <c r="G125" s="518">
        <f>SUM(C125:F125)</f>
        <v>500000</v>
      </c>
    </row>
    <row r="126" spans="1:7" ht="15.9" customHeight="1" outlineLevel="1">
      <c r="A126" s="447" t="s">
        <v>160</v>
      </c>
      <c r="B126" s="432" t="s">
        <v>161</v>
      </c>
      <c r="C126" s="433">
        <f>SUMIFS('Distribución OyA Detalle'!$G:$G,'Distribución OyA Detalle'!$D:$D,A126,'Distribución OyA Detalle'!$A:$A,1)</f>
        <v>3600000</v>
      </c>
      <c r="D126" s="433">
        <f>SUMIFS('Distribución OyA Detalle'!$G:$G,'Distribución OyA Detalle'!$D:$D,A126,'Distribución OyA Detalle'!$A:$A,2)</f>
        <v>0</v>
      </c>
      <c r="E126" s="433">
        <f>SUMIFS('Distribución OyA Detalle'!$G:$G,'Distribución OyA Detalle'!$D:$D,A126,'Distribución OyA Detalle'!$A:$A,3)</f>
        <v>0</v>
      </c>
      <c r="F126" s="433">
        <f>SUMIFS('Distribución OyA Detalle'!$G:$G,'Distribución OyA Detalle'!$D:$D,A126,'Distribución OyA Detalle'!$A:$A,4)</f>
        <v>0</v>
      </c>
      <c r="G126" s="518">
        <f>SUM(C126:F126)</f>
        <v>3600000</v>
      </c>
    </row>
    <row r="127" spans="1:7" ht="15.9" customHeight="1" outlineLevel="1">
      <c r="A127" s="447" t="s">
        <v>162</v>
      </c>
      <c r="B127" s="432" t="s">
        <v>163</v>
      </c>
      <c r="C127" s="433">
        <f>SUMIFS('Distribución OyA Detalle'!$G:$G,'Distribución OyA Detalle'!$D:$D,A127,'Distribución OyA Detalle'!$A:$A,1)</f>
        <v>200000</v>
      </c>
      <c r="D127" s="433">
        <f>SUMIFS('Distribución OyA Detalle'!$G:$G,'Distribución OyA Detalle'!$D:$D,A127,'Distribución OyA Detalle'!$A:$A,2)</f>
        <v>0</v>
      </c>
      <c r="E127" s="433">
        <f>SUMIFS('Distribución OyA Detalle'!$G:$G,'Distribución OyA Detalle'!$D:$D,A127,'Distribución OyA Detalle'!$A:$A,3)</f>
        <v>90000</v>
      </c>
      <c r="F127" s="433">
        <f>SUMIFS('Distribución OyA Detalle'!$G:$G,'Distribución OyA Detalle'!$D:$D,A127,'Distribución OyA Detalle'!$A:$A,4)</f>
        <v>0</v>
      </c>
      <c r="G127" s="518">
        <f>SUM(C127:F127)</f>
        <v>290000</v>
      </c>
    </row>
    <row r="128" spans="1:7" ht="9.9" customHeight="1" thickBot="1">
      <c r="A128" s="522"/>
      <c r="B128" s="470"/>
      <c r="C128" s="523"/>
      <c r="D128" s="523"/>
      <c r="E128" s="523"/>
      <c r="F128" s="523"/>
      <c r="G128" s="529"/>
    </row>
    <row r="129" spans="1:7" ht="15.9" customHeight="1" thickBot="1">
      <c r="A129" s="456">
        <v>2</v>
      </c>
      <c r="B129" s="415" t="s">
        <v>21</v>
      </c>
      <c r="C129" s="458">
        <f>+C131+C138+C142+C151+C156</f>
        <v>79774781</v>
      </c>
      <c r="D129" s="458">
        <f>+D131+D138+D142+D151+D156</f>
        <v>0</v>
      </c>
      <c r="E129" s="458">
        <f>+E131+E138+E142+E151+E156</f>
        <v>206784643</v>
      </c>
      <c r="F129" s="458">
        <f>+F131+F138+F142+F151+F156</f>
        <v>1000000</v>
      </c>
      <c r="G129" s="459">
        <f>+G131+G138+G142+G151+G156</f>
        <v>287559424</v>
      </c>
    </row>
    <row r="130" spans="1:7" ht="9.9" customHeight="1" outlineLevel="1">
      <c r="A130" s="510"/>
      <c r="B130" s="461"/>
      <c r="C130" s="336"/>
      <c r="D130" s="336"/>
      <c r="E130" s="336"/>
      <c r="F130" s="336"/>
      <c r="G130" s="525"/>
    </row>
    <row r="131" spans="1:7" ht="15.9" customHeight="1" outlineLevel="1">
      <c r="A131" s="1047" t="s">
        <v>164</v>
      </c>
      <c r="B131" s="449" t="s">
        <v>165</v>
      </c>
      <c r="C131" s="338">
        <f>SUM(C133:C136)</f>
        <v>58794926</v>
      </c>
      <c r="D131" s="338">
        <f>SUM(D133:D136)</f>
        <v>0</v>
      </c>
      <c r="E131" s="338">
        <f>SUM(E133:E136)</f>
        <v>150796518</v>
      </c>
      <c r="F131" s="338">
        <f>SUM(F133:F136)</f>
        <v>0</v>
      </c>
      <c r="G131" s="429">
        <f>SUM(C131:F131)</f>
        <v>209591444</v>
      </c>
    </row>
    <row r="132" spans="1:7" ht="9.9" customHeight="1" outlineLevel="1">
      <c r="A132" s="510"/>
      <c r="B132" s="423"/>
      <c r="C132" s="336"/>
      <c r="D132" s="336"/>
      <c r="E132" s="336"/>
      <c r="F132" s="336"/>
      <c r="G132" s="525"/>
    </row>
    <row r="133" spans="1:7" ht="15.9" customHeight="1" outlineLevel="1">
      <c r="A133" s="476" t="s">
        <v>166</v>
      </c>
      <c r="B133" s="432" t="s">
        <v>167</v>
      </c>
      <c r="C133" s="433">
        <f>SUMIFS('Distribución OyA Detalle'!$G:$G,'Distribución OyA Detalle'!$D:$D,A133,'Distribución OyA Detalle'!$A:$A,1)</f>
        <v>53005686</v>
      </c>
      <c r="D133" s="433">
        <f>SUMIFS('Distribución OyA Detalle'!$G:$G,'Distribución OyA Detalle'!$D:$D,A133,'Distribución OyA Detalle'!$A:$A,2)</f>
        <v>0</v>
      </c>
      <c r="E133" s="433">
        <f>SUMIFS('Distribución OyA Detalle'!$G:$G,'Distribución OyA Detalle'!$D:$D,A133,'Distribución OyA Detalle'!$A:$A,3)</f>
        <v>140951728</v>
      </c>
      <c r="F133" s="433">
        <f>SUMIFS('Distribución OyA Detalle'!$G:$G,'Distribución OyA Detalle'!$D:$D,A133,'Distribución OyA Detalle'!$A:$A,4)</f>
        <v>0</v>
      </c>
      <c r="G133" s="518">
        <f>SUM(C133:F133)</f>
        <v>193957414</v>
      </c>
    </row>
    <row r="134" spans="1:7" ht="15.9" customHeight="1" outlineLevel="1">
      <c r="A134" s="476" t="s">
        <v>168</v>
      </c>
      <c r="B134" s="432" t="s">
        <v>169</v>
      </c>
      <c r="C134" s="433">
        <f>SUMIFS('Distribución OyA Detalle'!$G:$G,'Distribución OyA Detalle'!$D:$D,A134,'Distribución OyA Detalle'!$A:$A,1)</f>
        <v>551140</v>
      </c>
      <c r="D134" s="433">
        <f>SUMIFS('Distribución OyA Detalle'!$G:$G,'Distribución OyA Detalle'!$D:$D,A134,'Distribución OyA Detalle'!$A:$A,2)</f>
        <v>0</v>
      </c>
      <c r="E134" s="433">
        <f>SUMIFS('Distribución OyA Detalle'!$G:$G,'Distribución OyA Detalle'!$D:$D,A134,'Distribución OyA Detalle'!$A:$A,3)</f>
        <v>9782790</v>
      </c>
      <c r="F134" s="433">
        <f>SUMIFS('Distribución OyA Detalle'!$G:$G,'Distribución OyA Detalle'!$D:$D,A134,'Distribución OyA Detalle'!$A:$A,4)</f>
        <v>0</v>
      </c>
      <c r="G134" s="518">
        <f>SUM(C134:F134)</f>
        <v>10333930</v>
      </c>
    </row>
    <row r="135" spans="1:7" ht="15.9" customHeight="1" outlineLevel="1">
      <c r="A135" s="476" t="s">
        <v>170</v>
      </c>
      <c r="B135" s="432" t="s">
        <v>171</v>
      </c>
      <c r="C135" s="433">
        <f>SUMIFS('Distribución OyA Detalle'!$G:$G,'Distribución OyA Detalle'!$D:$D,A135,'Distribución OyA Detalle'!$A:$A,1)</f>
        <v>5238100</v>
      </c>
      <c r="D135" s="433">
        <f>SUMIFS('Distribución OyA Detalle'!$G:$G,'Distribución OyA Detalle'!$D:$D,A135,'Distribución OyA Detalle'!$A:$A,2)</f>
        <v>0</v>
      </c>
      <c r="E135" s="433">
        <f>SUMIFS('Distribución OyA Detalle'!$G:$G,'Distribución OyA Detalle'!$D:$D,A135,'Distribución OyA Detalle'!$A:$A,3)</f>
        <v>62000</v>
      </c>
      <c r="F135" s="433">
        <f>SUMIFS('Distribución OyA Detalle'!$G:$G,'Distribución OyA Detalle'!$D:$D,A135,'Distribución OyA Detalle'!$A:$A,4)</f>
        <v>0</v>
      </c>
      <c r="G135" s="518">
        <f>SUM(C135:F135)</f>
        <v>5300100</v>
      </c>
    </row>
    <row r="136" spans="1:7" ht="15.9" hidden="1" customHeight="1" outlineLevel="1">
      <c r="A136" s="476" t="s">
        <v>172</v>
      </c>
      <c r="B136" s="432" t="s">
        <v>378</v>
      </c>
      <c r="C136" s="433">
        <f>SUMIFS('Distribución OyA Detalle'!$G:$G,'Distribución OyA Detalle'!$D:$D,A136,'Distribución OyA Detalle'!$A:$A,1)</f>
        <v>0</v>
      </c>
      <c r="D136" s="433">
        <f>SUMIFS('Distribución OyA Detalle'!$G:$G,'Distribución OyA Detalle'!$D:$D,A136,'Distribución OyA Detalle'!$A:$A,2)</f>
        <v>0</v>
      </c>
      <c r="E136" s="433">
        <f>SUMIFS('Distribución OyA Detalle'!$G:$G,'Distribución OyA Detalle'!$D:$D,A136,'Distribución OyA Detalle'!$A:$A,3)</f>
        <v>0</v>
      </c>
      <c r="F136" s="433">
        <f>SUMIFS('Distribución OyA Detalle'!$G:$G,'Distribución OyA Detalle'!$D:$D,A136,'Distribución OyA Detalle'!$A:$A,4)</f>
        <v>0</v>
      </c>
      <c r="G136" s="518">
        <f>SUM(C136:F136)</f>
        <v>0</v>
      </c>
    </row>
    <row r="137" spans="1:7" ht="7.95" customHeight="1" outlineLevel="1">
      <c r="A137" s="476"/>
      <c r="B137" s="436"/>
      <c r="C137" s="478"/>
      <c r="D137" s="478"/>
      <c r="E137" s="478"/>
      <c r="F137" s="478"/>
      <c r="G137" s="519"/>
    </row>
    <row r="138" spans="1:7" ht="15.9" hidden="1" customHeight="1" outlineLevel="1">
      <c r="A138" s="513" t="s">
        <v>298</v>
      </c>
      <c r="B138" s="449" t="s">
        <v>299</v>
      </c>
      <c r="C138" s="338">
        <f>SUM(C140)</f>
        <v>0</v>
      </c>
      <c r="D138" s="338">
        <f>SUM(D140)</f>
        <v>0</v>
      </c>
      <c r="E138" s="338">
        <f>SUM(E140)</f>
        <v>0</v>
      </c>
      <c r="F138" s="338">
        <f>SUM(F140)</f>
        <v>0</v>
      </c>
      <c r="G138" s="429">
        <f>SUM(C138:F138)</f>
        <v>0</v>
      </c>
    </row>
    <row r="139" spans="1:7" ht="7.95" hidden="1" customHeight="1" outlineLevel="1">
      <c r="A139" s="510"/>
      <c r="B139" s="423"/>
      <c r="C139" s="336"/>
      <c r="D139" s="336"/>
      <c r="E139" s="336"/>
      <c r="F139" s="336"/>
      <c r="G139" s="525"/>
    </row>
    <row r="140" spans="1:7" ht="15.9" hidden="1" customHeight="1" outlineLevel="1">
      <c r="A140" s="476" t="s">
        <v>300</v>
      </c>
      <c r="B140" s="440" t="s">
        <v>301</v>
      </c>
      <c r="C140" s="433">
        <f>SUMIFS('Distribución OyA Detalle'!$G:$G,'Distribución OyA Detalle'!$D:$D,A140,'Distribución OyA Detalle'!$A:$A,1)</f>
        <v>0</v>
      </c>
      <c r="D140" s="433">
        <f>SUMIFS('Distribución OyA Detalle'!$G:$G,'Distribución OyA Detalle'!$D:$D,A140,'Distribución OyA Detalle'!$A:$A,2)</f>
        <v>0</v>
      </c>
      <c r="E140" s="433">
        <f>SUMIFS('Distribución OyA Detalle'!$G:$G,'Distribución OyA Detalle'!$D:$D,A140,'Distribución OyA Detalle'!$A:$A,3)</f>
        <v>0</v>
      </c>
      <c r="F140" s="433">
        <f>SUMIFS('Distribución OyA Detalle'!$G:$G,'Distribución OyA Detalle'!$D:$D,A140,'Distribución OyA Detalle'!$A:$A,4)</f>
        <v>0</v>
      </c>
      <c r="G140" s="518">
        <f>SUM(C140:F140)</f>
        <v>0</v>
      </c>
    </row>
    <row r="141" spans="1:7" ht="9.9" hidden="1" customHeight="1" outlineLevel="1">
      <c r="A141" s="476"/>
      <c r="B141" s="442"/>
      <c r="C141" s="478"/>
      <c r="D141" s="478"/>
      <c r="E141" s="478"/>
      <c r="F141" s="478"/>
      <c r="G141" s="519"/>
    </row>
    <row r="142" spans="1:7" ht="15.9" customHeight="1" outlineLevel="1">
      <c r="A142" s="1047" t="s">
        <v>173</v>
      </c>
      <c r="B142" s="449" t="s">
        <v>243</v>
      </c>
      <c r="C142" s="338">
        <f>SUM(C144:C149)</f>
        <v>571000</v>
      </c>
      <c r="D142" s="338">
        <f>SUM(D144:D149)</f>
        <v>0</v>
      </c>
      <c r="E142" s="338">
        <f>SUM(E144:E149)</f>
        <v>3259320</v>
      </c>
      <c r="F142" s="338">
        <f>SUM(F144:F149)</f>
        <v>0</v>
      </c>
      <c r="G142" s="429">
        <f>SUM(C142:F142)</f>
        <v>3830320</v>
      </c>
    </row>
    <row r="143" spans="1:7" ht="9.9" customHeight="1" outlineLevel="1">
      <c r="A143" s="476"/>
      <c r="B143" s="423"/>
      <c r="C143" s="478"/>
      <c r="D143" s="478"/>
      <c r="E143" s="478"/>
      <c r="F143" s="478"/>
      <c r="G143" s="519"/>
    </row>
    <row r="144" spans="1:7" ht="15.9" hidden="1" customHeight="1" outlineLevel="1">
      <c r="A144" s="451" t="s">
        <v>174</v>
      </c>
      <c r="B144" s="432" t="s">
        <v>175</v>
      </c>
      <c r="C144" s="433">
        <f>SUMIFS('Distribución OyA Detalle'!$G:$G,'Distribución OyA Detalle'!$D:$D,A144,'Distribución OyA Detalle'!$A:$A,1)</f>
        <v>0</v>
      </c>
      <c r="D144" s="433">
        <f>SUMIFS('Distribución OyA Detalle'!$G:$G,'Distribución OyA Detalle'!$D:$D,A144,'Distribución OyA Detalle'!$A:$A,2)</f>
        <v>0</v>
      </c>
      <c r="E144" s="433">
        <f>SUMIFS('Distribución OyA Detalle'!$G:$G,'Distribución OyA Detalle'!$D:$D,A144,'Distribución OyA Detalle'!$A:$A,3)</f>
        <v>0</v>
      </c>
      <c r="F144" s="433">
        <f>SUMIFS('Distribución OyA Detalle'!$G:$G,'Distribución OyA Detalle'!$D:$D,A144,'Distribución OyA Detalle'!$A:$A,4)</f>
        <v>0</v>
      </c>
      <c r="G144" s="518">
        <f t="shared" ref="G144:G149" si="3">SUM(C144:F144)</f>
        <v>0</v>
      </c>
    </row>
    <row r="145" spans="1:7" ht="15.9" hidden="1" customHeight="1" outlineLevel="1">
      <c r="A145" s="447" t="s">
        <v>176</v>
      </c>
      <c r="B145" s="432" t="s">
        <v>379</v>
      </c>
      <c r="C145" s="433">
        <f>SUMIFS('Distribución OyA Detalle'!$G:$G,'Distribución OyA Detalle'!$D:$D,A145,'Distribución OyA Detalle'!$A:$A,1)</f>
        <v>0</v>
      </c>
      <c r="D145" s="433">
        <f>SUMIFS('Distribución OyA Detalle'!$G:$G,'Distribución OyA Detalle'!$D:$D,A145,'Distribución OyA Detalle'!$A:$A,2)</f>
        <v>0</v>
      </c>
      <c r="E145" s="433">
        <f>SUMIFS('Distribución OyA Detalle'!$G:$G,'Distribución OyA Detalle'!$D:$D,A145,'Distribución OyA Detalle'!$A:$A,3)</f>
        <v>0</v>
      </c>
      <c r="F145" s="433">
        <f>SUMIFS('Distribución OyA Detalle'!$G:$G,'Distribución OyA Detalle'!$D:$D,A145,'Distribución OyA Detalle'!$A:$A,4)</f>
        <v>0</v>
      </c>
      <c r="G145" s="518">
        <f t="shared" si="3"/>
        <v>0</v>
      </c>
    </row>
    <row r="146" spans="1:7" ht="15.9" customHeight="1" outlineLevel="1">
      <c r="A146" s="447" t="s">
        <v>178</v>
      </c>
      <c r="B146" s="432" t="s">
        <v>179</v>
      </c>
      <c r="C146" s="433">
        <f>SUMIFS('Distribución OyA Detalle'!$G:$G,'Distribución OyA Detalle'!$D:$D,A146,'Distribución OyA Detalle'!$A:$A,1)</f>
        <v>571000</v>
      </c>
      <c r="D146" s="433">
        <f>SUMIFS('Distribución OyA Detalle'!$G:$G,'Distribución OyA Detalle'!$D:$D,A146,'Distribución OyA Detalle'!$A:$A,2)</f>
        <v>0</v>
      </c>
      <c r="E146" s="433">
        <f>SUMIFS('Distribución OyA Detalle'!$G:$G,'Distribución OyA Detalle'!$D:$D,A146,'Distribución OyA Detalle'!$A:$A,3)</f>
        <v>3259320</v>
      </c>
      <c r="F146" s="433">
        <f>SUMIFS('Distribución OyA Detalle'!$G:$G,'Distribución OyA Detalle'!$D:$D,A146,'Distribución OyA Detalle'!$A:$A,4)</f>
        <v>0</v>
      </c>
      <c r="G146" s="518">
        <f t="shared" si="3"/>
        <v>3830320</v>
      </c>
    </row>
    <row r="147" spans="1:7" ht="15.9" hidden="1" customHeight="1" outlineLevel="1">
      <c r="A147" s="451" t="s">
        <v>180</v>
      </c>
      <c r="B147" s="432" t="s">
        <v>181</v>
      </c>
      <c r="C147" s="433">
        <f>SUMIFS('Distribución OyA Detalle'!$G:$G,'Distribución OyA Detalle'!$D:$D,A147,'Distribución OyA Detalle'!$A:$A,1)</f>
        <v>0</v>
      </c>
      <c r="D147" s="433">
        <f>SUMIFS('Distribución OyA Detalle'!$G:$G,'Distribución OyA Detalle'!$D:$D,A147,'Distribución OyA Detalle'!$A:$A,2)</f>
        <v>0</v>
      </c>
      <c r="E147" s="433">
        <f>SUMIFS('Distribución OyA Detalle'!$G:$G,'Distribución OyA Detalle'!$D:$D,A147,'Distribución OyA Detalle'!$A:$A,3)</f>
        <v>0</v>
      </c>
      <c r="F147" s="433">
        <f>SUMIFS('Distribución OyA Detalle'!$G:$G,'Distribución OyA Detalle'!$D:$D,A147,'Distribución OyA Detalle'!$A:$A,4)</f>
        <v>0</v>
      </c>
      <c r="G147" s="518">
        <f t="shared" si="3"/>
        <v>0</v>
      </c>
    </row>
    <row r="148" spans="1:7" ht="15.9" hidden="1" customHeight="1" outlineLevel="1">
      <c r="A148" s="447" t="s">
        <v>182</v>
      </c>
      <c r="B148" s="432" t="s">
        <v>183</v>
      </c>
      <c r="C148" s="433">
        <f>SUMIFS('Distribución OyA Detalle'!$G:$G,'Distribución OyA Detalle'!$D:$D,A148,'Distribución OyA Detalle'!$A:$A,1)</f>
        <v>0</v>
      </c>
      <c r="D148" s="433">
        <f>SUMIFS('Distribución OyA Detalle'!$G:$G,'Distribución OyA Detalle'!$D:$D,A148,'Distribución OyA Detalle'!$A:$A,2)</f>
        <v>0</v>
      </c>
      <c r="E148" s="433">
        <f>SUMIFS('Distribución OyA Detalle'!$G:$G,'Distribución OyA Detalle'!$D:$D,A148,'Distribución OyA Detalle'!$A:$A,3)</f>
        <v>0</v>
      </c>
      <c r="F148" s="433">
        <f>SUMIFS('Distribución OyA Detalle'!$G:$G,'Distribución OyA Detalle'!$D:$D,A148,'Distribución OyA Detalle'!$A:$A,4)</f>
        <v>0</v>
      </c>
      <c r="G148" s="518">
        <f t="shared" si="3"/>
        <v>0</v>
      </c>
    </row>
    <row r="149" spans="1:7" ht="15.9" hidden="1" customHeight="1" outlineLevel="1">
      <c r="A149" s="447" t="s">
        <v>184</v>
      </c>
      <c r="B149" s="432" t="s">
        <v>380</v>
      </c>
      <c r="C149" s="433">
        <f>SUMIFS('Distribución OyA Detalle'!$G:$G,'Distribución OyA Detalle'!$D:$D,A149,'Distribución OyA Detalle'!$A:$A,1)</f>
        <v>0</v>
      </c>
      <c r="D149" s="433">
        <f>SUMIFS('Distribución OyA Detalle'!$G:$G,'Distribución OyA Detalle'!$D:$D,A149,'Distribución OyA Detalle'!$A:$A,2)</f>
        <v>0</v>
      </c>
      <c r="E149" s="433">
        <f>SUMIFS('Distribución OyA Detalle'!$G:$G,'Distribución OyA Detalle'!$D:$D,A149,'Distribución OyA Detalle'!$A:$A,3)</f>
        <v>0</v>
      </c>
      <c r="F149" s="433">
        <f>SUMIFS('Distribución OyA Detalle'!$G:$G,'Distribución OyA Detalle'!$D:$D,A149,'Distribución OyA Detalle'!$A:$A,4)</f>
        <v>0</v>
      </c>
      <c r="G149" s="518">
        <f t="shared" si="3"/>
        <v>0</v>
      </c>
    </row>
    <row r="150" spans="1:7" ht="9.9" customHeight="1" outlineLevel="1">
      <c r="A150" s="476"/>
      <c r="B150" s="436"/>
      <c r="C150" s="478"/>
      <c r="D150" s="478" t="s">
        <v>325</v>
      </c>
      <c r="E150" s="478" t="s">
        <v>325</v>
      </c>
      <c r="F150" s="478" t="s">
        <v>325</v>
      </c>
      <c r="G150" s="519"/>
    </row>
    <row r="151" spans="1:7" ht="15.9" customHeight="1" outlineLevel="1">
      <c r="A151" s="1047" t="s">
        <v>185</v>
      </c>
      <c r="B151" s="449" t="s">
        <v>186</v>
      </c>
      <c r="C151" s="338">
        <f>SUM(C153:C154)</f>
        <v>4713055</v>
      </c>
      <c r="D151" s="338">
        <f>SUM(D153:D154)</f>
        <v>0</v>
      </c>
      <c r="E151" s="338">
        <f>SUM(E153:E154)</f>
        <v>15236220</v>
      </c>
      <c r="F151" s="338">
        <f>SUM(F154:F154)</f>
        <v>0</v>
      </c>
      <c r="G151" s="429">
        <f>SUM(C151:F151)</f>
        <v>19949275</v>
      </c>
    </row>
    <row r="152" spans="1:7" ht="9.9" customHeight="1" outlineLevel="1">
      <c r="A152" s="476"/>
      <c r="B152" s="423"/>
      <c r="C152" s="478"/>
      <c r="D152" s="478"/>
      <c r="E152" s="478"/>
      <c r="F152" s="478"/>
      <c r="G152" s="519"/>
    </row>
    <row r="153" spans="1:7" ht="15.9" hidden="1" customHeight="1" outlineLevel="1">
      <c r="A153" s="476" t="s">
        <v>187</v>
      </c>
      <c r="B153" s="432" t="s">
        <v>188</v>
      </c>
      <c r="C153" s="433">
        <f>SUMIFS('Distribución OyA Detalle'!$G:$G,'Distribución OyA Detalle'!$D:$D,A153,'Distribución OyA Detalle'!$A:$A,1)</f>
        <v>0</v>
      </c>
      <c r="D153" s="433">
        <f>SUMIFS('Distribución OyA Detalle'!$G:$G,'Distribución OyA Detalle'!$D:$D,A153,'Distribución OyA Detalle'!$A:$A,2)</f>
        <v>0</v>
      </c>
      <c r="E153" s="433">
        <f>SUMIFS('Distribución OyA Detalle'!$G:$G,'Distribución OyA Detalle'!$D:$D,A153,'Distribución OyA Detalle'!$A:$A,3)</f>
        <v>0</v>
      </c>
      <c r="F153" s="433">
        <f>SUMIFS('Distribución OyA Detalle'!$G:$G,'Distribución OyA Detalle'!$D:$D,A153,'Distribución OyA Detalle'!$A:$A,4)</f>
        <v>0</v>
      </c>
      <c r="G153" s="518">
        <f>SUM(C153:F153)</f>
        <v>0</v>
      </c>
    </row>
    <row r="154" spans="1:7" ht="15.9" customHeight="1" outlineLevel="1">
      <c r="A154" s="476" t="s">
        <v>189</v>
      </c>
      <c r="B154" s="432" t="s">
        <v>190</v>
      </c>
      <c r="C154" s="433">
        <f>SUMIFS('Distribución OyA Detalle'!$G:$G,'Distribución OyA Detalle'!$D:$D,A154,'Distribución OyA Detalle'!$A:$A,1)</f>
        <v>4713055</v>
      </c>
      <c r="D154" s="433">
        <f>SUMIFS('Distribución OyA Detalle'!$G:$G,'Distribución OyA Detalle'!$D:$D,A154,'Distribución OyA Detalle'!$A:$A,2)</f>
        <v>0</v>
      </c>
      <c r="E154" s="433">
        <f>SUMIFS('Distribución OyA Detalle'!$G:$G,'Distribución OyA Detalle'!$D:$D,A154,'Distribución OyA Detalle'!$A:$A,3)</f>
        <v>15236220</v>
      </c>
      <c r="F154" s="433">
        <f>SUMIFS('Distribución OyA Detalle'!$G:$G,'Distribución OyA Detalle'!$D:$D,A154,'Distribución OyA Detalle'!$A:$A,4)</f>
        <v>0</v>
      </c>
      <c r="G154" s="518">
        <f>SUM(C154:F154)</f>
        <v>19949275</v>
      </c>
    </row>
    <row r="155" spans="1:7" ht="9.9" customHeight="1" outlineLevel="1">
      <c r="A155" s="476"/>
      <c r="B155" s="436"/>
      <c r="C155" s="478"/>
      <c r="D155" s="478"/>
      <c r="E155" s="478"/>
      <c r="F155" s="478"/>
      <c r="G155" s="519"/>
    </row>
    <row r="156" spans="1:7" ht="15.9" customHeight="1" outlineLevel="1">
      <c r="A156" s="1047" t="s">
        <v>191</v>
      </c>
      <c r="B156" s="449" t="s">
        <v>244</v>
      </c>
      <c r="C156" s="338">
        <f>SUM(C158:C165)</f>
        <v>15695800</v>
      </c>
      <c r="D156" s="338">
        <f>SUM(D158:D165)</f>
        <v>0</v>
      </c>
      <c r="E156" s="338">
        <f>SUM(E158:E165)</f>
        <v>37492585</v>
      </c>
      <c r="F156" s="338">
        <f>SUM(F158:F165)</f>
        <v>1000000</v>
      </c>
      <c r="G156" s="429">
        <f>SUM(C156:F156)</f>
        <v>54188385</v>
      </c>
    </row>
    <row r="157" spans="1:7" ht="9.9" customHeight="1" outlineLevel="1">
      <c r="A157" s="476"/>
      <c r="B157" s="423"/>
      <c r="C157" s="478"/>
      <c r="D157" s="478"/>
      <c r="E157" s="478"/>
      <c r="F157" s="478"/>
      <c r="G157" s="519"/>
    </row>
    <row r="158" spans="1:7" ht="15.9" customHeight="1" outlineLevel="1">
      <c r="A158" s="476" t="s">
        <v>192</v>
      </c>
      <c r="B158" s="473" t="s">
        <v>193</v>
      </c>
      <c r="C158" s="433">
        <f>SUMIFS('Distribución OyA Detalle'!$G:$G,'Distribución OyA Detalle'!$D:$D,A158,'Distribución OyA Detalle'!$A:$A,1)</f>
        <v>2158868</v>
      </c>
      <c r="D158" s="433">
        <f>SUMIFS('Distribución OyA Detalle'!$G:$G,'Distribución OyA Detalle'!$D:$D,A158,'Distribución OyA Detalle'!$A:$A,2)</f>
        <v>0</v>
      </c>
      <c r="E158" s="433">
        <f>SUMIFS('Distribución OyA Detalle'!$G:$G,'Distribución OyA Detalle'!$D:$D,A158,'Distribución OyA Detalle'!$A:$A,3)</f>
        <v>3347760</v>
      </c>
      <c r="F158" s="433">
        <f>SUMIFS('Distribución OyA Detalle'!$G:$G,'Distribución OyA Detalle'!$D:$D,A158,'Distribución OyA Detalle'!$A:$A,4)</f>
        <v>400000</v>
      </c>
      <c r="G158" s="518">
        <f t="shared" ref="G158:G163" si="4">SUM(C158:F158)</f>
        <v>5906628</v>
      </c>
    </row>
    <row r="159" spans="1:7" ht="15.9" customHeight="1" outlineLevel="1">
      <c r="A159" s="476" t="s">
        <v>194</v>
      </c>
      <c r="B159" s="473" t="s">
        <v>245</v>
      </c>
      <c r="C159" s="433">
        <f>SUMIFS('Distribución OyA Detalle'!$G:$G,'Distribución OyA Detalle'!$D:$D,A159,'Distribución OyA Detalle'!$A:$A,1)</f>
        <v>877300</v>
      </c>
      <c r="D159" s="433">
        <f>SUMIFS('Distribución OyA Detalle'!$G:$G,'Distribución OyA Detalle'!$D:$D,A159,'Distribución OyA Detalle'!$A:$A,2)</f>
        <v>0</v>
      </c>
      <c r="E159" s="433">
        <f>SUMIFS('Distribución OyA Detalle'!$G:$G,'Distribución OyA Detalle'!$D:$D,A159,'Distribución OyA Detalle'!$A:$A,3)</f>
        <v>52500</v>
      </c>
      <c r="F159" s="433">
        <f>SUMIFS('Distribución OyA Detalle'!$G:$G,'Distribución OyA Detalle'!$D:$D,A159,'Distribución OyA Detalle'!$A:$A,4)</f>
        <v>0</v>
      </c>
      <c r="G159" s="518">
        <f t="shared" si="4"/>
        <v>929800</v>
      </c>
    </row>
    <row r="160" spans="1:7" ht="15.9" customHeight="1" outlineLevel="1">
      <c r="A160" s="476" t="s">
        <v>195</v>
      </c>
      <c r="B160" s="473" t="s">
        <v>196</v>
      </c>
      <c r="C160" s="433">
        <f>SUMIFS('Distribución OyA Detalle'!$G:$G,'Distribución OyA Detalle'!$D:$D,A160,'Distribución OyA Detalle'!$A:$A,1)</f>
        <v>3802448</v>
      </c>
      <c r="D160" s="433">
        <f>SUMIFS('Distribución OyA Detalle'!$G:$G,'Distribución OyA Detalle'!$D:$D,A160,'Distribución OyA Detalle'!$A:$A,2)</f>
        <v>0</v>
      </c>
      <c r="E160" s="433">
        <f>SUMIFS('Distribución OyA Detalle'!$G:$G,'Distribución OyA Detalle'!$D:$D,A160,'Distribución OyA Detalle'!$A:$A,3)</f>
        <v>1082610</v>
      </c>
      <c r="F160" s="433">
        <f>SUMIFS('Distribución OyA Detalle'!$G:$G,'Distribución OyA Detalle'!$D:$D,A160,'Distribución OyA Detalle'!$A:$A,4)</f>
        <v>400000</v>
      </c>
      <c r="G160" s="518">
        <f t="shared" si="4"/>
        <v>5285058</v>
      </c>
    </row>
    <row r="161" spans="1:7" ht="15.9" customHeight="1" outlineLevel="1">
      <c r="A161" s="476" t="s">
        <v>197</v>
      </c>
      <c r="B161" s="473" t="s">
        <v>198</v>
      </c>
      <c r="C161" s="433">
        <f>SUMIFS('Distribución OyA Detalle'!$G:$G,'Distribución OyA Detalle'!$D:$D,A161,'Distribución OyA Detalle'!$A:$A,1)</f>
        <v>4104628</v>
      </c>
      <c r="D161" s="433">
        <f>SUMIFS('Distribución OyA Detalle'!$G:$G,'Distribución OyA Detalle'!$D:$D,A161,'Distribución OyA Detalle'!$A:$A,2)</f>
        <v>0</v>
      </c>
      <c r="E161" s="433">
        <f>SUMIFS('Distribución OyA Detalle'!$G:$G,'Distribución OyA Detalle'!$D:$D,A161,'Distribución OyA Detalle'!$A:$A,3)</f>
        <v>32035615</v>
      </c>
      <c r="F161" s="433">
        <f>SUMIFS('Distribución OyA Detalle'!$G:$G,'Distribución OyA Detalle'!$D:$D,A161,'Distribución OyA Detalle'!$A:$A,4)</f>
        <v>0</v>
      </c>
      <c r="G161" s="518">
        <f t="shared" si="4"/>
        <v>36140243</v>
      </c>
    </row>
    <row r="162" spans="1:7" ht="15.9" customHeight="1" outlineLevel="1">
      <c r="A162" s="476" t="s">
        <v>199</v>
      </c>
      <c r="B162" s="473" t="s">
        <v>200</v>
      </c>
      <c r="C162" s="433">
        <f>SUMIFS('Distribución OyA Detalle'!$G:$G,'Distribución OyA Detalle'!$D:$D,A162,'Distribución OyA Detalle'!$A:$A,1)</f>
        <v>3579856</v>
      </c>
      <c r="D162" s="433">
        <f>SUMIFS('Distribución OyA Detalle'!$G:$G,'Distribución OyA Detalle'!$D:$D,A162,'Distribución OyA Detalle'!$A:$A,2)</f>
        <v>0</v>
      </c>
      <c r="E162" s="433">
        <f>SUMIFS('Distribución OyA Detalle'!$G:$G,'Distribución OyA Detalle'!$D:$D,A162,'Distribución OyA Detalle'!$A:$A,3)</f>
        <v>119700</v>
      </c>
      <c r="F162" s="433">
        <f>SUMIFS('Distribución OyA Detalle'!$G:$G,'Distribución OyA Detalle'!$D:$D,A162,'Distribución OyA Detalle'!$A:$A,4)</f>
        <v>0</v>
      </c>
      <c r="G162" s="518">
        <f t="shared" si="4"/>
        <v>3699556</v>
      </c>
    </row>
    <row r="163" spans="1:7" ht="15.9" customHeight="1" outlineLevel="1">
      <c r="A163" s="476" t="s">
        <v>201</v>
      </c>
      <c r="B163" s="473" t="s">
        <v>202</v>
      </c>
      <c r="C163" s="433">
        <f>SUMIFS('Distribución OyA Detalle'!$G:$G,'Distribución OyA Detalle'!$D:$D,A163,'Distribución OyA Detalle'!$A:$A,1)</f>
        <v>82000</v>
      </c>
      <c r="D163" s="433">
        <f>SUMIFS('Distribución OyA Detalle'!$G:$G,'Distribución OyA Detalle'!$D:$D,A163,'Distribución OyA Detalle'!$A:$A,2)</f>
        <v>0</v>
      </c>
      <c r="E163" s="433">
        <f>SUMIFS('Distribución OyA Detalle'!$G:$G,'Distribución OyA Detalle'!$D:$D,A163,'Distribución OyA Detalle'!$A:$A,3)</f>
        <v>0</v>
      </c>
      <c r="F163" s="433">
        <f>SUMIFS('Distribución OyA Detalle'!$G:$G,'Distribución OyA Detalle'!$D:$D,A163,'Distribución OyA Detalle'!$A:$A,4)</f>
        <v>0</v>
      </c>
      <c r="G163" s="518">
        <f t="shared" si="4"/>
        <v>82000</v>
      </c>
    </row>
    <row r="164" spans="1:7" ht="15.9" hidden="1" customHeight="1" outlineLevel="1">
      <c r="A164" s="476" t="s">
        <v>314</v>
      </c>
      <c r="B164" s="473" t="s">
        <v>351</v>
      </c>
      <c r="C164" s="433">
        <f>SUMIFS('Distribución OyA Detalle'!$G:$G,'Distribución OyA Detalle'!$D:$D,A164,'Distribución OyA Detalle'!$A:$A,1)</f>
        <v>0</v>
      </c>
      <c r="D164" s="433">
        <f>SUMIFS('Distribución OyA Detalle'!$G:$G,'Distribución OyA Detalle'!$D:$D,A164,'Distribución OyA Detalle'!$A:$A,2)</f>
        <v>0</v>
      </c>
      <c r="E164" s="433">
        <f>SUMIFS('Distribución OyA Detalle'!$G:$G,'Distribución OyA Detalle'!$D:$D,A164,'Distribución OyA Detalle'!$A:$A,3)</f>
        <v>0</v>
      </c>
      <c r="F164" s="433">
        <f>SUMIFS('Distribución OyA Detalle'!$G:$G,'Distribución OyA Detalle'!$D:$D,A164,'Distribución OyA Detalle'!$A:$A,4)</f>
        <v>0</v>
      </c>
      <c r="G164" s="518">
        <f>SUM(C164:F164)</f>
        <v>0</v>
      </c>
    </row>
    <row r="165" spans="1:7" ht="15.9" customHeight="1" outlineLevel="1">
      <c r="A165" s="476" t="s">
        <v>203</v>
      </c>
      <c r="B165" s="473" t="s">
        <v>381</v>
      </c>
      <c r="C165" s="433">
        <f>SUMIFS('Distribución OyA Detalle'!$G:$G,'Distribución OyA Detalle'!$D:$D,A165,'Distribución OyA Detalle'!$A:$A,1)</f>
        <v>1090700</v>
      </c>
      <c r="D165" s="433">
        <f>SUMIFS('Distribución OyA Detalle'!$G:$G,'Distribución OyA Detalle'!$D:$D,A165,'Distribución OyA Detalle'!$A:$A,2)</f>
        <v>0</v>
      </c>
      <c r="E165" s="433">
        <f>SUMIFS('Distribución OyA Detalle'!$G:$G,'Distribución OyA Detalle'!$D:$D,A165,'Distribución OyA Detalle'!$A:$A,3)</f>
        <v>854400</v>
      </c>
      <c r="F165" s="433">
        <f>SUMIFS('Distribución OyA Detalle'!$G:$G,'Distribución OyA Detalle'!$D:$D,A165,'Distribución OyA Detalle'!$A:$A,4)</f>
        <v>200000</v>
      </c>
      <c r="G165" s="518">
        <f>SUM(C165:F165)</f>
        <v>2145100</v>
      </c>
    </row>
    <row r="166" spans="1:7" ht="9.9" customHeight="1" outlineLevel="1" thickBot="1">
      <c r="A166" s="474"/>
      <c r="B166" s="470"/>
      <c r="C166" s="343"/>
      <c r="D166" s="343"/>
      <c r="E166" s="343"/>
      <c r="F166" s="343"/>
      <c r="G166" s="520"/>
    </row>
    <row r="167" spans="1:7" ht="15.9" customHeight="1" thickBot="1">
      <c r="A167" s="456">
        <v>4</v>
      </c>
      <c r="B167" s="415" t="s">
        <v>646</v>
      </c>
      <c r="C167" s="458">
        <f>+C169</f>
        <v>2196631825.3100014</v>
      </c>
      <c r="D167" s="458">
        <f>+D169</f>
        <v>0</v>
      </c>
      <c r="E167" s="458">
        <f>+E169</f>
        <v>0</v>
      </c>
      <c r="F167" s="458">
        <f>+F169</f>
        <v>0</v>
      </c>
      <c r="G167" s="459">
        <f>+G169</f>
        <v>2196631825.3100014</v>
      </c>
    </row>
    <row r="168" spans="1:7" ht="9.9" customHeight="1" outlineLevel="1">
      <c r="A168" s="474"/>
      <c r="B168" s="470"/>
      <c r="C168" s="343"/>
      <c r="D168" s="343"/>
      <c r="E168" s="343"/>
      <c r="F168" s="343"/>
      <c r="G168" s="520"/>
    </row>
    <row r="169" spans="1:7" ht="15.9" customHeight="1" outlineLevel="1">
      <c r="A169" s="1047" t="s">
        <v>647</v>
      </c>
      <c r="B169" s="449" t="s">
        <v>778</v>
      </c>
      <c r="C169" s="338">
        <f>+C171</f>
        <v>2196631825.3100014</v>
      </c>
      <c r="D169" s="338">
        <f>+D171</f>
        <v>0</v>
      </c>
      <c r="E169" s="338">
        <f>+E171</f>
        <v>0</v>
      </c>
      <c r="F169" s="338">
        <f>+F171</f>
        <v>0</v>
      </c>
      <c r="G169" s="429">
        <f>SUM(C169:F169)</f>
        <v>2196631825.3100014</v>
      </c>
    </row>
    <row r="170" spans="1:7" ht="9.9" customHeight="1" outlineLevel="1">
      <c r="A170" s="474"/>
      <c r="B170" s="470"/>
      <c r="C170" s="343"/>
      <c r="D170" s="343"/>
      <c r="E170" s="343"/>
      <c r="F170" s="343"/>
      <c r="G170" s="520"/>
    </row>
    <row r="171" spans="1:7" ht="15.9" customHeight="1" outlineLevel="1">
      <c r="A171" s="476" t="s">
        <v>648</v>
      </c>
      <c r="B171" s="473" t="s">
        <v>649</v>
      </c>
      <c r="C171" s="433">
        <f>SUMIFS('Distribución OyA Detalle'!$G:$G,'Distribución OyA Detalle'!$D:$D,A171,'Distribución OyA Detalle'!$A:$A,1)</f>
        <v>2196631825.3100014</v>
      </c>
      <c r="D171" s="433">
        <f>SUMIFS('Distribución OyA Detalle'!$G:$G,'Distribución OyA Detalle'!$D:$D,A171,'Distribución OyA Detalle'!$A:$A,2)</f>
        <v>0</v>
      </c>
      <c r="E171" s="433">
        <f>SUMIFS('Distribución OyA Detalle'!$G:$G,'Distribución OyA Detalle'!$D:$D,A171,'Distribución OyA Detalle'!$A:$A,3)</f>
        <v>0</v>
      </c>
      <c r="F171" s="433">
        <f>SUMIFS('Distribución OyA Detalle'!$G:$G,'Distribución OyA Detalle'!$D:$D,A171,'Distribución OyA Detalle'!$A:$A,4)</f>
        <v>0</v>
      </c>
      <c r="G171" s="518">
        <f>SUM(C171:F171)</f>
        <v>2196631825.3100014</v>
      </c>
    </row>
    <row r="172" spans="1:7" ht="15.9" hidden="1" customHeight="1" outlineLevel="1">
      <c r="A172" s="474"/>
      <c r="B172" s="470"/>
      <c r="C172" s="343"/>
      <c r="D172" s="343"/>
      <c r="E172" s="343"/>
      <c r="F172" s="343"/>
      <c r="G172" s="520"/>
    </row>
    <row r="173" spans="1:7" ht="7.95" customHeight="1" outlineLevel="1">
      <c r="A173" s="474"/>
      <c r="B173" s="470"/>
      <c r="C173" s="343"/>
      <c r="D173" s="343"/>
      <c r="E173" s="343"/>
      <c r="F173" s="343"/>
      <c r="G173" s="520"/>
    </row>
    <row r="174" spans="1:7" ht="9.9" customHeight="1" thickBot="1">
      <c r="A174" s="474"/>
      <c r="B174" s="470"/>
      <c r="C174" s="343"/>
      <c r="D174" s="343"/>
      <c r="E174" s="343"/>
      <c r="F174" s="343"/>
      <c r="G174" s="520"/>
    </row>
    <row r="175" spans="1:7" ht="15.9" customHeight="1" thickBot="1">
      <c r="A175" s="456">
        <v>5</v>
      </c>
      <c r="B175" s="415" t="s">
        <v>53</v>
      </c>
      <c r="C175" s="458">
        <f>+C177+C188+C193</f>
        <v>593150598.46000004</v>
      </c>
      <c r="D175" s="458">
        <f>+D177+D188+D193</f>
        <v>3000000</v>
      </c>
      <c r="E175" s="458">
        <f>+E177+E188+E193</f>
        <v>703136635.5</v>
      </c>
      <c r="F175" s="458">
        <f>+F177+F188+F193</f>
        <v>0</v>
      </c>
      <c r="G175" s="459">
        <f>+G177+G188+G193</f>
        <v>1299287233.96</v>
      </c>
    </row>
    <row r="176" spans="1:7" ht="9.9" customHeight="1">
      <c r="A176" s="397"/>
      <c r="B176" s="461"/>
      <c r="C176" s="336"/>
      <c r="D176" s="336"/>
      <c r="E176" s="336"/>
      <c r="F176" s="336"/>
      <c r="G176" s="525"/>
    </row>
    <row r="177" spans="1:7" ht="15.9" customHeight="1" outlineLevel="1">
      <c r="A177" s="1047" t="s">
        <v>204</v>
      </c>
      <c r="B177" s="449" t="s">
        <v>205</v>
      </c>
      <c r="C177" s="338">
        <f>SUM(C179:C186)</f>
        <v>96005718.409999996</v>
      </c>
      <c r="D177" s="338">
        <f>SUM(D179:D186)</f>
        <v>3000000</v>
      </c>
      <c r="E177" s="338">
        <f>SUM(E179:E186)</f>
        <v>683797562.5</v>
      </c>
      <c r="F177" s="338">
        <f>SUM(F179:F186)</f>
        <v>0</v>
      </c>
      <c r="G177" s="429">
        <f>SUM(C177:F177)</f>
        <v>782803280.90999997</v>
      </c>
    </row>
    <row r="178" spans="1:7" ht="9.9" customHeight="1" outlineLevel="1">
      <c r="A178" s="397"/>
      <c r="B178" s="423"/>
      <c r="C178" s="336"/>
      <c r="D178" s="336"/>
      <c r="E178" s="336"/>
      <c r="F178" s="336"/>
      <c r="G178" s="525"/>
    </row>
    <row r="179" spans="1:7" ht="15.9" hidden="1" customHeight="1" outlineLevel="1">
      <c r="A179" s="447" t="s">
        <v>356</v>
      </c>
      <c r="B179" s="473" t="s">
        <v>357</v>
      </c>
      <c r="C179" s="433">
        <f>SUMIFS('Distribución OyA Detalle'!$G:$G,'Distribución OyA Detalle'!$D:$D,A179,'Distribución OyA Detalle'!$A:$A,1)</f>
        <v>0</v>
      </c>
      <c r="D179" s="433">
        <f>SUMIFS('Distribución OyA Detalle'!$G:$G,'Distribución OyA Detalle'!$D:$D,A179,'Distribución OyA Detalle'!$A:$A,2)</f>
        <v>0</v>
      </c>
      <c r="E179" s="433">
        <f>SUMIFS('Distribución OyA Detalle'!$G:$G,'Distribución OyA Detalle'!$D:$D,A179,'Distribución OyA Detalle'!$A:$A,3)</f>
        <v>0</v>
      </c>
      <c r="F179" s="433">
        <f>SUMIFS('Distribución OyA Detalle'!$G:$G,'Distribución OyA Detalle'!$D:$D,A179,'Distribución OyA Detalle'!$A:$A,4)</f>
        <v>0</v>
      </c>
      <c r="G179" s="518">
        <f t="shared" ref="G179:G186" si="5">SUM(C179:F179)</f>
        <v>0</v>
      </c>
    </row>
    <row r="180" spans="1:7" ht="15.9" customHeight="1" outlineLevel="1">
      <c r="A180" s="447" t="s">
        <v>206</v>
      </c>
      <c r="B180" s="432" t="s">
        <v>207</v>
      </c>
      <c r="C180" s="433">
        <f>SUMIFS('Distribución OyA Detalle'!$G:$G,'Distribución OyA Detalle'!$D:$D,A180,'Distribución OyA Detalle'!$A:$A,1)</f>
        <v>0</v>
      </c>
      <c r="D180" s="433">
        <f>SUMIFS('Distribución OyA Detalle'!$G:$G,'Distribución OyA Detalle'!$D:$D,A180,'Distribución OyA Detalle'!$A:$A,2)</f>
        <v>0</v>
      </c>
      <c r="E180" s="433">
        <f>SUMIFS('Distribución OyA Detalle'!$G:$G,'Distribución OyA Detalle'!$D:$D,A180,'Distribución OyA Detalle'!$A:$A,3)</f>
        <v>300000000</v>
      </c>
      <c r="F180" s="433">
        <f>SUMIFS('Distribución OyA Detalle'!$G:$G,'Distribución OyA Detalle'!$D:$D,A180,'Distribución OyA Detalle'!$A:$A,4)</f>
        <v>0</v>
      </c>
      <c r="G180" s="518">
        <f t="shared" si="5"/>
        <v>300000000</v>
      </c>
    </row>
    <row r="181" spans="1:7" ht="15.9" customHeight="1" outlineLevel="1">
      <c r="A181" s="447" t="s">
        <v>208</v>
      </c>
      <c r="B181" s="432" t="s">
        <v>209</v>
      </c>
      <c r="C181" s="433">
        <f>SUMIFS('Distribución OyA Detalle'!$G:$G,'Distribución OyA Detalle'!$D:$D,A181,'Distribución OyA Detalle'!$A:$A,1)</f>
        <v>5643999.6600000001</v>
      </c>
      <c r="D181" s="433">
        <f>SUMIFS('Distribución OyA Detalle'!$G:$G,'Distribución OyA Detalle'!$D:$D,A181,'Distribución OyA Detalle'!$A:$A,2)</f>
        <v>3000000</v>
      </c>
      <c r="E181" s="433">
        <f>SUMIFS('Distribución OyA Detalle'!$G:$G,'Distribución OyA Detalle'!$D:$D,A181,'Distribución OyA Detalle'!$A:$A,3)</f>
        <v>44660000</v>
      </c>
      <c r="F181" s="433">
        <f>SUMIFS('Distribución OyA Detalle'!$G:$G,'Distribución OyA Detalle'!$D:$D,A181,'Distribución OyA Detalle'!$A:$A,4)</f>
        <v>0</v>
      </c>
      <c r="G181" s="518">
        <f t="shared" si="5"/>
        <v>53303999.659999996</v>
      </c>
    </row>
    <row r="182" spans="1:7" ht="15.9" hidden="1" customHeight="1" outlineLevel="1">
      <c r="A182" s="476" t="s">
        <v>210</v>
      </c>
      <c r="B182" s="432" t="s">
        <v>211</v>
      </c>
      <c r="C182" s="433">
        <f>SUMIFS('Distribución OyA Detalle'!$G:$G,'Distribución OyA Detalle'!$D:$D,A182,'Distribución OyA Detalle'!$A:$A,1)</f>
        <v>0</v>
      </c>
      <c r="D182" s="433">
        <f>SUMIFS('Distribución OyA Detalle'!$G:$G,'Distribución OyA Detalle'!$D:$D,A182,'Distribución OyA Detalle'!$A:$A,2)</f>
        <v>0</v>
      </c>
      <c r="E182" s="433">
        <f>SUMIFS('Distribución OyA Detalle'!$G:$G,'Distribución OyA Detalle'!$D:$D,A182,'Distribución OyA Detalle'!$A:$A,3)</f>
        <v>0</v>
      </c>
      <c r="F182" s="433">
        <f>SUMIFS('Distribución OyA Detalle'!$G:$G,'Distribución OyA Detalle'!$D:$D,A182,'Distribución OyA Detalle'!$A:$A,4)</f>
        <v>0</v>
      </c>
      <c r="G182" s="518">
        <f t="shared" si="5"/>
        <v>0</v>
      </c>
    </row>
    <row r="183" spans="1:7" ht="15.9" customHeight="1" outlineLevel="1">
      <c r="A183" s="476" t="s">
        <v>212</v>
      </c>
      <c r="B183" s="432" t="s">
        <v>213</v>
      </c>
      <c r="C183" s="433">
        <f>SUMIFS('Distribución OyA Detalle'!$G:$G,'Distribución OyA Detalle'!$D:$D,A183,'Distribución OyA Detalle'!$A:$A,1)</f>
        <v>90361718.75</v>
      </c>
      <c r="D183" s="433">
        <f>SUMIFS('Distribución OyA Detalle'!$G:$G,'Distribución OyA Detalle'!$D:$D,A183,'Distribución OyA Detalle'!$A:$A,2)</f>
        <v>0</v>
      </c>
      <c r="E183" s="433">
        <f>SUMIFS('Distribución OyA Detalle'!$G:$G,'Distribución OyA Detalle'!$D:$D,A183,'Distribución OyA Detalle'!$A:$A,3)</f>
        <v>339137562.5</v>
      </c>
      <c r="F183" s="433">
        <f>SUMIFS('Distribución OyA Detalle'!$G:$G,'Distribución OyA Detalle'!$D:$D,A183,'Distribución OyA Detalle'!$A:$A,4)</f>
        <v>0</v>
      </c>
      <c r="G183" s="518">
        <f t="shared" si="5"/>
        <v>429499281.25</v>
      </c>
    </row>
    <row r="184" spans="1:7" ht="15.9" hidden="1" customHeight="1" outlineLevel="1">
      <c r="A184" s="476" t="s">
        <v>214</v>
      </c>
      <c r="B184" s="432" t="s">
        <v>215</v>
      </c>
      <c r="C184" s="433">
        <f>SUMIFS('Distribución OyA Detalle'!$G:$G,'Distribución OyA Detalle'!$D:$D,A184,'Distribución OyA Detalle'!$A:$A,1)</f>
        <v>0</v>
      </c>
      <c r="D184" s="433">
        <f>SUMIFS('Distribución OyA Detalle'!$G:$G,'Distribución OyA Detalle'!$D:$D,A184,'Distribución OyA Detalle'!$A:$A,2)</f>
        <v>0</v>
      </c>
      <c r="E184" s="433">
        <f>SUMIFS('Distribución OyA Detalle'!$G:$G,'Distribución OyA Detalle'!$D:$D,A184,'Distribución OyA Detalle'!$A:$A,3)</f>
        <v>0</v>
      </c>
      <c r="F184" s="433">
        <f>SUMIFS('Distribución OyA Detalle'!$G:$G,'Distribución OyA Detalle'!$D:$D,A184,'Distribución OyA Detalle'!$A:$A,4)</f>
        <v>0</v>
      </c>
      <c r="G184" s="518">
        <f t="shared" si="5"/>
        <v>0</v>
      </c>
    </row>
    <row r="185" spans="1:7" ht="15.9" hidden="1" customHeight="1" outlineLevel="1">
      <c r="A185" s="476" t="s">
        <v>216</v>
      </c>
      <c r="B185" s="432" t="s">
        <v>217</v>
      </c>
      <c r="C185" s="433">
        <f>SUMIFS('Distribución OyA Detalle'!$G:$G,'Distribución OyA Detalle'!$D:$D,A185,'Distribución OyA Detalle'!$A:$A,1)</f>
        <v>0</v>
      </c>
      <c r="D185" s="433">
        <f>SUMIFS('Distribución OyA Detalle'!$G:$G,'Distribución OyA Detalle'!$D:$D,A185,'Distribución OyA Detalle'!$A:$A,2)</f>
        <v>0</v>
      </c>
      <c r="E185" s="433">
        <f>SUMIFS('Distribución OyA Detalle'!$G:$G,'Distribución OyA Detalle'!$D:$D,A185,'Distribución OyA Detalle'!$A:$A,3)</f>
        <v>0</v>
      </c>
      <c r="F185" s="433">
        <f>SUMIFS('Distribución OyA Detalle'!$G:$G,'Distribución OyA Detalle'!$D:$D,A185,'Distribución OyA Detalle'!$A:$A,4)</f>
        <v>0</v>
      </c>
      <c r="G185" s="518">
        <f t="shared" si="5"/>
        <v>0</v>
      </c>
    </row>
    <row r="186" spans="1:7" ht="15.9" hidden="1" customHeight="1" outlineLevel="1">
      <c r="A186" s="476" t="s">
        <v>218</v>
      </c>
      <c r="B186" s="473" t="s">
        <v>382</v>
      </c>
      <c r="C186" s="433">
        <f>SUMIFS('Distribución OyA Detalle'!$G:$G,'Distribución OyA Detalle'!$D:$D,A186,'Distribución OyA Detalle'!$A:$A,1)</f>
        <v>0</v>
      </c>
      <c r="D186" s="433">
        <f>SUMIFS('Distribución OyA Detalle'!$G:$G,'Distribución OyA Detalle'!$D:$D,A186,'Distribución OyA Detalle'!$A:$A,2)</f>
        <v>0</v>
      </c>
      <c r="E186" s="433">
        <f>SUMIFS('Distribución OyA Detalle'!$G:$G,'Distribución OyA Detalle'!$D:$D,A186,'Distribución OyA Detalle'!$A:$A,3)</f>
        <v>0</v>
      </c>
      <c r="F186" s="433">
        <f>SUMIFS('Distribución OyA Detalle'!$G:$G,'Distribución OyA Detalle'!$D:$D,A186,'Distribución OyA Detalle'!$A:$A,4)</f>
        <v>0</v>
      </c>
      <c r="G186" s="518">
        <f t="shared" si="5"/>
        <v>0</v>
      </c>
    </row>
    <row r="187" spans="1:7" ht="7.95" customHeight="1" outlineLevel="1">
      <c r="A187" s="476"/>
      <c r="B187" s="436"/>
      <c r="C187" s="478"/>
      <c r="D187" s="478"/>
      <c r="E187" s="478"/>
      <c r="F187" s="478"/>
      <c r="G187" s="519"/>
    </row>
    <row r="188" spans="1:7" ht="15.9" hidden="1" customHeight="1" outlineLevel="1">
      <c r="A188" s="513" t="s">
        <v>219</v>
      </c>
      <c r="B188" s="514" t="s">
        <v>220</v>
      </c>
      <c r="C188" s="515">
        <f>SUM(C190:C191)</f>
        <v>0</v>
      </c>
      <c r="D188" s="515">
        <f>SUM(D190:D191)</f>
        <v>0</v>
      </c>
      <c r="E188" s="515">
        <f>SUM(E190:E191)</f>
        <v>0</v>
      </c>
      <c r="F188" s="515">
        <f>SUM(F190:F191)</f>
        <v>0</v>
      </c>
      <c r="G188" s="516">
        <f>SUM(C188:F188)</f>
        <v>0</v>
      </c>
    </row>
    <row r="189" spans="1:7" ht="15.9" hidden="1" customHeight="1" outlineLevel="1">
      <c r="A189" s="476"/>
      <c r="B189" s="423"/>
      <c r="C189" s="478"/>
      <c r="D189" s="478"/>
      <c r="E189" s="478"/>
      <c r="F189" s="478"/>
      <c r="G189" s="519"/>
    </row>
    <row r="190" spans="1:7" ht="15.9" hidden="1" customHeight="1" outlineLevel="1">
      <c r="A190" s="476" t="s">
        <v>221</v>
      </c>
      <c r="B190" s="432" t="s">
        <v>222</v>
      </c>
      <c r="C190" s="433">
        <f>SUMIFS('Distribución OyA Detalle'!$G:$G,'Distribución OyA Detalle'!$D:$D,A190,'Distribución OyA Detalle'!$A:$A,1)</f>
        <v>0</v>
      </c>
      <c r="D190" s="433">
        <f>SUMIFS('Distribución OyA Detalle'!$G:$G,'Distribución OyA Detalle'!$D:$D,A190,'Distribución OyA Detalle'!$A:$A,2)</f>
        <v>0</v>
      </c>
      <c r="E190" s="433">
        <f>SUMIFS('Distribución OyA Detalle'!$G:$G,'Distribución OyA Detalle'!$D:$D,A190,'Distribución OyA Detalle'!$A:$A,3)</f>
        <v>0</v>
      </c>
      <c r="F190" s="433">
        <f>SUMIFS('Distribución OyA Detalle'!$G:$G,'Distribución OyA Detalle'!$D:$D,A190,'Distribución OyA Detalle'!$A:$A,4)</f>
        <v>0</v>
      </c>
      <c r="G190" s="518">
        <f>SUM(C190:F190)</f>
        <v>0</v>
      </c>
    </row>
    <row r="191" spans="1:7" ht="15.9" hidden="1" customHeight="1" outlineLevel="1">
      <c r="A191" s="476" t="s">
        <v>223</v>
      </c>
      <c r="B191" s="432" t="s">
        <v>224</v>
      </c>
      <c r="C191" s="433">
        <f>SUMIFS('Distribución OyA Detalle'!$G:$G,'Distribución OyA Detalle'!$D:$D,A191,'Distribución OyA Detalle'!$A:$A,1)</f>
        <v>0</v>
      </c>
      <c r="D191" s="433">
        <f>SUMIFS('Distribución OyA Detalle'!$G:$G,'Distribución OyA Detalle'!$D:$D,A191,'Distribución OyA Detalle'!$A:$A,2)</f>
        <v>0</v>
      </c>
      <c r="E191" s="433">
        <f>SUMIFS('Distribución OyA Detalle'!$G:$G,'Distribución OyA Detalle'!$D:$D,A191,'Distribución OyA Detalle'!$A:$A,3)</f>
        <v>0</v>
      </c>
      <c r="F191" s="433">
        <f>SUMIFS('Distribución OyA Detalle'!$G:$G,'Distribución OyA Detalle'!$D:$D,A191,'Distribución OyA Detalle'!$A:$A,4)</f>
        <v>0</v>
      </c>
      <c r="G191" s="518">
        <f>SUM(C191:F191)</f>
        <v>0</v>
      </c>
    </row>
    <row r="192" spans="1:7" ht="9.9" hidden="1" customHeight="1" outlineLevel="1">
      <c r="A192" s="474"/>
      <c r="B192" s="477"/>
      <c r="C192" s="343"/>
      <c r="D192" s="343"/>
      <c r="E192" s="343"/>
      <c r="F192" s="343"/>
      <c r="G192" s="520"/>
    </row>
    <row r="193" spans="1:7" ht="15.9" customHeight="1" outlineLevel="1">
      <c r="A193" s="1047" t="s">
        <v>226</v>
      </c>
      <c r="B193" s="449" t="s">
        <v>220</v>
      </c>
      <c r="C193" s="338">
        <f>+C195+C196</f>
        <v>497144880.05000001</v>
      </c>
      <c r="D193" s="338">
        <f>+D195+D196</f>
        <v>0</v>
      </c>
      <c r="E193" s="338">
        <f>+E195+E196</f>
        <v>19339073</v>
      </c>
      <c r="F193" s="338">
        <f>+F195+F196</f>
        <v>0</v>
      </c>
      <c r="G193" s="429">
        <f>SUM(C193:F193)</f>
        <v>516483953.05000001</v>
      </c>
    </row>
    <row r="194" spans="1:7" ht="9.9" customHeight="1" outlineLevel="1">
      <c r="A194" s="474"/>
      <c r="B194" s="423"/>
      <c r="C194" s="343"/>
      <c r="D194" s="343"/>
      <c r="E194" s="343"/>
      <c r="F194" s="343"/>
      <c r="G194" s="520"/>
    </row>
    <row r="195" spans="1:7" ht="15.9" customHeight="1" outlineLevel="1">
      <c r="A195" s="447" t="s">
        <v>352</v>
      </c>
      <c r="B195" s="432" t="s">
        <v>353</v>
      </c>
      <c r="C195" s="433">
        <f>SUMIFS('Distribución OyA Detalle'!$G:$G,'Distribución OyA Detalle'!$D:$D,A195,'Distribución OyA Detalle'!$A:$A,1)</f>
        <v>497144880.05000001</v>
      </c>
      <c r="D195" s="433">
        <f>SUMIFS('Distribución OyA Detalle'!$G:$G,'Distribución OyA Detalle'!$D:$D,A195,'Distribución OyA Detalle'!$A:$A,2)</f>
        <v>0</v>
      </c>
      <c r="E195" s="433">
        <f>SUMIFS('Distribución OyA Detalle'!$G:$G,'Distribución OyA Detalle'!$D:$D,A195,'Distribución OyA Detalle'!$A:$A,3)</f>
        <v>19339073</v>
      </c>
      <c r="F195" s="433">
        <f>SUMIFS('Distribución OyA Detalle'!$G:$G,'Distribución OyA Detalle'!$D:$D,A195,'Distribución OyA Detalle'!$A:$A,4)</f>
        <v>0</v>
      </c>
      <c r="G195" s="518">
        <f>SUM(C195:F195)</f>
        <v>516483953.05000001</v>
      </c>
    </row>
    <row r="196" spans="1:7" ht="15.9" hidden="1" customHeight="1" outlineLevel="1">
      <c r="A196" s="447" t="s">
        <v>227</v>
      </c>
      <c r="B196" s="432" t="s">
        <v>228</v>
      </c>
      <c r="C196" s="433">
        <f>SUMIFS('Distribución OyA Detalle'!$G:$G,'Distribución OyA Detalle'!$D:$D,A196,'Distribución OyA Detalle'!$A:$A,1)</f>
        <v>0</v>
      </c>
      <c r="D196" s="433">
        <f>SUMIFS('Distribución OyA Detalle'!$G:$G,'Distribución OyA Detalle'!$D:$D,A196,'Distribución OyA Detalle'!$A:$A,2)</f>
        <v>0</v>
      </c>
      <c r="E196" s="433">
        <f>SUMIFS('Distribución OyA Detalle'!$G:$G,'Distribución OyA Detalle'!$D:$D,A196,'Distribución OyA Detalle'!$A:$A,3)</f>
        <v>0</v>
      </c>
      <c r="F196" s="433">
        <f>SUMIFS('Distribución OyA Detalle'!$G:$G,'Distribución OyA Detalle'!$D:$D,A196,'Distribución OyA Detalle'!$A:$A,4)</f>
        <v>0</v>
      </c>
      <c r="G196" s="518">
        <f>SUM(C196:F196)</f>
        <v>0</v>
      </c>
    </row>
    <row r="197" spans="1:7" ht="9.9" customHeight="1" outlineLevel="1" thickBot="1">
      <c r="A197" s="530"/>
      <c r="B197" s="470"/>
      <c r="C197" s="523"/>
      <c r="D197" s="523"/>
      <c r="E197" s="523"/>
      <c r="F197" s="523"/>
      <c r="G197" s="529"/>
    </row>
    <row r="198" spans="1:7" ht="15.9" customHeight="1" thickBot="1">
      <c r="A198" s="456">
        <v>6</v>
      </c>
      <c r="B198" s="415" t="s">
        <v>229</v>
      </c>
      <c r="C198" s="458">
        <f>+C200+C209+C217+C213+C205</f>
        <v>137000000</v>
      </c>
      <c r="D198" s="458">
        <f>+D200+D209+D217+D213+D205</f>
        <v>0</v>
      </c>
      <c r="E198" s="458">
        <f>+E200+E209+E217+E213+E205</f>
        <v>516719272</v>
      </c>
      <c r="F198" s="458">
        <f>+F200+F209+F217+F213+F205</f>
        <v>1200000</v>
      </c>
      <c r="G198" s="459">
        <f>+G200+G209+G217+G213+G205</f>
        <v>654919272</v>
      </c>
    </row>
    <row r="199" spans="1:7" ht="9.9" customHeight="1" outlineLevel="1">
      <c r="A199" s="397"/>
      <c r="B199" s="461"/>
      <c r="C199" s="336"/>
      <c r="D199" s="336"/>
      <c r="E199" s="336"/>
      <c r="F199" s="336"/>
      <c r="G199" s="525"/>
    </row>
    <row r="200" spans="1:7" ht="15.9" customHeight="1" outlineLevel="1">
      <c r="A200" s="1047" t="s">
        <v>230</v>
      </c>
      <c r="B200" s="449" t="s">
        <v>246</v>
      </c>
      <c r="C200" s="338">
        <f>SUM(C202:C203)</f>
        <v>60000000</v>
      </c>
      <c r="D200" s="338">
        <f>SUM(D202:D203)</f>
        <v>0</v>
      </c>
      <c r="E200" s="338">
        <f>SUM(E202:E203)</f>
        <v>411894272</v>
      </c>
      <c r="F200" s="338">
        <f>SUM(F202:F203)</f>
        <v>0</v>
      </c>
      <c r="G200" s="429">
        <f>SUM(C200:F200)</f>
        <v>471894272</v>
      </c>
    </row>
    <row r="201" spans="1:7" ht="9.9" customHeight="1" outlineLevel="1">
      <c r="A201" s="397"/>
      <c r="B201" s="423"/>
      <c r="C201" s="336"/>
      <c r="D201" s="336"/>
      <c r="E201" s="336"/>
      <c r="F201" s="336"/>
      <c r="G201" s="525"/>
    </row>
    <row r="202" spans="1:7" ht="15.9" customHeight="1" outlineLevel="1">
      <c r="A202" s="531" t="s">
        <v>302</v>
      </c>
      <c r="B202" s="466" t="s">
        <v>303</v>
      </c>
      <c r="C202" s="433">
        <f>SUMIFS('Distribución OyA Detalle'!$G:$G,'Distribución OyA Detalle'!$D:$D,A202,'Distribución OyA Detalle'!$A:$A,1)</f>
        <v>60000000</v>
      </c>
      <c r="D202" s="433">
        <f>SUMIFS('Distribución OyA Detalle'!$G:$G,'Distribución OyA Detalle'!$D:$D,A202,'Distribución OyA Detalle'!$A:$A,2)</f>
        <v>0</v>
      </c>
      <c r="E202" s="433">
        <f>SUMIFS('Distribución OyA Detalle'!$G:$G,'Distribución OyA Detalle'!$D:$D,A202,'Distribución OyA Detalle'!$A:$A,3)</f>
        <v>411894272</v>
      </c>
      <c r="F202" s="433">
        <f>SUMIFS('Distribución OyA Detalle'!$G:$G,'Distribución OyA Detalle'!$D:$D,A202,'Distribución OyA Detalle'!$A:$A,4)</f>
        <v>0</v>
      </c>
      <c r="G202" s="518">
        <f>SUM(C202:F202)</f>
        <v>471894272</v>
      </c>
    </row>
    <row r="203" spans="1:7" ht="15.9" hidden="1" customHeight="1" outlineLevel="1">
      <c r="A203" s="531" t="s">
        <v>231</v>
      </c>
      <c r="B203" s="466" t="s">
        <v>383</v>
      </c>
      <c r="C203" s="433">
        <f>SUMIFS('Distribución OyA Detalle'!$G:$G,'Distribución OyA Detalle'!$D:$D,A203,'Distribución OyA Detalle'!$A:$A,1)</f>
        <v>0</v>
      </c>
      <c r="D203" s="433">
        <f>SUMIFS('Distribución OyA Detalle'!$G:$G,'Distribución OyA Detalle'!$D:$D,A203,'Distribución OyA Detalle'!$A:$A,2)</f>
        <v>0</v>
      </c>
      <c r="E203" s="433">
        <f>SUMIFS('Distribución OyA Detalle'!$G:$G,'Distribución OyA Detalle'!$D:$D,A203,'Distribución OyA Detalle'!$A:$A,3)</f>
        <v>0</v>
      </c>
      <c r="F203" s="433">
        <f>SUMIFS('Distribución OyA Detalle'!$G:$G,'Distribución OyA Detalle'!$D:$D,A203,'Distribución OyA Detalle'!$A:$A,4)</f>
        <v>0</v>
      </c>
      <c r="G203" s="518">
        <f>SUM(C203:F203)</f>
        <v>0</v>
      </c>
    </row>
    <row r="204" spans="1:7" ht="9.9" customHeight="1" outlineLevel="1">
      <c r="A204" s="531"/>
      <c r="B204" s="532"/>
      <c r="C204" s="478"/>
      <c r="D204" s="478"/>
      <c r="E204" s="478"/>
      <c r="F204" s="478"/>
      <c r="G204" s="519"/>
    </row>
    <row r="205" spans="1:7" ht="15.9" customHeight="1" outlineLevel="1">
      <c r="A205" s="1047" t="s">
        <v>610</v>
      </c>
      <c r="B205" s="449" t="s">
        <v>611</v>
      </c>
      <c r="C205" s="338">
        <f>SUM(C207:C207)</f>
        <v>7000000</v>
      </c>
      <c r="D205" s="338">
        <f>SUM(D207:D207)</f>
        <v>0</v>
      </c>
      <c r="E205" s="338">
        <f>SUM(E207:E207)</f>
        <v>0</v>
      </c>
      <c r="F205" s="338">
        <f>SUM(F207:F207)</f>
        <v>0</v>
      </c>
      <c r="G205" s="429">
        <f>SUM(C205:F205)</f>
        <v>7000000</v>
      </c>
    </row>
    <row r="206" spans="1:7" ht="9.9" customHeight="1" outlineLevel="1">
      <c r="A206" s="397"/>
      <c r="B206" s="423"/>
      <c r="C206" s="336"/>
      <c r="D206" s="336"/>
      <c r="E206" s="336"/>
      <c r="F206" s="336"/>
      <c r="G206" s="525"/>
    </row>
    <row r="207" spans="1:7" ht="15.9" customHeight="1" outlineLevel="1">
      <c r="A207" s="531" t="s">
        <v>614</v>
      </c>
      <c r="B207" s="466" t="s">
        <v>615</v>
      </c>
      <c r="C207" s="433">
        <f>SUMIFS('Distribución OyA Detalle'!$G:$G,'Distribución OyA Detalle'!$D:$D,A207,'Distribución OyA Detalle'!$A:$A,1)</f>
        <v>7000000</v>
      </c>
      <c r="D207" s="433">
        <f>SUMIFS('Distribución OyA Detalle'!$G:$G,'Distribución OyA Detalle'!$D:$D,A207,'Distribución OyA Detalle'!$A:$A,2)</f>
        <v>0</v>
      </c>
      <c r="E207" s="433">
        <f>SUMIFS('Distribución OyA Detalle'!$G:$G,'Distribución OyA Detalle'!$D:$D,A207,'Distribución OyA Detalle'!$A:$A,3)</f>
        <v>0</v>
      </c>
      <c r="F207" s="433">
        <f>SUMIFS('Distribución OyA Detalle'!$G:$G,'Distribución OyA Detalle'!$D:$D,A207,'Distribución OyA Detalle'!$A:$A,4)</f>
        <v>0</v>
      </c>
      <c r="G207" s="518">
        <f>SUM(C207:F207)</f>
        <v>7000000</v>
      </c>
    </row>
    <row r="208" spans="1:7" ht="9.9" customHeight="1" outlineLevel="1">
      <c r="A208" s="531"/>
      <c r="B208" s="483"/>
      <c r="C208" s="478"/>
      <c r="D208" s="478"/>
      <c r="E208" s="478"/>
      <c r="F208" s="478"/>
      <c r="G208" s="519"/>
    </row>
    <row r="209" spans="1:7" ht="15.9" customHeight="1" outlineLevel="1">
      <c r="A209" s="1047" t="s">
        <v>232</v>
      </c>
      <c r="B209" s="449" t="s">
        <v>233</v>
      </c>
      <c r="C209" s="338">
        <f>SUM(C211)</f>
        <v>70000000</v>
      </c>
      <c r="D209" s="338">
        <f>SUM(D211)</f>
        <v>0</v>
      </c>
      <c r="E209" s="338">
        <f>SUM(E211)</f>
        <v>64825000</v>
      </c>
      <c r="F209" s="338">
        <f>SUM(F211)</f>
        <v>0</v>
      </c>
      <c r="G209" s="429">
        <f>SUM(C209:F209)</f>
        <v>134825000</v>
      </c>
    </row>
    <row r="210" spans="1:7" ht="9.9" customHeight="1" outlineLevel="1">
      <c r="A210" s="531"/>
      <c r="B210" s="423"/>
      <c r="C210" s="478"/>
      <c r="D210" s="478"/>
      <c r="E210" s="478"/>
      <c r="F210" s="478"/>
      <c r="G210" s="519"/>
    </row>
    <row r="211" spans="1:7" ht="15.9" customHeight="1" outlineLevel="1">
      <c r="A211" s="531" t="s">
        <v>294</v>
      </c>
      <c r="B211" s="466" t="s">
        <v>34</v>
      </c>
      <c r="C211" s="433">
        <f>SUMIFS('Distribución OyA Detalle'!$G:$G,'Distribución OyA Detalle'!$D:$D,A211,'Distribución OyA Detalle'!$A:$A,1)</f>
        <v>70000000</v>
      </c>
      <c r="D211" s="433">
        <f>SUMIFS('Distribución OyA Detalle'!$G:$G,'Distribución OyA Detalle'!$D:$D,A211,'Distribución OyA Detalle'!$A:$A,2)</f>
        <v>0</v>
      </c>
      <c r="E211" s="433">
        <f>SUMIFS('Distribución OyA Detalle'!$G:$G,'Distribución OyA Detalle'!$D:$D,A211,'Distribución OyA Detalle'!$A:$A,3)</f>
        <v>64825000</v>
      </c>
      <c r="F211" s="433">
        <f>SUMIFS('Distribución OyA Detalle'!$G:$G,'Distribución OyA Detalle'!$D:$D,A211,'Distribución OyA Detalle'!$A:$A,4)</f>
        <v>0</v>
      </c>
      <c r="G211" s="518">
        <f>SUM(C211:F211)</f>
        <v>134825000</v>
      </c>
    </row>
    <row r="212" spans="1:7" ht="15.9" hidden="1" customHeight="1" outlineLevel="1">
      <c r="A212" s="531"/>
      <c r="B212" s="483"/>
      <c r="C212" s="478"/>
      <c r="D212" s="478"/>
      <c r="E212" s="478"/>
      <c r="F212" s="478"/>
      <c r="G212" s="519"/>
    </row>
    <row r="213" spans="1:7" ht="15.9" hidden="1" customHeight="1" outlineLevel="1">
      <c r="A213" s="513" t="s">
        <v>322</v>
      </c>
      <c r="B213" s="449" t="s">
        <v>355</v>
      </c>
      <c r="C213" s="338">
        <f>+C215</f>
        <v>0</v>
      </c>
      <c r="D213" s="338">
        <f>+D215</f>
        <v>0</v>
      </c>
      <c r="E213" s="338">
        <f>+E215</f>
        <v>0</v>
      </c>
      <c r="F213" s="338">
        <f>+F215</f>
        <v>0</v>
      </c>
      <c r="G213" s="429">
        <f>SUM(C213:F213)</f>
        <v>0</v>
      </c>
    </row>
    <row r="214" spans="1:7" ht="15.9" hidden="1" customHeight="1" outlineLevel="1">
      <c r="A214" s="531"/>
      <c r="B214" s="423"/>
      <c r="C214" s="478"/>
      <c r="D214" s="478"/>
      <c r="E214" s="478"/>
      <c r="F214" s="478"/>
      <c r="G214" s="519"/>
    </row>
    <row r="215" spans="1:7" ht="15.9" hidden="1" customHeight="1" outlineLevel="1">
      <c r="A215" s="531" t="s">
        <v>326</v>
      </c>
      <c r="B215" s="466" t="s">
        <v>324</v>
      </c>
      <c r="C215" s="433">
        <f>SUMIFS('Distribución OyA Detalle'!$G:$G,'Distribución OyA Detalle'!$D:$D,A215,'Distribución OyA Detalle'!$A:$A,1)</f>
        <v>0</v>
      </c>
      <c r="D215" s="433">
        <f>SUMIFS('Distribución OyA Detalle'!$G:$G,'Distribución OyA Detalle'!$D:$D,A215,'Distribución OyA Detalle'!$A:$A,2)</f>
        <v>0</v>
      </c>
      <c r="E215" s="433">
        <f>SUMIFS('Distribución OyA Detalle'!$G:$G,'Distribución OyA Detalle'!$D:$D,A215,'Distribución OyA Detalle'!$A:$A,3)</f>
        <v>0</v>
      </c>
      <c r="F215" s="433">
        <f>SUMIFS('Distribución OyA Detalle'!$G:$G,'Distribución OyA Detalle'!$D:$D,A215,'Distribución OyA Detalle'!$A:$A,4)</f>
        <v>0</v>
      </c>
      <c r="G215" s="518">
        <f>SUM(C215:F215)</f>
        <v>0</v>
      </c>
    </row>
    <row r="216" spans="1:7" ht="9.9" customHeight="1" outlineLevel="1">
      <c r="A216" s="531"/>
      <c r="B216" s="533"/>
      <c r="C216" s="478"/>
      <c r="D216" s="478"/>
      <c r="E216" s="478"/>
      <c r="F216" s="478"/>
      <c r="G216" s="519"/>
    </row>
    <row r="217" spans="1:7" ht="15.9" customHeight="1" outlineLevel="1">
      <c r="A217" s="1047" t="s">
        <v>234</v>
      </c>
      <c r="B217" s="449" t="s">
        <v>247</v>
      </c>
      <c r="C217" s="338">
        <f>SUM(C219:C220)</f>
        <v>0</v>
      </c>
      <c r="D217" s="338">
        <f>SUM(D219:D220)</f>
        <v>0</v>
      </c>
      <c r="E217" s="338">
        <f>SUM(E219:E220)</f>
        <v>40000000</v>
      </c>
      <c r="F217" s="338">
        <f>SUM(F219:F220)</f>
        <v>1200000</v>
      </c>
      <c r="G217" s="429">
        <f>SUM(C217:F217)</f>
        <v>41200000</v>
      </c>
    </row>
    <row r="218" spans="1:7" ht="9.9" customHeight="1" outlineLevel="1">
      <c r="A218" s="531"/>
      <c r="B218" s="461"/>
      <c r="C218" s="478"/>
      <c r="D218" s="478"/>
      <c r="E218" s="478"/>
      <c r="F218" s="478"/>
      <c r="G218" s="519"/>
    </row>
    <row r="219" spans="1:7" ht="15.9" customHeight="1" outlineLevel="1">
      <c r="A219" s="476" t="s">
        <v>235</v>
      </c>
      <c r="B219" s="440" t="s">
        <v>632</v>
      </c>
      <c r="C219" s="433">
        <f>SUMIFS('Distribución OyA Detalle'!$G:$G,'Distribución OyA Detalle'!$D:$D,A219,'Distribución OyA Detalle'!$A:$A,1)</f>
        <v>0</v>
      </c>
      <c r="D219" s="433">
        <f>SUMIFS('Distribución OyA Detalle'!$G:$G,'Distribución OyA Detalle'!$D:$D,A219,'Distribución OyA Detalle'!$A:$A,2)</f>
        <v>0</v>
      </c>
      <c r="E219" s="433">
        <f>SUMIFS('Distribución OyA Detalle'!$G:$G,'Distribución OyA Detalle'!$D:$D,A219,'Distribución OyA Detalle'!$A:$A,3)</f>
        <v>40000000</v>
      </c>
      <c r="F219" s="433">
        <f>SUMIFS('Distribución OyA Detalle'!$G:$G,'Distribución OyA Detalle'!$D:$D,A219,'Distribución OyA Detalle'!$A:$A,4)</f>
        <v>0</v>
      </c>
      <c r="G219" s="518">
        <f>SUM(C219:F219)</f>
        <v>40000000</v>
      </c>
    </row>
    <row r="220" spans="1:7" outlineLevel="1">
      <c r="A220" s="476" t="s">
        <v>307</v>
      </c>
      <c r="B220" s="440" t="s">
        <v>315</v>
      </c>
      <c r="C220" s="433">
        <f>SUMIFS('Distribución OyA Detalle'!$G:$G,'Distribución OyA Detalle'!$D:$D,A220,'Distribución OyA Detalle'!$A:$A,1)</f>
        <v>0</v>
      </c>
      <c r="D220" s="433">
        <f>SUMIFS('Distribución OyA Detalle'!$G:$G,'Distribución OyA Detalle'!$D:$D,A220,'Distribución OyA Detalle'!$A:$A,2)</f>
        <v>0</v>
      </c>
      <c r="E220" s="433">
        <f>SUMIFS('Distribución OyA Detalle'!$G:$G,'Distribución OyA Detalle'!$D:$D,A220,'Distribución OyA Detalle'!$A:$A,3)</f>
        <v>0</v>
      </c>
      <c r="F220" s="433">
        <f>SUMIFS('Distribución OyA Detalle'!$G:$G,'Distribución OyA Detalle'!$D:$D,A220,'Distribución OyA Detalle'!$A:$A,4)</f>
        <v>1200000</v>
      </c>
      <c r="G220" s="518">
        <f>SUM(C220:F220)</f>
        <v>1200000</v>
      </c>
    </row>
    <row r="221" spans="1:7" ht="16.8" hidden="1" outlineLevel="1" thickBot="1">
      <c r="A221" s="531"/>
      <c r="B221" s="533"/>
      <c r="C221" s="478"/>
      <c r="D221" s="478"/>
      <c r="E221" s="478"/>
      <c r="F221" s="478"/>
      <c r="G221" s="519"/>
    </row>
    <row r="222" spans="1:7" ht="15" hidden="1" customHeight="1" thickBot="1">
      <c r="A222" s="456">
        <v>9</v>
      </c>
      <c r="B222" s="415" t="s">
        <v>54</v>
      </c>
      <c r="C222" s="458">
        <f>+C224</f>
        <v>0</v>
      </c>
      <c r="D222" s="458">
        <f>+D224</f>
        <v>0</v>
      </c>
      <c r="E222" s="458">
        <f>+E224</f>
        <v>0</v>
      </c>
      <c r="F222" s="458">
        <f>+F224</f>
        <v>0</v>
      </c>
      <c r="G222" s="459">
        <f>+G224</f>
        <v>0</v>
      </c>
    </row>
    <row r="223" spans="1:7" hidden="1" outlineLevel="1">
      <c r="A223" s="397"/>
      <c r="B223" s="398"/>
      <c r="C223" s="336"/>
      <c r="D223" s="336"/>
      <c r="E223" s="336"/>
      <c r="F223" s="336"/>
      <c r="G223" s="525"/>
    </row>
    <row r="224" spans="1:7" hidden="1" outlineLevel="1">
      <c r="A224" s="513" t="s">
        <v>236</v>
      </c>
      <c r="B224" s="534" t="s">
        <v>237</v>
      </c>
      <c r="C224" s="515">
        <f>SUM(C226:C227)</f>
        <v>0</v>
      </c>
      <c r="D224" s="515">
        <f>SUM(D226:D227)</f>
        <v>0</v>
      </c>
      <c r="E224" s="515">
        <f>SUM(E226:E227)</f>
        <v>0</v>
      </c>
      <c r="F224" s="515">
        <f>SUM(F226:F227)</f>
        <v>0</v>
      </c>
      <c r="G224" s="516">
        <f>SUM(C224:F224)</f>
        <v>0</v>
      </c>
    </row>
    <row r="225" spans="1:7" hidden="1" outlineLevel="1">
      <c r="A225" s="531"/>
      <c r="B225" s="535"/>
      <c r="C225" s="478"/>
      <c r="D225" s="478"/>
      <c r="E225" s="478"/>
      <c r="F225" s="478"/>
      <c r="G225" s="446"/>
    </row>
    <row r="226" spans="1:7" hidden="1" outlineLevel="1">
      <c r="A226" s="447" t="s">
        <v>238</v>
      </c>
      <c r="B226" s="536" t="s">
        <v>55</v>
      </c>
      <c r="C226" s="433">
        <f>SUMIFS('Distribución OyA Detalle'!$G:$G,'Distribución OyA Detalle'!$D:$D,A226,'Distribución OyA Detalle'!$A:$A,1)</f>
        <v>0</v>
      </c>
      <c r="D226" s="433">
        <f>SUMIFS('Distribución OyA Detalle'!$G:$G,'Distribución OyA Detalle'!$D:$D,A226,'Distribución OyA Detalle'!$A:$A,2)</f>
        <v>0</v>
      </c>
      <c r="E226" s="433">
        <f>SUMIFS('Distribución OyA Detalle'!$G:$G,'Distribución OyA Detalle'!$D:$D,A226,'Distribución OyA Detalle'!$A:$A,3)</f>
        <v>0</v>
      </c>
      <c r="F226" s="433">
        <f>SUMIFS('Distribución OyA Detalle'!$G:$G,'Distribución OyA Detalle'!$D:$D,A226,'Distribución OyA Detalle'!$A:$A,4)</f>
        <v>0</v>
      </c>
      <c r="G226" s="518">
        <f>SUM(C226:F226)</f>
        <v>0</v>
      </c>
    </row>
    <row r="227" spans="1:7" ht="14.25" hidden="1" customHeight="1" outlineLevel="1">
      <c r="A227" s="474" t="s">
        <v>239</v>
      </c>
      <c r="B227" s="537" t="s">
        <v>248</v>
      </c>
      <c r="C227" s="433">
        <f>SUMIFS('Distribución OyA Detalle'!$G:$G,'Distribución OyA Detalle'!$D:$D,A227,'Distribución OyA Detalle'!$A:$A,1)</f>
        <v>0</v>
      </c>
      <c r="D227" s="433">
        <f>SUMIFS('Distribución OyA Detalle'!$G:$G,'Distribución OyA Detalle'!$D:$D,A227,'Distribución OyA Detalle'!$A:$A,2)</f>
        <v>0</v>
      </c>
      <c r="E227" s="433">
        <f>SUMIFS('Distribución OyA Detalle'!$G:$G,'Distribución OyA Detalle'!$D:$D,A227,'Distribución OyA Detalle'!$A:$A,3)</f>
        <v>0</v>
      </c>
      <c r="F227" s="433">
        <f>SUMIFS('Distribución OyA Detalle'!$G:$G,'Distribución OyA Detalle'!$D:$D,A227,'Distribución OyA Detalle'!$A:$A,4)</f>
        <v>0</v>
      </c>
      <c r="G227" s="518">
        <f>SUM(C227:F227)</f>
        <v>0</v>
      </c>
    </row>
    <row r="228" spans="1:7" ht="9.9" customHeight="1" collapsed="1" thickBot="1">
      <c r="A228" s="538"/>
      <c r="B228" s="539"/>
      <c r="C228" s="540"/>
      <c r="D228" s="540"/>
      <c r="E228" s="540"/>
      <c r="F228" s="540"/>
      <c r="G228" s="541"/>
    </row>
    <row r="229" spans="1:7" ht="7.95" customHeight="1" thickBot="1">
      <c r="A229" s="542"/>
      <c r="B229" s="543"/>
      <c r="C229" s="544"/>
      <c r="D229" s="544"/>
      <c r="E229" s="544"/>
      <c r="F229" s="544"/>
      <c r="G229" s="545"/>
    </row>
    <row r="230" spans="1:7" ht="16.8" thickTop="1"/>
  </sheetData>
  <mergeCells count="5">
    <mergeCell ref="C9:E9"/>
    <mergeCell ref="A3:G3"/>
    <mergeCell ref="A4:G4"/>
    <mergeCell ref="A5:G5"/>
    <mergeCell ref="A6:G6"/>
  </mergeCells>
  <phoneticPr fontId="0" type="noConversion"/>
  <printOptions horizontalCentered="1"/>
  <pageMargins left="0.59055118110236227" right="0.59055118110236227" top="0.78740157480314965" bottom="0.78740157480314965" header="0.59055118110236227" footer="0.59055118110236227"/>
  <pageSetup scale="56" firstPageNumber="19" orientation="portrait" useFirstPageNumber="1" r:id="rId1"/>
  <headerFooter alignWithMargins="0">
    <oddFooter>&amp;C&amp;"Tw Cen MT,Normal"&amp;9&amp;P</oddFooter>
  </headerFooter>
  <rowBreaks count="2" manualBreakCount="2">
    <brk id="79" max="16383" man="1"/>
    <brk id="171" max="6" man="1"/>
  </rowBreaks>
  <ignoredErrors>
    <ignoredError sqref="A13 A55" numberStoredAsText="1"/>
    <ignoredError sqref="D8:F8"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E7FF5-5DB7-4C2A-9742-B56345705C1C}">
  <sheetPr>
    <tabColor theme="9" tint="-0.499984740745262"/>
  </sheetPr>
  <dimension ref="A3:AY86"/>
  <sheetViews>
    <sheetView topLeftCell="A4" workbookViewId="0">
      <pane xSplit="1" ySplit="1" topLeftCell="B5" activePane="bottomRight" state="frozen"/>
      <selection activeCell="A4" sqref="A4"/>
      <selection pane="topRight" activeCell="B4" sqref="B4"/>
      <selection pane="bottomLeft" activeCell="A5" sqref="A5"/>
      <selection pane="bottomRight" activeCell="C21" sqref="C21"/>
    </sheetView>
  </sheetViews>
  <sheetFormatPr baseColWidth="10" defaultRowHeight="13.2"/>
  <cols>
    <col min="1" max="1" width="82.21875" bestFit="1" customWidth="1"/>
    <col min="2" max="2" width="24.44140625" style="1171" bestFit="1" customWidth="1"/>
    <col min="3" max="3" width="22.77734375" style="1171" bestFit="1" customWidth="1"/>
    <col min="4" max="4" width="21.88671875" style="1171" bestFit="1" customWidth="1"/>
    <col min="5" max="5" width="39" style="1171" bestFit="1" customWidth="1"/>
    <col min="6" max="6" width="31.88671875" style="1171" bestFit="1" customWidth="1"/>
    <col min="7" max="7" width="37.77734375" style="1171" bestFit="1" customWidth="1"/>
    <col min="8" max="8" width="24.44140625" style="1171" bestFit="1" customWidth="1"/>
    <col min="9" max="9" width="27.33203125" style="1171" bestFit="1" customWidth="1"/>
    <col min="10" max="10" width="34" style="1171" bestFit="1" customWidth="1"/>
    <col min="11" max="11" width="14" style="1171" bestFit="1" customWidth="1"/>
    <col min="12" max="12" width="24.21875" style="1171" bestFit="1" customWidth="1"/>
    <col min="13" max="13" width="18.33203125" style="1171" customWidth="1"/>
    <col min="14" max="14" width="42.88671875" style="1171" bestFit="1" customWidth="1"/>
    <col min="15" max="15" width="34.33203125" style="1171" bestFit="1" customWidth="1"/>
    <col min="16" max="16" width="49.44140625" style="1171" bestFit="1" customWidth="1"/>
    <col min="17" max="17" width="32.5546875" style="1171" bestFit="1" customWidth="1"/>
    <col min="18" max="18" width="42.88671875" style="1171" bestFit="1" customWidth="1"/>
    <col min="19" max="19" width="40" style="1171" bestFit="1" customWidth="1"/>
    <col min="20" max="20" width="39.5546875" style="1171" bestFit="1" customWidth="1"/>
    <col min="21" max="21" width="59.77734375" style="1171" bestFit="1" customWidth="1"/>
    <col min="22" max="22" width="43.44140625" style="1171" bestFit="1" customWidth="1"/>
    <col min="23" max="23" width="26.5546875" style="1171" bestFit="1" customWidth="1"/>
    <col min="24" max="24" width="15.21875" style="1171" bestFit="1" customWidth="1"/>
    <col min="25" max="25" width="34.77734375" style="1171" bestFit="1" customWidth="1"/>
    <col min="26" max="26" width="31.77734375" style="1171" bestFit="1" customWidth="1"/>
    <col min="27" max="27" width="41.77734375" style="1171" bestFit="1" customWidth="1"/>
    <col min="28" max="28" width="51" style="1171" bestFit="1" customWidth="1"/>
    <col min="29" max="29" width="38.6640625" style="1171" bestFit="1" customWidth="1"/>
    <col min="30" max="30" width="44.88671875" style="1171" bestFit="1" customWidth="1"/>
    <col min="31" max="31" width="52.33203125" style="1171" bestFit="1" customWidth="1"/>
    <col min="32" max="32" width="36.77734375" style="1171" bestFit="1" customWidth="1"/>
    <col min="33" max="33" width="21.6640625" style="1171" bestFit="1" customWidth="1"/>
    <col min="34" max="34" width="28.33203125" style="1171" bestFit="1" customWidth="1"/>
    <col min="35" max="35" width="52.33203125" style="1171" bestFit="1" customWidth="1"/>
    <col min="36" max="36" width="17.33203125" style="1171" bestFit="1" customWidth="1"/>
    <col min="37" max="37" width="35.109375" style="1171" bestFit="1" customWidth="1"/>
    <col min="38" max="39" width="62.6640625" style="1171" bestFit="1" customWidth="1"/>
    <col min="40" max="40" width="43" style="1171" bestFit="1" customWidth="1"/>
    <col min="41" max="41" width="43.109375" style="1171" bestFit="1" customWidth="1"/>
    <col min="42" max="42" width="27.109375" style="1171" bestFit="1" customWidth="1"/>
    <col min="43" max="43" width="47.6640625" style="1171" bestFit="1" customWidth="1"/>
    <col min="44" max="44" width="26.88671875" style="1171" bestFit="1" customWidth="1"/>
    <col min="45" max="45" width="24.109375" style="1171" bestFit="1" customWidth="1"/>
    <col min="46" max="46" width="15.6640625" style="1171" bestFit="1" customWidth="1"/>
    <col min="47" max="47" width="19.5546875" style="1171" bestFit="1" customWidth="1"/>
    <col min="48" max="48" width="28.88671875" style="1171" bestFit="1" customWidth="1"/>
    <col min="49" max="49" width="26" style="1171" bestFit="1" customWidth="1"/>
    <col min="50" max="50" width="10.77734375" style="1171" bestFit="1" customWidth="1"/>
    <col min="51" max="51" width="17.6640625" style="1171" bestFit="1" customWidth="1"/>
  </cols>
  <sheetData>
    <row r="3" spans="1:51">
      <c r="A3" s="1168" t="s">
        <v>1483</v>
      </c>
      <c r="B3" s="1170" t="s">
        <v>1479</v>
      </c>
    </row>
    <row r="4" spans="1:51">
      <c r="A4" s="1168" t="s">
        <v>1482</v>
      </c>
      <c r="B4" s="1171" t="s">
        <v>872</v>
      </c>
      <c r="C4" s="1171" t="s">
        <v>875</v>
      </c>
      <c r="D4" s="1171" t="s">
        <v>876</v>
      </c>
      <c r="E4" s="1171" t="s">
        <v>882</v>
      </c>
      <c r="F4" s="1171" t="s">
        <v>883</v>
      </c>
      <c r="G4" s="1171" t="s">
        <v>884</v>
      </c>
      <c r="H4" s="1171" t="s">
        <v>885</v>
      </c>
      <c r="I4" s="1171" t="s">
        <v>889</v>
      </c>
      <c r="J4" s="1171" t="s">
        <v>890</v>
      </c>
      <c r="K4" s="1171" t="s">
        <v>900</v>
      </c>
      <c r="L4" s="1171" t="s">
        <v>902</v>
      </c>
      <c r="M4" s="1171" t="s">
        <v>903</v>
      </c>
      <c r="N4" s="1171" t="s">
        <v>904</v>
      </c>
      <c r="O4" s="1171" t="s">
        <v>1081</v>
      </c>
      <c r="P4" s="1171" t="s">
        <v>905</v>
      </c>
      <c r="Q4" s="1171" t="s">
        <v>906</v>
      </c>
      <c r="R4" s="1171" t="s">
        <v>912</v>
      </c>
      <c r="S4" s="1171" t="s">
        <v>914</v>
      </c>
      <c r="T4" s="1171" t="s">
        <v>915</v>
      </c>
      <c r="U4" s="1171" t="s">
        <v>918</v>
      </c>
      <c r="V4" s="1171" t="s">
        <v>920</v>
      </c>
      <c r="W4" s="1171" t="s">
        <v>921</v>
      </c>
      <c r="X4" s="1171" t="s">
        <v>922</v>
      </c>
      <c r="Y4" s="1171" t="s">
        <v>923</v>
      </c>
      <c r="Z4" s="1171" t="s">
        <v>924</v>
      </c>
      <c r="AA4" s="1171" t="s">
        <v>925</v>
      </c>
      <c r="AB4" s="1171" t="s">
        <v>926</v>
      </c>
      <c r="AC4" s="1171" t="s">
        <v>927</v>
      </c>
      <c r="AD4" s="1171" t="s">
        <v>1214</v>
      </c>
      <c r="AE4" s="1171" t="s">
        <v>928</v>
      </c>
      <c r="AF4" s="1171" t="s">
        <v>929</v>
      </c>
      <c r="AG4" s="1171" t="s">
        <v>1425</v>
      </c>
      <c r="AH4" s="1171" t="s">
        <v>931</v>
      </c>
      <c r="AI4" s="1171" t="s">
        <v>932</v>
      </c>
      <c r="AJ4" s="1171" t="s">
        <v>1260</v>
      </c>
      <c r="AK4" s="1171" t="s">
        <v>934</v>
      </c>
      <c r="AL4" s="1171" t="s">
        <v>1276</v>
      </c>
      <c r="AM4" s="1171" t="s">
        <v>1284</v>
      </c>
      <c r="AN4" s="1171" t="s">
        <v>1287</v>
      </c>
      <c r="AO4" s="1171" t="s">
        <v>1289</v>
      </c>
      <c r="AP4" s="1171" t="s">
        <v>1291</v>
      </c>
      <c r="AQ4" s="1172" t="s">
        <v>935</v>
      </c>
      <c r="AR4" s="1172" t="s">
        <v>936</v>
      </c>
      <c r="AS4" s="1171" t="s">
        <v>937</v>
      </c>
      <c r="AT4" s="1172" t="s">
        <v>938</v>
      </c>
      <c r="AU4" s="1171" t="s">
        <v>939</v>
      </c>
      <c r="AV4" s="1172" t="s">
        <v>941</v>
      </c>
      <c r="AW4" s="1171" t="s">
        <v>943</v>
      </c>
      <c r="AX4" s="1171" t="s">
        <v>1480</v>
      </c>
      <c r="AY4" s="1171" t="s">
        <v>1481</v>
      </c>
    </row>
    <row r="5" spans="1:51">
      <c r="A5" s="1169" t="s">
        <v>803</v>
      </c>
      <c r="B5" s="1172">
        <v>104942000</v>
      </c>
      <c r="C5" s="1172">
        <v>4219000</v>
      </c>
      <c r="D5" s="1172">
        <v>171159000</v>
      </c>
      <c r="E5" s="1172">
        <v>118368000</v>
      </c>
      <c r="F5" s="1172">
        <v>34238000</v>
      </c>
      <c r="G5" s="1172">
        <v>41526000</v>
      </c>
      <c r="H5" s="1172">
        <v>103095000</v>
      </c>
      <c r="I5" s="1172">
        <v>62699000</v>
      </c>
      <c r="J5" s="1172">
        <v>120652000</v>
      </c>
      <c r="K5" s="1172">
        <v>28343000</v>
      </c>
      <c r="L5" s="1172">
        <v>11154000</v>
      </c>
      <c r="M5" s="1172">
        <v>303738000</v>
      </c>
      <c r="N5" s="1172"/>
      <c r="O5" s="1172">
        <v>77202000</v>
      </c>
      <c r="P5" s="1171">
        <v>237020000</v>
      </c>
      <c r="Q5" s="1171">
        <v>101331000</v>
      </c>
      <c r="R5" s="1171">
        <v>32878000</v>
      </c>
      <c r="S5" s="1171">
        <v>86353000</v>
      </c>
      <c r="T5" s="1171">
        <v>308930000</v>
      </c>
      <c r="U5" s="1171">
        <v>24780000</v>
      </c>
      <c r="V5" s="1171">
        <v>50833000</v>
      </c>
      <c r="W5" s="1171">
        <v>166134000</v>
      </c>
      <c r="X5" s="1171">
        <v>98126000</v>
      </c>
      <c r="Y5" s="1171">
        <v>49650000</v>
      </c>
      <c r="Z5" s="1171">
        <v>229200000</v>
      </c>
      <c r="AA5" s="1171">
        <v>227065000</v>
      </c>
      <c r="AB5" s="1171">
        <v>94154000</v>
      </c>
      <c r="AC5" s="1171">
        <v>72910000</v>
      </c>
      <c r="AE5" s="1171">
        <v>27678000</v>
      </c>
      <c r="AG5" s="1171">
        <v>71309784</v>
      </c>
      <c r="AH5" s="1171">
        <v>45825000</v>
      </c>
      <c r="AK5" s="1171">
        <v>106178000</v>
      </c>
      <c r="AL5" s="1171">
        <v>115635000</v>
      </c>
      <c r="AQ5" s="1172">
        <v>46848000</v>
      </c>
      <c r="AR5" s="1172">
        <v>67104000</v>
      </c>
      <c r="AS5" s="1171">
        <v>22952000</v>
      </c>
      <c r="AT5" s="1172">
        <v>22481000</v>
      </c>
      <c r="AU5" s="1171">
        <v>34037000</v>
      </c>
      <c r="AY5" s="1171">
        <v>3520746784</v>
      </c>
    </row>
    <row r="6" spans="1:51">
      <c r="A6" s="1169" t="s">
        <v>804</v>
      </c>
      <c r="R6" s="1171">
        <v>187582000</v>
      </c>
      <c r="T6" s="1171">
        <v>10115000</v>
      </c>
      <c r="U6" s="1171">
        <v>57426000</v>
      </c>
      <c r="AA6" s="1171">
        <v>12554000</v>
      </c>
      <c r="AD6" s="1171">
        <v>1085037000</v>
      </c>
      <c r="AG6" s="1171">
        <v>10115400</v>
      </c>
      <c r="AH6" s="1171">
        <v>21100000</v>
      </c>
      <c r="AI6" s="1171">
        <v>719919000</v>
      </c>
      <c r="AJ6" s="1171">
        <v>74666000</v>
      </c>
      <c r="AM6" s="1171">
        <v>13367000</v>
      </c>
      <c r="AN6" s="1171">
        <v>21702000</v>
      </c>
      <c r="AO6" s="1171">
        <v>30033000</v>
      </c>
      <c r="AY6" s="1171">
        <v>2243616400</v>
      </c>
    </row>
    <row r="7" spans="1:51">
      <c r="A7" s="1169" t="s">
        <v>805</v>
      </c>
      <c r="J7" s="1171">
        <v>5000000</v>
      </c>
      <c r="AY7" s="1171">
        <v>5000000</v>
      </c>
    </row>
    <row r="8" spans="1:51">
      <c r="A8" s="1169" t="s">
        <v>806</v>
      </c>
      <c r="C8" s="1171">
        <v>540000</v>
      </c>
      <c r="E8" s="1171">
        <v>1568000</v>
      </c>
      <c r="F8" s="1171">
        <v>222000</v>
      </c>
      <c r="G8" s="1171">
        <v>4411000</v>
      </c>
      <c r="H8" s="1171">
        <v>167000</v>
      </c>
      <c r="I8" s="1171">
        <v>195000</v>
      </c>
      <c r="J8" s="1171">
        <v>157000</v>
      </c>
      <c r="M8" s="1171">
        <v>1602000</v>
      </c>
      <c r="P8" s="1171">
        <v>718000</v>
      </c>
      <c r="Q8" s="1171">
        <v>152000</v>
      </c>
      <c r="R8" s="1171">
        <v>60177000</v>
      </c>
      <c r="S8" s="1171">
        <v>3219000</v>
      </c>
      <c r="T8" s="1171">
        <v>11161000</v>
      </c>
      <c r="U8" s="1171">
        <v>17000000</v>
      </c>
      <c r="V8" s="1171">
        <v>167000</v>
      </c>
      <c r="W8" s="1171">
        <v>93000</v>
      </c>
      <c r="X8" s="1171">
        <v>727000</v>
      </c>
      <c r="Y8" s="1171">
        <v>224000</v>
      </c>
      <c r="Z8" s="1171">
        <v>2666000</v>
      </c>
      <c r="AA8" s="1171">
        <v>5183000</v>
      </c>
      <c r="AB8" s="1171">
        <v>1950000</v>
      </c>
      <c r="AC8" s="1171">
        <v>184000</v>
      </c>
      <c r="AD8" s="1171">
        <v>15500000</v>
      </c>
      <c r="AG8" s="1171">
        <v>2050000</v>
      </c>
      <c r="AH8" s="1171">
        <v>131000</v>
      </c>
      <c r="AI8" s="1171">
        <v>51900000</v>
      </c>
      <c r="AJ8" s="1171">
        <v>5506000</v>
      </c>
      <c r="AL8" s="1171">
        <v>5085000</v>
      </c>
      <c r="AM8" s="1171">
        <v>5100000</v>
      </c>
      <c r="AQ8" s="1171">
        <v>1728000</v>
      </c>
      <c r="AY8" s="1171">
        <v>199483000</v>
      </c>
    </row>
    <row r="9" spans="1:51">
      <c r="A9" s="1169" t="s">
        <v>807</v>
      </c>
      <c r="J9" s="1171">
        <v>2119180.08</v>
      </c>
      <c r="AY9" s="1171">
        <v>2119180.08</v>
      </c>
    </row>
    <row r="10" spans="1:51">
      <c r="A10" s="1169" t="s">
        <v>808</v>
      </c>
      <c r="C10" s="1171">
        <v>13500000</v>
      </c>
      <c r="AY10" s="1171">
        <v>13500000</v>
      </c>
    </row>
    <row r="11" spans="1:51">
      <c r="A11" s="1169" t="s">
        <v>799</v>
      </c>
      <c r="B11" s="1171">
        <v>5183000</v>
      </c>
      <c r="C11" s="1171">
        <v>2569000</v>
      </c>
      <c r="D11" s="1171">
        <v>6600000</v>
      </c>
      <c r="E11" s="1171">
        <v>15242000</v>
      </c>
      <c r="F11" s="1171">
        <v>13373000</v>
      </c>
      <c r="G11" s="1171">
        <v>7022000</v>
      </c>
      <c r="H11" s="1171">
        <v>16182000</v>
      </c>
      <c r="I11" s="1171">
        <v>19160000</v>
      </c>
      <c r="J11" s="1171">
        <v>35001000</v>
      </c>
      <c r="K11" s="1171">
        <v>1650000</v>
      </c>
      <c r="L11" s="1171">
        <v>4131000</v>
      </c>
      <c r="M11" s="1171">
        <v>50490000</v>
      </c>
      <c r="O11" s="1171">
        <v>11064000</v>
      </c>
      <c r="P11" s="1171">
        <v>36608000</v>
      </c>
      <c r="Q11" s="1171">
        <v>2095000</v>
      </c>
      <c r="R11" s="1171">
        <v>8239000</v>
      </c>
      <c r="S11" s="1171">
        <v>21337000</v>
      </c>
      <c r="T11" s="1171">
        <v>40123000</v>
      </c>
      <c r="U11" s="1171">
        <v>3369000</v>
      </c>
      <c r="V11" s="1171">
        <v>14109000</v>
      </c>
      <c r="W11" s="1171">
        <v>54000000</v>
      </c>
      <c r="X11" s="1171">
        <v>7921000</v>
      </c>
      <c r="Y11" s="1171">
        <v>10236000</v>
      </c>
      <c r="Z11" s="1171">
        <v>29655000</v>
      </c>
      <c r="AA11" s="1171">
        <v>22168000</v>
      </c>
      <c r="AB11" s="1171">
        <v>6563000</v>
      </c>
      <c r="AC11" s="1171">
        <v>7553000</v>
      </c>
      <c r="AE11" s="1171">
        <v>3679000</v>
      </c>
      <c r="AG11" s="1171">
        <v>12444000</v>
      </c>
      <c r="AH11" s="1171">
        <v>3656000</v>
      </c>
      <c r="AJ11" s="1171">
        <v>0</v>
      </c>
      <c r="AK11" s="1171">
        <v>6906000</v>
      </c>
      <c r="AL11" s="1171">
        <v>4748000</v>
      </c>
      <c r="AM11" s="1171">
        <v>4416000</v>
      </c>
      <c r="AQ11" s="1171">
        <v>9074000</v>
      </c>
      <c r="AR11" s="1171">
        <v>14218000</v>
      </c>
      <c r="AS11" s="1171">
        <v>10096000</v>
      </c>
      <c r="AT11" s="1171">
        <v>4569000</v>
      </c>
      <c r="AU11" s="1171">
        <v>6244000</v>
      </c>
      <c r="AY11" s="1171">
        <v>531693000</v>
      </c>
    </row>
    <row r="12" spans="1:51">
      <c r="A12" s="1169" t="s">
        <v>800</v>
      </c>
      <c r="B12" s="1171">
        <v>3905000</v>
      </c>
      <c r="D12" s="1171">
        <v>14925000</v>
      </c>
      <c r="E12" s="1171">
        <v>26005000</v>
      </c>
      <c r="F12" s="1171">
        <v>9338000</v>
      </c>
      <c r="G12" s="1171">
        <v>9218000</v>
      </c>
      <c r="H12" s="1171">
        <v>25487000</v>
      </c>
      <c r="I12" s="1171">
        <v>21832000</v>
      </c>
      <c r="J12" s="1171">
        <v>28738000</v>
      </c>
      <c r="L12" s="1171">
        <v>6135000</v>
      </c>
      <c r="M12" s="1171">
        <v>70758000</v>
      </c>
      <c r="O12" s="1171">
        <v>7049000</v>
      </c>
      <c r="P12" s="1171">
        <v>52035000</v>
      </c>
      <c r="R12" s="1171">
        <v>13513000</v>
      </c>
      <c r="S12" s="1171">
        <v>13192000</v>
      </c>
      <c r="T12" s="1171">
        <v>10809000</v>
      </c>
      <c r="U12" s="1171">
        <v>2943000</v>
      </c>
      <c r="V12" s="1171">
        <v>11270000</v>
      </c>
      <c r="W12" s="1171">
        <v>27113000</v>
      </c>
      <c r="X12" s="1171">
        <v>6347000</v>
      </c>
      <c r="Y12" s="1171">
        <v>7085000</v>
      </c>
      <c r="Z12" s="1171">
        <v>18898000</v>
      </c>
      <c r="AA12" s="1171">
        <v>17937000</v>
      </c>
      <c r="AB12" s="1171">
        <v>10130000</v>
      </c>
      <c r="AC12" s="1171">
        <v>9729000</v>
      </c>
      <c r="AE12" s="1171">
        <v>2302000</v>
      </c>
      <c r="AG12" s="1171">
        <v>21200000</v>
      </c>
      <c r="AH12" s="1171">
        <v>5065000</v>
      </c>
      <c r="AJ12" s="1171">
        <v>0</v>
      </c>
      <c r="AK12" s="1171">
        <v>13976000</v>
      </c>
      <c r="AL12" s="1171">
        <v>5065000</v>
      </c>
      <c r="AM12" s="1171">
        <v>5563000</v>
      </c>
      <c r="AQ12" s="1171">
        <v>8747000</v>
      </c>
      <c r="AR12" s="1171">
        <v>10892000</v>
      </c>
      <c r="AS12" s="1171">
        <v>5065000</v>
      </c>
      <c r="AT12" s="1171">
        <v>7368000</v>
      </c>
      <c r="AU12" s="1171">
        <v>6207000</v>
      </c>
      <c r="AY12" s="1171">
        <v>515841000</v>
      </c>
    </row>
    <row r="13" spans="1:51">
      <c r="A13" s="1169" t="s">
        <v>809</v>
      </c>
      <c r="B13" s="1171">
        <v>10309000</v>
      </c>
      <c r="C13" s="1171">
        <v>662000</v>
      </c>
      <c r="D13" s="1171">
        <v>17532000</v>
      </c>
      <c r="E13" s="1171">
        <v>14993000</v>
      </c>
      <c r="F13" s="1171">
        <v>5416000</v>
      </c>
      <c r="G13" s="1171">
        <v>5843000</v>
      </c>
      <c r="H13" s="1171">
        <v>13528000</v>
      </c>
      <c r="I13" s="1171">
        <v>9839000</v>
      </c>
      <c r="J13" s="1171">
        <v>17313000</v>
      </c>
      <c r="K13" s="1171">
        <v>2708000</v>
      </c>
      <c r="L13" s="1171">
        <v>2651000</v>
      </c>
      <c r="M13" s="1171">
        <v>39686000</v>
      </c>
      <c r="O13" s="1171">
        <v>8772000</v>
      </c>
      <c r="P13" s="1171">
        <v>30697000</v>
      </c>
      <c r="Q13" s="1171">
        <v>9351000</v>
      </c>
      <c r="R13" s="1171">
        <v>27665000</v>
      </c>
      <c r="S13" s="1171">
        <v>11769000</v>
      </c>
      <c r="T13" s="1171">
        <v>34519000</v>
      </c>
      <c r="U13" s="1171">
        <v>9550000</v>
      </c>
      <c r="V13" s="1171">
        <v>7085000</v>
      </c>
      <c r="W13" s="1171">
        <v>22867000</v>
      </c>
      <c r="X13" s="1171">
        <v>10530000</v>
      </c>
      <c r="Y13" s="1171">
        <v>6183000</v>
      </c>
      <c r="Z13" s="1171">
        <v>25661000</v>
      </c>
      <c r="AA13" s="1171">
        <v>26023000</v>
      </c>
      <c r="AB13" s="1171">
        <v>10347000</v>
      </c>
      <c r="AC13" s="1171">
        <v>8385000</v>
      </c>
      <c r="AD13" s="1171">
        <v>99351000</v>
      </c>
      <c r="AE13" s="1171">
        <v>3046000</v>
      </c>
      <c r="AG13" s="1171">
        <v>10945000</v>
      </c>
      <c r="AH13" s="1171">
        <v>6986000</v>
      </c>
      <c r="AI13" s="1171">
        <v>69676000</v>
      </c>
      <c r="AJ13" s="1171">
        <v>7238000</v>
      </c>
      <c r="AK13" s="1171">
        <v>11655000</v>
      </c>
      <c r="AL13" s="1171">
        <v>11900000</v>
      </c>
      <c r="AM13" s="1171">
        <v>2756000</v>
      </c>
      <c r="AN13" s="1171">
        <v>1959000</v>
      </c>
      <c r="AO13" s="1171">
        <v>2711000</v>
      </c>
      <c r="AQ13" s="1171">
        <v>6217000</v>
      </c>
      <c r="AR13" s="1171">
        <v>8646000</v>
      </c>
      <c r="AS13" s="1171">
        <v>3521000</v>
      </c>
      <c r="AT13" s="1171">
        <v>3254000</v>
      </c>
      <c r="AU13" s="1171">
        <v>4370000</v>
      </c>
      <c r="AY13" s="1171">
        <v>644115000</v>
      </c>
    </row>
    <row r="14" spans="1:51">
      <c r="A14" s="1169" t="s">
        <v>810</v>
      </c>
      <c r="B14" s="1171">
        <v>9587000</v>
      </c>
      <c r="C14" s="1171">
        <v>648000</v>
      </c>
      <c r="D14" s="1171">
        <v>16327000</v>
      </c>
      <c r="E14" s="1171">
        <v>14008000</v>
      </c>
      <c r="F14" s="1171">
        <v>5092000</v>
      </c>
      <c r="G14" s="1171">
        <v>5493000</v>
      </c>
      <c r="H14" s="1171">
        <v>12785000</v>
      </c>
      <c r="I14" s="1171">
        <v>9352000</v>
      </c>
      <c r="J14" s="1171">
        <v>16329000</v>
      </c>
      <c r="K14" s="1171">
        <v>2549000</v>
      </c>
      <c r="L14" s="1171">
        <v>2447000</v>
      </c>
      <c r="M14" s="1171">
        <v>37284000</v>
      </c>
      <c r="O14" s="1171">
        <v>8285000</v>
      </c>
      <c r="P14" s="1171">
        <v>29034000</v>
      </c>
      <c r="Q14" s="1171">
        <v>8739000</v>
      </c>
      <c r="R14" s="1171">
        <v>25973000</v>
      </c>
      <c r="S14" s="1171">
        <v>11165000</v>
      </c>
      <c r="T14" s="1171">
        <v>33679000</v>
      </c>
      <c r="U14" s="1171">
        <v>9085000</v>
      </c>
      <c r="V14" s="1171">
        <v>7183000</v>
      </c>
      <c r="W14" s="1171">
        <v>21630000</v>
      </c>
      <c r="X14" s="1171">
        <v>9782000</v>
      </c>
      <c r="Y14" s="1171">
        <v>5872000</v>
      </c>
      <c r="Z14" s="1171">
        <v>24622000</v>
      </c>
      <c r="AA14" s="1171">
        <v>25009000</v>
      </c>
      <c r="AB14" s="1171">
        <v>9744000</v>
      </c>
      <c r="AC14" s="1171">
        <v>7870000</v>
      </c>
      <c r="AD14" s="1171">
        <v>91675000</v>
      </c>
      <c r="AE14" s="1171">
        <v>2811000</v>
      </c>
      <c r="AG14" s="1171">
        <v>10301000</v>
      </c>
      <c r="AH14" s="1171">
        <v>7816000</v>
      </c>
      <c r="AI14" s="1171">
        <v>64369000</v>
      </c>
      <c r="AJ14" s="1171">
        <v>6750000</v>
      </c>
      <c r="AK14" s="1171">
        <v>10976000</v>
      </c>
      <c r="AL14" s="1171">
        <v>10980000</v>
      </c>
      <c r="AM14" s="1171">
        <v>2923000</v>
      </c>
      <c r="AN14" s="1171">
        <v>1808000</v>
      </c>
      <c r="AO14" s="1171">
        <v>2502000</v>
      </c>
      <c r="AQ14" s="1171">
        <v>5773000</v>
      </c>
      <c r="AR14" s="1171">
        <v>8158000</v>
      </c>
      <c r="AS14" s="1171">
        <v>3348000</v>
      </c>
      <c r="AT14" s="1171">
        <v>3047000</v>
      </c>
      <c r="AU14" s="1171">
        <v>4033000</v>
      </c>
      <c r="AY14" s="1171">
        <v>606843000</v>
      </c>
    </row>
    <row r="15" spans="1:51">
      <c r="A15" s="1169" t="s">
        <v>801</v>
      </c>
      <c r="B15" s="1171">
        <v>164000</v>
      </c>
      <c r="D15" s="1171">
        <v>1527000</v>
      </c>
      <c r="E15" s="1171">
        <v>4896000</v>
      </c>
      <c r="F15" s="1171">
        <v>2823000</v>
      </c>
      <c r="G15" s="1171">
        <v>2550000</v>
      </c>
      <c r="H15" s="1171">
        <v>4923000</v>
      </c>
      <c r="I15" s="1171">
        <v>5101000</v>
      </c>
      <c r="J15" s="1171">
        <v>7228000</v>
      </c>
      <c r="L15" s="1171">
        <v>7952000</v>
      </c>
      <c r="M15" s="1171">
        <v>13024000</v>
      </c>
      <c r="O15" s="1171">
        <v>1855000</v>
      </c>
      <c r="P15" s="1171">
        <v>13656000</v>
      </c>
      <c r="R15" s="1171">
        <v>4069000</v>
      </c>
      <c r="S15" s="1171">
        <v>6264000</v>
      </c>
      <c r="T15" s="1171">
        <v>1241000</v>
      </c>
      <c r="U15" s="1171">
        <v>273000</v>
      </c>
      <c r="V15" s="1171">
        <v>2100000</v>
      </c>
      <c r="W15" s="1171">
        <v>5960000</v>
      </c>
      <c r="X15" s="1171">
        <v>3523000</v>
      </c>
      <c r="Y15" s="1171">
        <v>1296000</v>
      </c>
      <c r="Z15" s="1171">
        <v>3832000</v>
      </c>
      <c r="AA15" s="1171">
        <v>3355000</v>
      </c>
      <c r="AB15" s="1171">
        <v>1814000</v>
      </c>
      <c r="AC15" s="1171">
        <v>2509000</v>
      </c>
      <c r="AE15" s="1171">
        <v>82000</v>
      </c>
      <c r="AG15" s="1171">
        <v>4119000</v>
      </c>
      <c r="AH15" s="1171">
        <v>1609000</v>
      </c>
      <c r="AJ15" s="1171">
        <v>0</v>
      </c>
      <c r="AK15" s="1171">
        <v>2046000</v>
      </c>
      <c r="AL15" s="1171">
        <v>1282000</v>
      </c>
      <c r="AM15" s="1171">
        <v>2087000</v>
      </c>
      <c r="AQ15" s="1171">
        <v>2468000</v>
      </c>
      <c r="AR15" s="1171">
        <v>3561000</v>
      </c>
      <c r="AS15" s="1171">
        <v>886000</v>
      </c>
      <c r="AT15" s="1171">
        <v>1623000</v>
      </c>
      <c r="AU15" s="1171">
        <v>1923000</v>
      </c>
      <c r="AY15" s="1171">
        <v>123621000</v>
      </c>
    </row>
    <row r="16" spans="1:51">
      <c r="A16" s="1169" t="s">
        <v>811</v>
      </c>
      <c r="B16" s="1171">
        <v>11450000</v>
      </c>
      <c r="C16" s="1171">
        <v>738000</v>
      </c>
      <c r="D16" s="1171">
        <v>19475000</v>
      </c>
      <c r="E16" s="1171">
        <v>16658000</v>
      </c>
      <c r="F16" s="1171">
        <v>6020000</v>
      </c>
      <c r="G16" s="1171">
        <v>6495000</v>
      </c>
      <c r="H16" s="1171">
        <v>15044000</v>
      </c>
      <c r="I16" s="1171">
        <v>10946000</v>
      </c>
      <c r="J16" s="1171">
        <v>19250000</v>
      </c>
      <c r="K16" s="1171">
        <v>3010000</v>
      </c>
      <c r="L16" s="1171">
        <v>2943000</v>
      </c>
      <c r="M16" s="1171">
        <v>44113000</v>
      </c>
      <c r="O16" s="1171">
        <v>9755000</v>
      </c>
      <c r="P16" s="1171">
        <v>34139000</v>
      </c>
      <c r="Q16" s="1171">
        <v>10389000</v>
      </c>
      <c r="R16" s="1171">
        <v>30750000</v>
      </c>
      <c r="S16" s="1171">
        <v>13091000</v>
      </c>
      <c r="T16" s="1171">
        <v>38485000</v>
      </c>
      <c r="U16" s="1171">
        <v>10626000</v>
      </c>
      <c r="V16" s="1171">
        <v>7924000</v>
      </c>
      <c r="W16" s="1171">
        <v>25431000</v>
      </c>
      <c r="X16" s="1171">
        <v>11694000</v>
      </c>
      <c r="Y16" s="1171">
        <v>6879000</v>
      </c>
      <c r="Z16" s="1171">
        <v>28571000</v>
      </c>
      <c r="AA16" s="1171">
        <v>28978000</v>
      </c>
      <c r="AB16" s="1171">
        <v>11503000</v>
      </c>
      <c r="AC16" s="1171">
        <v>9320000</v>
      </c>
      <c r="AD16" s="1171">
        <v>110280000</v>
      </c>
      <c r="AE16" s="1171">
        <v>3381000</v>
      </c>
      <c r="AG16" s="1171">
        <v>12167000</v>
      </c>
      <c r="AH16" s="1171">
        <v>7881000</v>
      </c>
      <c r="AI16" s="1171">
        <v>77347000</v>
      </c>
      <c r="AJ16" s="1171">
        <v>8040000</v>
      </c>
      <c r="AK16" s="1171">
        <v>12958000</v>
      </c>
      <c r="AL16" s="1171">
        <v>13209000</v>
      </c>
      <c r="AM16" s="1171">
        <v>3095000</v>
      </c>
      <c r="AN16" s="1171">
        <v>2175000</v>
      </c>
      <c r="AO16" s="1171">
        <v>3009000</v>
      </c>
      <c r="AQ16" s="1171">
        <v>6904000</v>
      </c>
      <c r="AR16" s="1171">
        <v>9614000</v>
      </c>
      <c r="AS16" s="1171">
        <v>3917000</v>
      </c>
      <c r="AT16" s="1171">
        <v>3616000</v>
      </c>
      <c r="AU16" s="1171">
        <v>4851000</v>
      </c>
      <c r="AY16" s="1171">
        <v>716121000</v>
      </c>
    </row>
    <row r="17" spans="1:51">
      <c r="A17" s="1169" t="s">
        <v>812</v>
      </c>
      <c r="B17" s="1171">
        <v>619000</v>
      </c>
      <c r="C17" s="1171">
        <v>40000</v>
      </c>
      <c r="D17" s="1171">
        <v>1053000</v>
      </c>
      <c r="E17" s="1171">
        <v>900000</v>
      </c>
      <c r="F17" s="1171">
        <v>325000</v>
      </c>
      <c r="G17" s="1171">
        <v>351000</v>
      </c>
      <c r="H17" s="1171">
        <v>813000</v>
      </c>
      <c r="I17" s="1171">
        <v>592000</v>
      </c>
      <c r="J17" s="1171">
        <v>1041000</v>
      </c>
      <c r="K17" s="1171">
        <v>163000</v>
      </c>
      <c r="L17" s="1171">
        <v>159000</v>
      </c>
      <c r="M17" s="1171">
        <v>2384000</v>
      </c>
      <c r="O17" s="1171">
        <v>527000</v>
      </c>
      <c r="P17" s="1171">
        <v>1845000</v>
      </c>
      <c r="Q17" s="1171">
        <v>562000</v>
      </c>
      <c r="R17" s="1171">
        <v>1662000</v>
      </c>
      <c r="S17" s="1171">
        <v>708000</v>
      </c>
      <c r="T17" s="1171">
        <v>2080000</v>
      </c>
      <c r="U17" s="1171">
        <v>574000</v>
      </c>
      <c r="V17" s="1171">
        <v>428000</v>
      </c>
      <c r="W17" s="1171">
        <v>1375000</v>
      </c>
      <c r="X17" s="1171">
        <v>632000</v>
      </c>
      <c r="Y17" s="1171">
        <v>372000</v>
      </c>
      <c r="Z17" s="1171">
        <v>1544000</v>
      </c>
      <c r="AA17" s="1171">
        <v>1566000</v>
      </c>
      <c r="AB17" s="1171">
        <v>622000</v>
      </c>
      <c r="AC17" s="1171">
        <v>504000</v>
      </c>
      <c r="AD17" s="1171">
        <v>5961000</v>
      </c>
      <c r="AE17" s="1171">
        <v>183000</v>
      </c>
      <c r="AG17" s="1171">
        <v>658000</v>
      </c>
      <c r="AH17" s="1171">
        <v>426000</v>
      </c>
      <c r="AI17" s="1171">
        <v>4181000</v>
      </c>
      <c r="AJ17" s="1171">
        <v>435000</v>
      </c>
      <c r="AK17" s="1171">
        <v>700000</v>
      </c>
      <c r="AL17" s="1171">
        <v>714000</v>
      </c>
      <c r="AM17" s="1171">
        <v>167000</v>
      </c>
      <c r="AN17" s="1171">
        <v>118000</v>
      </c>
      <c r="AO17" s="1171">
        <v>163000</v>
      </c>
      <c r="AQ17" s="1171">
        <v>373000</v>
      </c>
      <c r="AR17" s="1171">
        <v>520000</v>
      </c>
      <c r="AS17" s="1171">
        <v>212000</v>
      </c>
      <c r="AT17" s="1171">
        <v>195000</v>
      </c>
      <c r="AU17" s="1171">
        <v>262000</v>
      </c>
      <c r="AY17" s="1171">
        <v>38709000</v>
      </c>
    </row>
    <row r="18" spans="1:51">
      <c r="A18" s="1169" t="s">
        <v>813</v>
      </c>
      <c r="B18" s="1171">
        <v>1857000</v>
      </c>
      <c r="C18" s="1171">
        <v>120000</v>
      </c>
      <c r="D18" s="1171">
        <v>3158000</v>
      </c>
      <c r="E18" s="1171">
        <v>2701000</v>
      </c>
      <c r="F18" s="1171">
        <v>976000</v>
      </c>
      <c r="G18" s="1171">
        <v>1053000</v>
      </c>
      <c r="H18" s="1171">
        <v>2440000</v>
      </c>
      <c r="I18" s="1171">
        <v>1775000</v>
      </c>
      <c r="J18" s="1171">
        <v>3122000</v>
      </c>
      <c r="K18" s="1171">
        <v>488000</v>
      </c>
      <c r="L18" s="1171">
        <v>477000</v>
      </c>
      <c r="M18" s="1171">
        <v>7153000</v>
      </c>
      <c r="O18" s="1171">
        <v>1582000</v>
      </c>
      <c r="P18" s="1171">
        <v>5536000</v>
      </c>
      <c r="Q18" s="1171">
        <v>1685000</v>
      </c>
      <c r="R18" s="1171">
        <v>4986000</v>
      </c>
      <c r="S18" s="1171">
        <v>2123000</v>
      </c>
      <c r="T18" s="1171">
        <v>6241000</v>
      </c>
      <c r="U18" s="1171">
        <v>1723000</v>
      </c>
      <c r="V18" s="1171">
        <v>1285000</v>
      </c>
      <c r="W18" s="1171">
        <v>4124000</v>
      </c>
      <c r="X18" s="1171">
        <v>1896000</v>
      </c>
      <c r="Y18" s="1171">
        <v>1115000</v>
      </c>
      <c r="Z18" s="1171">
        <v>4633000</v>
      </c>
      <c r="AA18" s="1171">
        <v>4699000</v>
      </c>
      <c r="AB18" s="1171">
        <v>1865000</v>
      </c>
      <c r="AC18" s="1171">
        <v>1511000</v>
      </c>
      <c r="AD18" s="1171">
        <v>17883000</v>
      </c>
      <c r="AE18" s="1171">
        <v>548000</v>
      </c>
      <c r="AG18" s="1171">
        <v>1973000</v>
      </c>
      <c r="AH18" s="1171">
        <v>1278000</v>
      </c>
      <c r="AI18" s="1171">
        <v>12543000</v>
      </c>
      <c r="AJ18" s="1171">
        <v>1304000</v>
      </c>
      <c r="AK18" s="1171">
        <v>2101000</v>
      </c>
      <c r="AL18" s="1171">
        <v>2142000</v>
      </c>
      <c r="AM18" s="1171">
        <v>502000</v>
      </c>
      <c r="AN18" s="1171">
        <v>353000</v>
      </c>
      <c r="AO18" s="1171">
        <v>488000</v>
      </c>
      <c r="AQ18" s="1171">
        <v>1120000</v>
      </c>
      <c r="AR18" s="1171">
        <v>1559000</v>
      </c>
      <c r="AS18" s="1171">
        <v>635000</v>
      </c>
      <c r="AT18" s="1171">
        <v>586000</v>
      </c>
      <c r="AU18" s="1171">
        <v>787000</v>
      </c>
      <c r="AY18" s="1171">
        <v>116126000</v>
      </c>
    </row>
    <row r="19" spans="1:51">
      <c r="A19" s="1169" t="s">
        <v>814</v>
      </c>
      <c r="B19" s="1171">
        <v>6189000</v>
      </c>
      <c r="C19" s="1171">
        <v>399000</v>
      </c>
      <c r="D19" s="1171">
        <v>10527000</v>
      </c>
      <c r="E19" s="1171">
        <v>9004000</v>
      </c>
      <c r="F19" s="1171">
        <v>3254000</v>
      </c>
      <c r="G19" s="1171">
        <v>3511000</v>
      </c>
      <c r="H19" s="1171">
        <v>8132000</v>
      </c>
      <c r="I19" s="1171">
        <v>5917000</v>
      </c>
      <c r="J19" s="1171">
        <v>10405000</v>
      </c>
      <c r="K19" s="1171">
        <v>1627000</v>
      </c>
      <c r="L19" s="1171">
        <v>1591000</v>
      </c>
      <c r="M19" s="1171">
        <v>23845000</v>
      </c>
      <c r="O19" s="1171">
        <v>5273000</v>
      </c>
      <c r="P19" s="1171">
        <v>18454000</v>
      </c>
      <c r="Q19" s="1171">
        <v>5616000</v>
      </c>
      <c r="R19" s="1171">
        <v>16622000</v>
      </c>
      <c r="S19" s="1171">
        <v>7076000</v>
      </c>
      <c r="T19" s="1171">
        <v>20803000</v>
      </c>
      <c r="U19" s="1171">
        <v>5744000</v>
      </c>
      <c r="V19" s="1171">
        <v>4283000</v>
      </c>
      <c r="W19" s="1171">
        <v>13747000</v>
      </c>
      <c r="X19" s="1171">
        <v>6321000</v>
      </c>
      <c r="Y19" s="1171">
        <v>3718000</v>
      </c>
      <c r="Z19" s="1171">
        <v>15444000</v>
      </c>
      <c r="AA19" s="1171">
        <v>15664000</v>
      </c>
      <c r="AB19" s="1171">
        <v>6218000</v>
      </c>
      <c r="AC19" s="1171">
        <v>5038000</v>
      </c>
      <c r="AD19" s="1171">
        <v>59611000</v>
      </c>
      <c r="AE19" s="1171">
        <v>1828000</v>
      </c>
      <c r="AG19" s="1171">
        <v>6577000</v>
      </c>
      <c r="AH19" s="1171">
        <v>4260000</v>
      </c>
      <c r="AI19" s="1171">
        <v>41809000</v>
      </c>
      <c r="AJ19" s="1171">
        <v>4346000</v>
      </c>
      <c r="AK19" s="1171">
        <v>7004000</v>
      </c>
      <c r="AL19" s="1171">
        <v>7140000</v>
      </c>
      <c r="AM19" s="1171">
        <v>1673000</v>
      </c>
      <c r="AN19" s="1171">
        <v>1176000</v>
      </c>
      <c r="AO19" s="1171">
        <v>1627000</v>
      </c>
      <c r="AQ19" s="1171">
        <v>3732000</v>
      </c>
      <c r="AR19" s="1171">
        <v>5197000</v>
      </c>
      <c r="AS19" s="1171">
        <v>2117000</v>
      </c>
      <c r="AT19" s="1171">
        <v>1954000</v>
      </c>
      <c r="AU19" s="1171">
        <v>2622000</v>
      </c>
      <c r="AY19" s="1171">
        <v>387095000</v>
      </c>
    </row>
    <row r="20" spans="1:51">
      <c r="A20" s="1169" t="s">
        <v>815</v>
      </c>
      <c r="B20" s="1171">
        <v>619000</v>
      </c>
      <c r="C20" s="1171">
        <v>40000</v>
      </c>
      <c r="D20" s="1171">
        <v>1053000</v>
      </c>
      <c r="E20" s="1171">
        <v>900000</v>
      </c>
      <c r="F20" s="1171">
        <v>325000</v>
      </c>
      <c r="G20" s="1171">
        <v>351000</v>
      </c>
      <c r="H20" s="1171">
        <v>813000</v>
      </c>
      <c r="I20" s="1171">
        <v>592000</v>
      </c>
      <c r="J20" s="1171">
        <v>1041000</v>
      </c>
      <c r="K20" s="1171">
        <v>163000</v>
      </c>
      <c r="L20" s="1171">
        <v>159000</v>
      </c>
      <c r="M20" s="1171">
        <v>2384000</v>
      </c>
      <c r="O20" s="1171">
        <v>527000</v>
      </c>
      <c r="P20" s="1171">
        <v>1845000</v>
      </c>
      <c r="Q20" s="1171">
        <v>562000</v>
      </c>
      <c r="R20" s="1171">
        <v>1662000</v>
      </c>
      <c r="S20" s="1171">
        <v>708000</v>
      </c>
      <c r="T20" s="1171">
        <v>2080000</v>
      </c>
      <c r="U20" s="1171">
        <v>574000</v>
      </c>
      <c r="V20" s="1171">
        <v>428000</v>
      </c>
      <c r="W20" s="1171">
        <v>1375000</v>
      </c>
      <c r="X20" s="1171">
        <v>632000</v>
      </c>
      <c r="Y20" s="1171">
        <v>372000</v>
      </c>
      <c r="Z20" s="1171">
        <v>1544000</v>
      </c>
      <c r="AA20" s="1171">
        <v>1566000</v>
      </c>
      <c r="AB20" s="1171">
        <v>622000</v>
      </c>
      <c r="AC20" s="1171">
        <v>504000</v>
      </c>
      <c r="AD20" s="1171">
        <v>5961000</v>
      </c>
      <c r="AE20" s="1171">
        <v>183000</v>
      </c>
      <c r="AG20" s="1171">
        <v>658000</v>
      </c>
      <c r="AH20" s="1171">
        <v>426000</v>
      </c>
      <c r="AI20" s="1171">
        <v>4181000</v>
      </c>
      <c r="AJ20" s="1171">
        <v>435000</v>
      </c>
      <c r="AK20" s="1171">
        <v>700000</v>
      </c>
      <c r="AL20" s="1171">
        <v>714000</v>
      </c>
      <c r="AM20" s="1171">
        <v>167000</v>
      </c>
      <c r="AN20" s="1171">
        <v>118000</v>
      </c>
      <c r="AO20" s="1171">
        <v>163000</v>
      </c>
      <c r="AQ20" s="1171">
        <v>373000</v>
      </c>
      <c r="AR20" s="1171">
        <v>520000</v>
      </c>
      <c r="AS20" s="1171">
        <v>212000</v>
      </c>
      <c r="AT20" s="1171">
        <v>195000</v>
      </c>
      <c r="AU20" s="1171">
        <v>262000</v>
      </c>
      <c r="AY20" s="1171">
        <v>38709000</v>
      </c>
    </row>
    <row r="21" spans="1:51">
      <c r="A21" s="1169" t="s">
        <v>816</v>
      </c>
      <c r="B21" s="1171">
        <v>6709000</v>
      </c>
      <c r="C21" s="1171">
        <v>432000</v>
      </c>
      <c r="D21" s="1171">
        <v>11411000</v>
      </c>
      <c r="E21" s="1171">
        <v>9761000</v>
      </c>
      <c r="F21" s="1171">
        <v>3528000</v>
      </c>
      <c r="G21" s="1171">
        <v>3806000</v>
      </c>
      <c r="H21" s="1171">
        <v>8815000</v>
      </c>
      <c r="I21" s="1171">
        <v>6414000</v>
      </c>
      <c r="J21" s="1171">
        <v>11279000</v>
      </c>
      <c r="K21" s="1171">
        <v>1764000</v>
      </c>
      <c r="L21" s="1171">
        <v>1725000</v>
      </c>
      <c r="M21" s="1171">
        <v>25848000</v>
      </c>
      <c r="O21" s="1171">
        <v>5716000</v>
      </c>
      <c r="P21" s="1171">
        <v>20004000</v>
      </c>
      <c r="Q21" s="1171">
        <v>6088000</v>
      </c>
      <c r="R21" s="1171">
        <v>18018000</v>
      </c>
      <c r="S21" s="1171">
        <v>7671000</v>
      </c>
      <c r="T21" s="1171">
        <v>22550000</v>
      </c>
      <c r="U21" s="1171">
        <v>6226000</v>
      </c>
      <c r="V21" s="1171">
        <v>4643000</v>
      </c>
      <c r="W21" s="1171">
        <v>14901000</v>
      </c>
      <c r="X21" s="1171">
        <v>6852000</v>
      </c>
      <c r="Y21" s="1171">
        <v>4030000</v>
      </c>
      <c r="Z21" s="1171">
        <v>16741000</v>
      </c>
      <c r="AA21" s="1171">
        <v>16979000</v>
      </c>
      <c r="AB21" s="1171">
        <v>6740000</v>
      </c>
      <c r="AC21" s="1171">
        <v>5461000</v>
      </c>
      <c r="AD21" s="1171">
        <v>64618000</v>
      </c>
      <c r="AE21" s="1171">
        <v>1981000</v>
      </c>
      <c r="AG21" s="1171">
        <v>7129000</v>
      </c>
      <c r="AH21" s="1171">
        <v>4618000</v>
      </c>
      <c r="AI21" s="1171">
        <v>45321000</v>
      </c>
      <c r="AJ21" s="1171">
        <v>4711000</v>
      </c>
      <c r="AK21" s="1171">
        <v>7592000</v>
      </c>
      <c r="AL21" s="1171">
        <v>7740000</v>
      </c>
      <c r="AM21" s="1171">
        <v>1813000</v>
      </c>
      <c r="AN21" s="1171">
        <v>1274000</v>
      </c>
      <c r="AO21" s="1171">
        <v>1763000</v>
      </c>
      <c r="AQ21" s="1171">
        <v>4045000</v>
      </c>
      <c r="AR21" s="1171">
        <v>5633000</v>
      </c>
      <c r="AS21" s="1171">
        <v>2295000</v>
      </c>
      <c r="AT21" s="1171">
        <v>2118000</v>
      </c>
      <c r="AU21" s="1171">
        <v>2842000</v>
      </c>
      <c r="AY21" s="1171">
        <v>419605000</v>
      </c>
    </row>
    <row r="22" spans="1:51">
      <c r="A22" s="1169" t="s">
        <v>817</v>
      </c>
      <c r="B22" s="1171">
        <v>3714000</v>
      </c>
      <c r="C22" s="1171">
        <v>240000</v>
      </c>
      <c r="D22" s="1171">
        <v>6316000</v>
      </c>
      <c r="E22" s="1171">
        <v>5403000</v>
      </c>
      <c r="F22" s="1171">
        <v>1953000</v>
      </c>
      <c r="G22" s="1171">
        <v>2106000</v>
      </c>
      <c r="H22" s="1171">
        <v>4879000</v>
      </c>
      <c r="I22" s="1171">
        <v>3550000</v>
      </c>
      <c r="J22" s="1171">
        <v>6243000</v>
      </c>
      <c r="K22" s="1171">
        <v>976000</v>
      </c>
      <c r="L22" s="1171">
        <v>954000</v>
      </c>
      <c r="M22" s="1171">
        <v>14307000</v>
      </c>
      <c r="O22" s="1171">
        <v>3164000</v>
      </c>
      <c r="P22" s="1171">
        <v>11072000</v>
      </c>
      <c r="Q22" s="1171">
        <v>3369000</v>
      </c>
      <c r="R22" s="1171">
        <v>9973000</v>
      </c>
      <c r="S22" s="1171">
        <v>4246000</v>
      </c>
      <c r="T22" s="1171">
        <v>12482000</v>
      </c>
      <c r="U22" s="1171">
        <v>3447000</v>
      </c>
      <c r="V22" s="1171">
        <v>2570000</v>
      </c>
      <c r="W22" s="1171">
        <v>8248000</v>
      </c>
      <c r="X22" s="1171">
        <v>3793000</v>
      </c>
      <c r="Y22" s="1171">
        <v>2231000</v>
      </c>
      <c r="Z22" s="1171">
        <v>9266000</v>
      </c>
      <c r="AA22" s="1171">
        <v>9398000</v>
      </c>
      <c r="AB22" s="1171">
        <v>3731000</v>
      </c>
      <c r="AC22" s="1171">
        <v>3023000</v>
      </c>
      <c r="AD22" s="1171">
        <v>35766000</v>
      </c>
      <c r="AE22" s="1171">
        <v>1097000</v>
      </c>
      <c r="AG22" s="1171">
        <v>3946000</v>
      </c>
      <c r="AH22" s="1171">
        <v>2556000</v>
      </c>
      <c r="AI22" s="1171">
        <v>25086000</v>
      </c>
      <c r="AJ22" s="1171">
        <v>2607000</v>
      </c>
      <c r="AK22" s="1171">
        <v>4203000</v>
      </c>
      <c r="AL22" s="1171">
        <v>4284000</v>
      </c>
      <c r="AM22" s="1171">
        <v>1004000</v>
      </c>
      <c r="AN22" s="1171">
        <v>705000</v>
      </c>
      <c r="AO22" s="1171">
        <v>976000</v>
      </c>
      <c r="AQ22" s="1171">
        <v>2239000</v>
      </c>
      <c r="AR22" s="1171">
        <v>3118000</v>
      </c>
      <c r="AS22" s="1171">
        <v>1270000</v>
      </c>
      <c r="AT22" s="1171">
        <v>1173000</v>
      </c>
      <c r="AU22" s="1171">
        <v>1573000</v>
      </c>
      <c r="AY22" s="1171">
        <v>232257000</v>
      </c>
    </row>
    <row r="23" spans="1:51">
      <c r="A23" s="1169" t="s">
        <v>818</v>
      </c>
      <c r="B23" s="1171">
        <v>1857000</v>
      </c>
      <c r="C23" s="1171">
        <v>120000</v>
      </c>
      <c r="D23" s="1171">
        <v>3158000</v>
      </c>
      <c r="E23" s="1171">
        <v>2701000</v>
      </c>
      <c r="F23" s="1171">
        <v>976000</v>
      </c>
      <c r="G23" s="1171">
        <v>1053000</v>
      </c>
      <c r="H23" s="1171">
        <v>2440000</v>
      </c>
      <c r="I23" s="1171">
        <v>1775000</v>
      </c>
      <c r="J23" s="1171">
        <v>3122000</v>
      </c>
      <c r="K23" s="1171">
        <v>488000</v>
      </c>
      <c r="L23" s="1171">
        <v>477000</v>
      </c>
      <c r="M23" s="1171">
        <v>7153000</v>
      </c>
      <c r="O23" s="1171">
        <v>1582000</v>
      </c>
      <c r="P23" s="1171">
        <v>5536000</v>
      </c>
      <c r="Q23" s="1171">
        <v>1685000</v>
      </c>
      <c r="R23" s="1171">
        <v>4986000</v>
      </c>
      <c r="S23" s="1171">
        <v>2123000</v>
      </c>
      <c r="T23" s="1171">
        <v>6241000</v>
      </c>
      <c r="U23" s="1171">
        <v>1723000</v>
      </c>
      <c r="V23" s="1171">
        <v>1285000</v>
      </c>
      <c r="W23" s="1171">
        <v>4124000</v>
      </c>
      <c r="X23" s="1171">
        <v>1896000</v>
      </c>
      <c r="Y23" s="1171">
        <v>1115000</v>
      </c>
      <c r="Z23" s="1171">
        <v>4633000</v>
      </c>
      <c r="AA23" s="1171">
        <v>4699000</v>
      </c>
      <c r="AB23" s="1171">
        <v>1865000</v>
      </c>
      <c r="AC23" s="1171">
        <v>1511000</v>
      </c>
      <c r="AD23" s="1171">
        <v>17883000</v>
      </c>
      <c r="AE23" s="1171">
        <v>548000</v>
      </c>
      <c r="AG23" s="1171">
        <v>1973000</v>
      </c>
      <c r="AH23" s="1171">
        <v>1278000</v>
      </c>
      <c r="AI23" s="1171">
        <v>12543000</v>
      </c>
      <c r="AJ23" s="1171">
        <v>1304000</v>
      </c>
      <c r="AK23" s="1171">
        <v>2101000</v>
      </c>
      <c r="AL23" s="1171">
        <v>2142000</v>
      </c>
      <c r="AM23" s="1171">
        <v>502000</v>
      </c>
      <c r="AN23" s="1171">
        <v>353000</v>
      </c>
      <c r="AO23" s="1171">
        <v>488000</v>
      </c>
      <c r="AQ23" s="1171">
        <v>1120000</v>
      </c>
      <c r="AR23" s="1171">
        <v>1559000</v>
      </c>
      <c r="AS23" s="1171">
        <v>635000</v>
      </c>
      <c r="AT23" s="1171">
        <v>586000</v>
      </c>
      <c r="AU23" s="1171">
        <v>787000</v>
      </c>
      <c r="AY23" s="1171">
        <v>116126000</v>
      </c>
    </row>
    <row r="24" spans="1:51">
      <c r="A24" s="1169" t="s">
        <v>819</v>
      </c>
      <c r="B24" s="1171">
        <v>11246000</v>
      </c>
      <c r="C24" s="1171">
        <v>994000</v>
      </c>
      <c r="D24" s="1171">
        <v>3978000</v>
      </c>
      <c r="E24" s="1171">
        <v>2250000</v>
      </c>
      <c r="F24" s="1171">
        <v>356000</v>
      </c>
      <c r="G24" s="1171">
        <v>1282000</v>
      </c>
      <c r="H24" s="1171">
        <v>5706000</v>
      </c>
      <c r="I24" s="1171">
        <v>2440000</v>
      </c>
      <c r="J24" s="1171">
        <v>10516000</v>
      </c>
      <c r="K24" s="1171">
        <v>5736000</v>
      </c>
      <c r="L24" s="1171">
        <v>2712000</v>
      </c>
      <c r="M24" s="1171">
        <v>18028000</v>
      </c>
      <c r="O24" s="1171">
        <v>23808000</v>
      </c>
      <c r="P24" s="1171">
        <v>7654000</v>
      </c>
      <c r="Q24" s="1171">
        <v>66278000</v>
      </c>
      <c r="R24" s="1171">
        <v>8364000</v>
      </c>
      <c r="Y24" s="1171">
        <v>41714000</v>
      </c>
      <c r="AH24" s="1171">
        <v>6094000</v>
      </c>
      <c r="AM24" s="1171">
        <v>5158000</v>
      </c>
      <c r="AV24" s="1171">
        <v>22850000</v>
      </c>
      <c r="AW24" s="1171">
        <v>13420000</v>
      </c>
      <c r="AY24" s="1171">
        <v>260584000</v>
      </c>
    </row>
    <row r="25" spans="1:51">
      <c r="A25" s="1169" t="s">
        <v>820</v>
      </c>
      <c r="O25" s="1171">
        <v>50000000</v>
      </c>
      <c r="Q25" s="1171">
        <v>60000000</v>
      </c>
      <c r="AI25" s="1171">
        <v>64000000</v>
      </c>
      <c r="AJ25" s="1171">
        <v>1000000</v>
      </c>
      <c r="AY25" s="1171">
        <v>175000000</v>
      </c>
    </row>
    <row r="26" spans="1:51">
      <c r="A26" s="1169" t="s">
        <v>1062</v>
      </c>
      <c r="M26" s="1171">
        <v>53555000</v>
      </c>
      <c r="AY26" s="1171">
        <v>53555000</v>
      </c>
    </row>
    <row r="27" spans="1:51">
      <c r="A27" s="1169" t="s">
        <v>821</v>
      </c>
      <c r="B27" s="1171">
        <v>486000</v>
      </c>
      <c r="C27" s="1171">
        <v>42000</v>
      </c>
      <c r="D27" s="1171">
        <v>172000</v>
      </c>
      <c r="E27" s="1171">
        <v>98000</v>
      </c>
      <c r="F27" s="1171">
        <v>16000</v>
      </c>
      <c r="G27" s="1171">
        <v>56000</v>
      </c>
      <c r="H27" s="1171">
        <v>246000</v>
      </c>
      <c r="I27" s="1171">
        <v>106000</v>
      </c>
      <c r="J27" s="1171">
        <v>454000</v>
      </c>
      <c r="K27" s="1171">
        <v>248000</v>
      </c>
      <c r="L27" s="1171">
        <v>118000</v>
      </c>
      <c r="M27" s="1171">
        <v>778000</v>
      </c>
      <c r="O27" s="1171">
        <v>294000</v>
      </c>
      <c r="P27" s="1171">
        <v>330000</v>
      </c>
      <c r="Q27" s="1171">
        <v>2860000</v>
      </c>
      <c r="R27" s="1171">
        <v>360000</v>
      </c>
      <c r="Y27" s="1171">
        <v>1800000</v>
      </c>
      <c r="AH27" s="1171">
        <v>262000</v>
      </c>
      <c r="AM27" s="1171">
        <v>222000</v>
      </c>
      <c r="AV27" s="1171">
        <v>986000</v>
      </c>
      <c r="AW27" s="1171">
        <v>578000</v>
      </c>
      <c r="AY27" s="1171">
        <v>10512000</v>
      </c>
    </row>
    <row r="28" spans="1:51">
      <c r="A28" s="1169" t="s">
        <v>822</v>
      </c>
      <c r="B28" s="1171">
        <v>1520000</v>
      </c>
      <c r="C28" s="1171">
        <v>134000</v>
      </c>
      <c r="D28" s="1171">
        <v>538000</v>
      </c>
      <c r="E28" s="1171">
        <v>304000</v>
      </c>
      <c r="F28" s="1171">
        <v>48000</v>
      </c>
      <c r="G28" s="1171">
        <v>174000</v>
      </c>
      <c r="H28" s="1171">
        <v>772000</v>
      </c>
      <c r="I28" s="1171">
        <v>330000</v>
      </c>
      <c r="J28" s="1171">
        <v>1422000</v>
      </c>
      <c r="K28" s="1171">
        <v>776000</v>
      </c>
      <c r="L28" s="1171">
        <v>366000</v>
      </c>
      <c r="M28" s="1171">
        <v>2436000</v>
      </c>
      <c r="O28" s="1171">
        <v>920000</v>
      </c>
      <c r="P28" s="1171">
        <v>1034000</v>
      </c>
      <c r="Q28" s="1171">
        <v>8956000</v>
      </c>
      <c r="R28" s="1171">
        <v>1130000</v>
      </c>
      <c r="Y28" s="1171">
        <v>5636000</v>
      </c>
      <c r="AH28" s="1171">
        <v>824000</v>
      </c>
      <c r="AM28" s="1171">
        <v>698000</v>
      </c>
      <c r="AV28" s="1171">
        <v>3090000</v>
      </c>
      <c r="AW28" s="1171">
        <v>1814000</v>
      </c>
      <c r="AY28" s="1171">
        <v>32922000</v>
      </c>
    </row>
    <row r="29" spans="1:51">
      <c r="A29" s="1169" t="s">
        <v>823</v>
      </c>
      <c r="O29" s="1171">
        <v>3500000</v>
      </c>
      <c r="AY29" s="1171">
        <v>3500000</v>
      </c>
    </row>
    <row r="30" spans="1:51">
      <c r="A30" s="1169" t="s">
        <v>980</v>
      </c>
      <c r="B30" s="1171">
        <v>790000</v>
      </c>
      <c r="C30" s="1171">
        <v>70000</v>
      </c>
      <c r="D30" s="1171">
        <v>280000</v>
      </c>
      <c r="E30" s="1171">
        <v>158000</v>
      </c>
      <c r="F30" s="1171">
        <v>26000</v>
      </c>
      <c r="G30" s="1171">
        <v>90000</v>
      </c>
      <c r="H30" s="1171">
        <v>400000</v>
      </c>
      <c r="I30" s="1171">
        <v>172000</v>
      </c>
      <c r="J30" s="1171">
        <v>738000</v>
      </c>
      <c r="K30" s="1171">
        <v>402000</v>
      </c>
      <c r="L30" s="1171">
        <v>190000</v>
      </c>
      <c r="M30" s="1171">
        <v>26466000</v>
      </c>
      <c r="O30" s="1171">
        <v>478000</v>
      </c>
      <c r="P30" s="1171">
        <v>538000</v>
      </c>
      <c r="Q30" s="1171">
        <v>4650000</v>
      </c>
      <c r="R30" s="1171">
        <v>3486000</v>
      </c>
      <c r="S30" s="1171">
        <v>1580000</v>
      </c>
      <c r="T30" s="1171">
        <v>8200000</v>
      </c>
      <c r="U30" s="1171">
        <v>1100000</v>
      </c>
      <c r="Y30" s="1171">
        <v>2928000</v>
      </c>
      <c r="Z30" s="1171">
        <v>5035000</v>
      </c>
      <c r="AA30" s="1171">
        <v>8567000</v>
      </c>
      <c r="AD30" s="1171">
        <v>13200000</v>
      </c>
      <c r="AH30" s="1171">
        <v>428000</v>
      </c>
      <c r="AI30" s="1171">
        <v>4200000</v>
      </c>
      <c r="AJ30" s="1171">
        <v>850000</v>
      </c>
      <c r="AL30" s="1171">
        <v>1075000</v>
      </c>
      <c r="AM30" s="1171">
        <v>362000</v>
      </c>
      <c r="AV30" s="1171">
        <v>1604000</v>
      </c>
      <c r="AW30" s="1171">
        <v>2242000</v>
      </c>
      <c r="AY30" s="1171">
        <v>90305000</v>
      </c>
    </row>
    <row r="31" spans="1:51">
      <c r="A31" s="1169" t="s">
        <v>824</v>
      </c>
      <c r="L31" s="1171">
        <v>481380</v>
      </c>
      <c r="O31" s="1171">
        <v>300000</v>
      </c>
      <c r="AY31" s="1171">
        <v>781380</v>
      </c>
    </row>
    <row r="32" spans="1:51">
      <c r="A32" s="1169" t="s">
        <v>825</v>
      </c>
      <c r="N32" s="1171">
        <v>1337000</v>
      </c>
      <c r="AY32" s="1171">
        <v>1337000</v>
      </c>
    </row>
    <row r="33" spans="1:51">
      <c r="A33" s="1169" t="s">
        <v>826</v>
      </c>
      <c r="AV33" s="1171">
        <v>40000000</v>
      </c>
      <c r="AY33" s="1171">
        <v>40000000</v>
      </c>
    </row>
    <row r="34" spans="1:51">
      <c r="A34" s="1169" t="s">
        <v>827</v>
      </c>
      <c r="B34" s="1171">
        <v>50000</v>
      </c>
      <c r="R34" s="1171">
        <v>3000000</v>
      </c>
      <c r="T34" s="1171">
        <v>500000</v>
      </c>
      <c r="U34" s="1171">
        <v>1500000</v>
      </c>
      <c r="AI34" s="1171">
        <v>4000000</v>
      </c>
      <c r="AW34" s="1171">
        <v>3500000</v>
      </c>
      <c r="AY34" s="1171">
        <v>12550000</v>
      </c>
    </row>
    <row r="35" spans="1:51">
      <c r="A35" s="1169" t="s">
        <v>828</v>
      </c>
      <c r="O35" s="1171">
        <v>250000</v>
      </c>
      <c r="AD35" s="1171">
        <v>150000</v>
      </c>
      <c r="AI35" s="1171">
        <v>250000</v>
      </c>
      <c r="AY35" s="1171">
        <v>650000</v>
      </c>
    </row>
    <row r="36" spans="1:51">
      <c r="A36" s="1169" t="s">
        <v>829</v>
      </c>
      <c r="H36" s="1171">
        <v>300000</v>
      </c>
      <c r="N36" s="1171">
        <v>22000000</v>
      </c>
      <c r="AY36" s="1171">
        <v>22300000</v>
      </c>
    </row>
    <row r="37" spans="1:51">
      <c r="A37" s="1169" t="s">
        <v>830</v>
      </c>
      <c r="K37" s="1171">
        <v>8000000</v>
      </c>
      <c r="M37" s="1171">
        <v>70180908</v>
      </c>
      <c r="AW37" s="1171">
        <v>300000</v>
      </c>
      <c r="AY37" s="1171">
        <v>78480908</v>
      </c>
    </row>
    <row r="38" spans="1:51">
      <c r="A38" s="1169" t="s">
        <v>831</v>
      </c>
      <c r="D38" s="1171">
        <v>5500000</v>
      </c>
      <c r="AY38" s="1171">
        <v>5500000</v>
      </c>
    </row>
    <row r="39" spans="1:51">
      <c r="A39" s="1169" t="s">
        <v>832</v>
      </c>
      <c r="D39" s="1171">
        <v>7000000</v>
      </c>
      <c r="H39" s="1171">
        <v>18500000</v>
      </c>
      <c r="J39" s="1171">
        <v>20000000</v>
      </c>
      <c r="AY39" s="1171">
        <v>45500000</v>
      </c>
    </row>
    <row r="40" spans="1:51">
      <c r="A40" s="1169" t="s">
        <v>1069</v>
      </c>
      <c r="M40" s="1171">
        <v>7000000</v>
      </c>
      <c r="AD40" s="1171">
        <v>71000000</v>
      </c>
      <c r="AY40" s="1171">
        <v>78000000</v>
      </c>
    </row>
    <row r="41" spans="1:51">
      <c r="A41" s="1169" t="s">
        <v>833</v>
      </c>
      <c r="B41" s="1171">
        <v>3720000</v>
      </c>
      <c r="C41" s="1171">
        <v>330000</v>
      </c>
      <c r="D41" s="1171">
        <v>1316000</v>
      </c>
      <c r="E41" s="1171">
        <v>744000</v>
      </c>
      <c r="F41" s="1171">
        <v>118000</v>
      </c>
      <c r="G41" s="1171">
        <v>424000</v>
      </c>
      <c r="H41" s="1171">
        <v>1886000</v>
      </c>
      <c r="I41" s="1171">
        <v>806000</v>
      </c>
      <c r="J41" s="1171">
        <v>3478000</v>
      </c>
      <c r="K41" s="1171">
        <v>2298000</v>
      </c>
      <c r="L41" s="1171">
        <v>898000</v>
      </c>
      <c r="M41" s="1171">
        <v>5962000</v>
      </c>
      <c r="O41" s="1171">
        <v>13272000</v>
      </c>
      <c r="P41" s="1171">
        <v>2532000</v>
      </c>
      <c r="Q41" s="1171">
        <v>21925000</v>
      </c>
      <c r="R41" s="1171">
        <v>4466000</v>
      </c>
      <c r="U41" s="1171">
        <v>900000</v>
      </c>
      <c r="Y41" s="1171">
        <v>13822000</v>
      </c>
      <c r="AD41" s="1171">
        <v>400000</v>
      </c>
      <c r="AH41" s="1171">
        <v>2016000</v>
      </c>
      <c r="AI41" s="1171">
        <v>1915000</v>
      </c>
      <c r="AJ41" s="1171">
        <v>1000000</v>
      </c>
      <c r="AM41" s="1171">
        <v>1706000</v>
      </c>
      <c r="AV41" s="1171">
        <v>7557000</v>
      </c>
      <c r="AW41" s="1171">
        <v>4439000</v>
      </c>
      <c r="AY41" s="1171">
        <v>97930000</v>
      </c>
    </row>
    <row r="42" spans="1:51">
      <c r="A42" s="1169" t="s">
        <v>983</v>
      </c>
      <c r="B42" s="1171">
        <v>60000000</v>
      </c>
      <c r="E42" s="1171">
        <v>71000000</v>
      </c>
      <c r="J42" s="1171">
        <v>75000000</v>
      </c>
      <c r="M42" s="1171">
        <v>120000000</v>
      </c>
      <c r="O42" s="1171">
        <v>1750000</v>
      </c>
      <c r="P42" s="1171">
        <v>50800000</v>
      </c>
      <c r="Q42" s="1171">
        <v>85000000</v>
      </c>
      <c r="W42" s="1171">
        <v>16000000</v>
      </c>
      <c r="AH42" s="1171">
        <v>50000000</v>
      </c>
      <c r="AV42" s="1171">
        <v>88000000</v>
      </c>
      <c r="AW42" s="1171">
        <v>28500000</v>
      </c>
      <c r="AY42" s="1171">
        <v>646050000</v>
      </c>
    </row>
    <row r="43" spans="1:51">
      <c r="A43" s="1169" t="s">
        <v>835</v>
      </c>
      <c r="D43" s="1171">
        <v>80000</v>
      </c>
      <c r="O43" s="1171">
        <v>800000</v>
      </c>
      <c r="R43" s="1171">
        <v>1000000</v>
      </c>
      <c r="T43" s="1171">
        <v>1500000</v>
      </c>
      <c r="U43" s="1171">
        <v>500000</v>
      </c>
      <c r="Z43" s="1171">
        <v>745000</v>
      </c>
      <c r="AA43" s="1171">
        <v>210000</v>
      </c>
      <c r="AD43" s="1171">
        <v>600000</v>
      </c>
      <c r="AI43" s="1171">
        <v>350000</v>
      </c>
      <c r="AJ43" s="1171">
        <v>250000</v>
      </c>
      <c r="AL43" s="1171">
        <v>500000</v>
      </c>
      <c r="AY43" s="1171">
        <v>6535000</v>
      </c>
    </row>
    <row r="44" spans="1:51">
      <c r="A44" s="1169" t="s">
        <v>836</v>
      </c>
      <c r="D44" s="1171">
        <v>200000</v>
      </c>
      <c r="L44" s="1171">
        <v>1500000</v>
      </c>
      <c r="O44" s="1171">
        <v>3000000</v>
      </c>
      <c r="R44" s="1171">
        <v>127558816</v>
      </c>
      <c r="S44" s="1171">
        <v>250000</v>
      </c>
      <c r="T44" s="1171">
        <v>96000000</v>
      </c>
      <c r="U44" s="1171">
        <v>50000000</v>
      </c>
      <c r="Z44" s="1171">
        <v>14000000</v>
      </c>
      <c r="AA44" s="1171">
        <v>50000000</v>
      </c>
      <c r="AC44" s="1171">
        <v>80000</v>
      </c>
      <c r="AD44" s="1171">
        <v>67500000</v>
      </c>
      <c r="AI44" s="1171">
        <v>266000000</v>
      </c>
      <c r="AJ44" s="1171">
        <v>55000000</v>
      </c>
      <c r="AL44" s="1171">
        <v>27500000</v>
      </c>
      <c r="AW44" s="1171">
        <v>500000</v>
      </c>
      <c r="AY44" s="1171">
        <v>759088816</v>
      </c>
    </row>
    <row r="45" spans="1:51">
      <c r="A45" s="1169" t="s">
        <v>837</v>
      </c>
      <c r="B45" s="1171">
        <v>9000000</v>
      </c>
      <c r="D45" s="1171">
        <v>1500000</v>
      </c>
      <c r="P45" s="1171">
        <v>500000</v>
      </c>
      <c r="R45" s="1171">
        <v>450000</v>
      </c>
      <c r="S45" s="1171">
        <v>350000</v>
      </c>
      <c r="Z45" s="1171">
        <v>1200000</v>
      </c>
      <c r="AD45" s="1171">
        <v>1500000</v>
      </c>
      <c r="AG45" s="1171">
        <v>1500000</v>
      </c>
      <c r="AY45" s="1171">
        <v>16000000</v>
      </c>
    </row>
    <row r="46" spans="1:51">
      <c r="A46" s="1169" t="s">
        <v>838</v>
      </c>
      <c r="B46" s="1171">
        <v>8000000</v>
      </c>
      <c r="D46" s="1171">
        <v>2000000</v>
      </c>
      <c r="P46" s="1171">
        <v>500000</v>
      </c>
      <c r="R46" s="1171">
        <v>800000</v>
      </c>
      <c r="S46" s="1171">
        <v>450000</v>
      </c>
      <c r="Z46" s="1171">
        <v>1400000</v>
      </c>
      <c r="AD46" s="1171">
        <v>1950000</v>
      </c>
      <c r="AG46" s="1171">
        <v>3500000</v>
      </c>
      <c r="AY46" s="1171">
        <v>18600000</v>
      </c>
    </row>
    <row r="47" spans="1:51">
      <c r="A47" s="1169" t="s">
        <v>985</v>
      </c>
      <c r="B47" s="1171">
        <v>1153000</v>
      </c>
      <c r="C47" s="1171">
        <v>74000</v>
      </c>
      <c r="D47" s="1171">
        <v>1187000</v>
      </c>
      <c r="E47" s="1171">
        <v>1677000</v>
      </c>
      <c r="F47" s="1171">
        <v>605000</v>
      </c>
      <c r="G47" s="1171">
        <v>654000</v>
      </c>
      <c r="H47" s="1171">
        <v>1515000</v>
      </c>
      <c r="I47" s="1171">
        <v>1102000</v>
      </c>
      <c r="J47" s="1171">
        <v>3437000</v>
      </c>
      <c r="K47" s="1171">
        <v>303000</v>
      </c>
      <c r="L47" s="1171">
        <v>296000</v>
      </c>
      <c r="M47" s="1171">
        <v>5691000</v>
      </c>
      <c r="O47" s="1171">
        <v>4072476.19</v>
      </c>
      <c r="P47" s="1171">
        <v>3438000</v>
      </c>
      <c r="Q47" s="1171">
        <v>17271000</v>
      </c>
      <c r="R47" s="1171">
        <v>3096000</v>
      </c>
      <c r="S47" s="1171">
        <v>1318000</v>
      </c>
      <c r="T47" s="1171">
        <v>3874000</v>
      </c>
      <c r="U47" s="1171">
        <v>1070000</v>
      </c>
      <c r="V47" s="1171">
        <v>798000</v>
      </c>
      <c r="W47" s="1171">
        <v>2561000</v>
      </c>
      <c r="X47" s="1171">
        <v>1177000</v>
      </c>
      <c r="Y47" s="1171">
        <v>25886000</v>
      </c>
      <c r="Z47" s="1171">
        <v>2754000</v>
      </c>
      <c r="AA47" s="1171">
        <v>2928000</v>
      </c>
      <c r="AB47" s="1171">
        <v>1158000</v>
      </c>
      <c r="AC47" s="1171">
        <v>938000</v>
      </c>
      <c r="AD47" s="1171">
        <v>31106000</v>
      </c>
      <c r="AE47" s="1171">
        <v>340000</v>
      </c>
      <c r="AG47" s="1171">
        <v>1004000</v>
      </c>
      <c r="AH47" s="1171">
        <v>793000</v>
      </c>
      <c r="AI47" s="1171">
        <v>17159000</v>
      </c>
      <c r="AJ47" s="1171">
        <v>6411000</v>
      </c>
      <c r="AK47" s="1171">
        <v>1305000</v>
      </c>
      <c r="AL47" s="1171">
        <v>2227000</v>
      </c>
      <c r="AM47" s="1171">
        <v>311000</v>
      </c>
      <c r="AN47" s="1171">
        <v>219000</v>
      </c>
      <c r="AO47" s="1171">
        <v>303000</v>
      </c>
      <c r="AQ47" s="1171">
        <v>695000</v>
      </c>
      <c r="AR47" s="1171">
        <v>968000</v>
      </c>
      <c r="AS47" s="1171">
        <v>394000</v>
      </c>
      <c r="AT47" s="1171">
        <v>364000</v>
      </c>
      <c r="AU47" s="1171">
        <v>489000</v>
      </c>
      <c r="AY47" s="1171">
        <v>154121476.19</v>
      </c>
    </row>
    <row r="48" spans="1:51">
      <c r="A48" s="1169" t="s">
        <v>839</v>
      </c>
      <c r="B48" s="1171">
        <v>1000000</v>
      </c>
      <c r="D48" s="1171">
        <v>6000000</v>
      </c>
      <c r="J48" s="1171">
        <v>100000000</v>
      </c>
      <c r="P48" s="1171">
        <v>600000</v>
      </c>
      <c r="R48" s="1171">
        <v>8500000</v>
      </c>
      <c r="S48" s="1171">
        <v>1000000</v>
      </c>
      <c r="T48" s="1171">
        <v>5500000</v>
      </c>
      <c r="U48" s="1171">
        <v>4500000</v>
      </c>
      <c r="Z48" s="1171">
        <v>825000</v>
      </c>
      <c r="AA48" s="1171">
        <v>6000000</v>
      </c>
      <c r="AD48" s="1171">
        <v>19220000</v>
      </c>
      <c r="AI48" s="1171">
        <v>57600000</v>
      </c>
      <c r="AJ48" s="1171">
        <v>1230000</v>
      </c>
      <c r="AW48" s="1171">
        <v>5600000</v>
      </c>
      <c r="AY48" s="1171">
        <v>217575000</v>
      </c>
    </row>
    <row r="49" spans="1:51">
      <c r="A49" s="1169" t="s">
        <v>1042</v>
      </c>
      <c r="J49" s="1171">
        <v>1000000</v>
      </c>
      <c r="AY49" s="1171">
        <v>1000000</v>
      </c>
    </row>
    <row r="50" spans="1:51">
      <c r="A50" s="1169" t="s">
        <v>840</v>
      </c>
      <c r="B50" s="1171">
        <v>150000</v>
      </c>
      <c r="AY50" s="1171">
        <v>150000</v>
      </c>
    </row>
    <row r="51" spans="1:51">
      <c r="A51" s="1169" t="s">
        <v>841</v>
      </c>
      <c r="O51" s="1171">
        <v>500000</v>
      </c>
      <c r="AY51" s="1171">
        <v>500000</v>
      </c>
    </row>
    <row r="52" spans="1:51">
      <c r="A52" s="1169" t="s">
        <v>842</v>
      </c>
      <c r="O52" s="1171">
        <v>5000000</v>
      </c>
      <c r="Q52" s="1171">
        <v>28500000</v>
      </c>
      <c r="Y52" s="1171">
        <v>40367000</v>
      </c>
      <c r="Z52" s="1171">
        <v>3000000</v>
      </c>
      <c r="AD52" s="1171">
        <v>21150000</v>
      </c>
      <c r="AI52" s="1171">
        <v>20195000</v>
      </c>
      <c r="AJ52" s="1171">
        <v>1967000</v>
      </c>
      <c r="AL52" s="1171">
        <v>1667000</v>
      </c>
      <c r="AY52" s="1171">
        <v>121846000</v>
      </c>
    </row>
    <row r="53" spans="1:51">
      <c r="A53" s="1169" t="s">
        <v>843</v>
      </c>
      <c r="O53" s="1171">
        <v>1900000</v>
      </c>
      <c r="AY53" s="1171">
        <v>1900000</v>
      </c>
    </row>
    <row r="54" spans="1:51">
      <c r="A54" s="1169" t="s">
        <v>844</v>
      </c>
      <c r="J54" s="1171">
        <v>100000</v>
      </c>
      <c r="K54" s="1171">
        <v>1000000</v>
      </c>
      <c r="O54" s="1171">
        <v>3000000</v>
      </c>
      <c r="AY54" s="1171">
        <v>4100000</v>
      </c>
    </row>
    <row r="55" spans="1:51">
      <c r="A55" s="1169" t="s">
        <v>845</v>
      </c>
      <c r="D55" s="1171">
        <v>4000000</v>
      </c>
      <c r="M55" s="1171">
        <v>35000000</v>
      </c>
      <c r="W55" s="1171">
        <v>1000000</v>
      </c>
      <c r="AY55" s="1171">
        <v>40000000</v>
      </c>
    </row>
    <row r="56" spans="1:51">
      <c r="A56" s="1169" t="s">
        <v>846</v>
      </c>
      <c r="O56" s="1171">
        <v>300000</v>
      </c>
      <c r="AY56" s="1171">
        <v>300000</v>
      </c>
    </row>
    <row r="57" spans="1:51">
      <c r="A57" s="1169" t="s">
        <v>847</v>
      </c>
      <c r="H57" s="1171">
        <v>30000</v>
      </c>
      <c r="O57" s="1171">
        <v>1960000</v>
      </c>
      <c r="AD57" s="1171">
        <v>350000</v>
      </c>
      <c r="AY57" s="1171">
        <v>2340000</v>
      </c>
    </row>
    <row r="58" spans="1:51">
      <c r="A58" s="1169" t="s">
        <v>848</v>
      </c>
      <c r="H58" s="1171">
        <v>500000</v>
      </c>
      <c r="AY58" s="1171">
        <v>500000</v>
      </c>
    </row>
    <row r="59" spans="1:51">
      <c r="A59" s="1169" t="s">
        <v>849</v>
      </c>
      <c r="O59" s="1171">
        <v>3600000</v>
      </c>
      <c r="AY59" s="1171">
        <v>3600000</v>
      </c>
    </row>
    <row r="60" spans="1:51">
      <c r="A60" s="1169" t="s">
        <v>850</v>
      </c>
      <c r="O60" s="1171">
        <v>200000</v>
      </c>
      <c r="AD60" s="1171">
        <v>30000</v>
      </c>
      <c r="AI60" s="1171">
        <v>60000</v>
      </c>
      <c r="AY60" s="1171">
        <v>290000</v>
      </c>
    </row>
    <row r="61" spans="1:51">
      <c r="A61" s="1169" t="s">
        <v>851</v>
      </c>
      <c r="O61" s="1171">
        <v>53005686</v>
      </c>
      <c r="Q61" s="1171">
        <v>50449750</v>
      </c>
      <c r="Y61" s="1171">
        <v>31500138</v>
      </c>
      <c r="AD61" s="1171">
        <v>27000634</v>
      </c>
      <c r="AI61" s="1171">
        <v>24000002</v>
      </c>
      <c r="AJ61" s="1171">
        <v>5000572</v>
      </c>
      <c r="AL61" s="1171">
        <v>3000632</v>
      </c>
      <c r="AY61" s="1171">
        <v>193957414</v>
      </c>
    </row>
    <row r="62" spans="1:51">
      <c r="A62" s="1169" t="s">
        <v>852</v>
      </c>
      <c r="L62" s="1171">
        <v>249850</v>
      </c>
      <c r="O62" s="1171">
        <v>301290</v>
      </c>
      <c r="Q62" s="1171">
        <v>1509300</v>
      </c>
      <c r="Y62" s="1171">
        <v>2261490</v>
      </c>
      <c r="AD62" s="1171">
        <v>1628250</v>
      </c>
      <c r="AI62" s="1171">
        <v>4383750</v>
      </c>
      <c r="AY62" s="1171">
        <v>10333930</v>
      </c>
    </row>
    <row r="63" spans="1:51">
      <c r="A63" s="1169" t="s">
        <v>853</v>
      </c>
      <c r="N63" s="1171">
        <v>5238100</v>
      </c>
      <c r="AI63" s="1171">
        <v>62000</v>
      </c>
      <c r="AY63" s="1171">
        <v>5300100</v>
      </c>
    </row>
    <row r="64" spans="1:51">
      <c r="A64" s="1169" t="s">
        <v>854</v>
      </c>
      <c r="O64" s="1171">
        <v>571000</v>
      </c>
      <c r="Q64" s="1171">
        <v>1000000</v>
      </c>
      <c r="Y64" s="1171">
        <v>759320</v>
      </c>
      <c r="AD64" s="1171">
        <v>500000</v>
      </c>
      <c r="AI64" s="1171">
        <v>1000000</v>
      </c>
      <c r="AY64" s="1171">
        <v>3830320</v>
      </c>
    </row>
    <row r="65" spans="1:51">
      <c r="A65" s="1169" t="s">
        <v>855</v>
      </c>
      <c r="B65" s="1171">
        <v>51000</v>
      </c>
      <c r="J65" s="1171">
        <v>95000</v>
      </c>
      <c r="L65" s="1171">
        <v>32000</v>
      </c>
      <c r="N65" s="1171">
        <v>552100</v>
      </c>
      <c r="O65" s="1171">
        <v>3982955</v>
      </c>
      <c r="Q65" s="1171">
        <v>4403100</v>
      </c>
      <c r="Y65" s="1171">
        <v>5126420</v>
      </c>
      <c r="AD65" s="1171">
        <v>1558350</v>
      </c>
      <c r="AI65" s="1171">
        <v>1824990</v>
      </c>
      <c r="AJ65" s="1171">
        <v>2042835</v>
      </c>
      <c r="AL65" s="1171">
        <v>280525</v>
      </c>
      <c r="AY65" s="1171">
        <v>19949275</v>
      </c>
    </row>
    <row r="66" spans="1:51">
      <c r="A66" s="1169" t="s">
        <v>856</v>
      </c>
      <c r="N66" s="1171">
        <v>2137268</v>
      </c>
      <c r="O66" s="1171">
        <v>21600</v>
      </c>
      <c r="AD66" s="1171">
        <v>1853460</v>
      </c>
      <c r="AI66" s="1171">
        <v>1494300</v>
      </c>
      <c r="AW66" s="1171">
        <v>400000</v>
      </c>
      <c r="AY66" s="1171">
        <v>5906628</v>
      </c>
    </row>
    <row r="67" spans="1:51">
      <c r="A67" s="1169" t="s">
        <v>857</v>
      </c>
      <c r="K67" s="1171">
        <v>7800</v>
      </c>
      <c r="L67" s="1171">
        <v>869500</v>
      </c>
      <c r="AD67" s="1171">
        <v>52500</v>
      </c>
      <c r="AY67" s="1171">
        <v>929800</v>
      </c>
    </row>
    <row r="68" spans="1:51">
      <c r="A68" s="1169" t="s">
        <v>858</v>
      </c>
      <c r="K68" s="1171">
        <v>62000</v>
      </c>
      <c r="N68" s="1171">
        <v>1692310</v>
      </c>
      <c r="O68" s="1171">
        <v>2048138</v>
      </c>
      <c r="AD68" s="1171">
        <v>340730</v>
      </c>
      <c r="AI68" s="1171">
        <v>741880</v>
      </c>
      <c r="AW68" s="1171">
        <v>400000</v>
      </c>
      <c r="AY68" s="1171">
        <v>5285058</v>
      </c>
    </row>
    <row r="69" spans="1:51">
      <c r="A69" s="1169" t="s">
        <v>859</v>
      </c>
      <c r="J69" s="1171">
        <v>459900</v>
      </c>
      <c r="K69" s="1171">
        <v>51000</v>
      </c>
      <c r="O69" s="1171">
        <v>3593728</v>
      </c>
      <c r="Q69" s="1171">
        <v>8642710</v>
      </c>
      <c r="Y69" s="1171">
        <v>3291170</v>
      </c>
      <c r="AD69" s="1171">
        <v>7933810</v>
      </c>
      <c r="AI69" s="1171">
        <v>12167925</v>
      </c>
      <c r="AY69" s="1171">
        <v>36140243</v>
      </c>
    </row>
    <row r="70" spans="1:51">
      <c r="A70" s="1169" t="s">
        <v>860</v>
      </c>
      <c r="O70" s="1171">
        <v>3579856</v>
      </c>
      <c r="Q70" s="1171">
        <v>53200</v>
      </c>
      <c r="AI70" s="1171">
        <v>66500</v>
      </c>
      <c r="AY70" s="1171">
        <v>3699556</v>
      </c>
    </row>
    <row r="71" spans="1:51">
      <c r="A71" s="1169" t="s">
        <v>861</v>
      </c>
      <c r="O71" s="1171">
        <v>82000</v>
      </c>
      <c r="AY71" s="1171">
        <v>82000</v>
      </c>
    </row>
    <row r="72" spans="1:51">
      <c r="A72" s="1169" t="s">
        <v>862</v>
      </c>
      <c r="J72" s="1171">
        <v>1055100</v>
      </c>
      <c r="O72" s="1171">
        <v>35600</v>
      </c>
      <c r="Q72" s="1171">
        <v>258100</v>
      </c>
      <c r="AD72" s="1171">
        <v>284800</v>
      </c>
      <c r="AI72" s="1171">
        <v>311500</v>
      </c>
      <c r="AW72" s="1171">
        <v>200000</v>
      </c>
      <c r="AY72" s="1171">
        <v>2145100</v>
      </c>
    </row>
    <row r="73" spans="1:51">
      <c r="A73" s="1169" t="s">
        <v>1332</v>
      </c>
      <c r="N73" s="1171">
        <v>2196631825.3100014</v>
      </c>
      <c r="AY73" s="1171">
        <v>2196631825.3100014</v>
      </c>
    </row>
    <row r="74" spans="1:51">
      <c r="A74" s="1169" t="s">
        <v>896</v>
      </c>
      <c r="AD74" s="1171">
        <v>300000000</v>
      </c>
      <c r="AY74" s="1171">
        <v>300000000</v>
      </c>
    </row>
    <row r="75" spans="1:51">
      <c r="A75" s="1169" t="s">
        <v>863</v>
      </c>
      <c r="M75" s="1171">
        <v>5643999.6600000001</v>
      </c>
      <c r="P75" s="1171">
        <v>3000000</v>
      </c>
      <c r="AI75" s="1171">
        <v>44660000</v>
      </c>
      <c r="AY75" s="1171">
        <v>53303999.659999996</v>
      </c>
    </row>
    <row r="76" spans="1:51">
      <c r="A76" s="1169" t="s">
        <v>864</v>
      </c>
      <c r="M76" s="1171">
        <v>90361718.75</v>
      </c>
      <c r="AD76" s="1171">
        <v>213866468.75</v>
      </c>
      <c r="AI76" s="1171">
        <v>124162500</v>
      </c>
      <c r="AL76" s="1171">
        <v>1108593.75</v>
      </c>
      <c r="AY76" s="1171">
        <v>429499281.25</v>
      </c>
    </row>
    <row r="77" spans="1:51">
      <c r="A77" s="1169" t="s">
        <v>1077</v>
      </c>
      <c r="M77" s="1171">
        <v>497144880.05000001</v>
      </c>
      <c r="AD77" s="1171">
        <v>19339073</v>
      </c>
      <c r="AY77" s="1171">
        <v>516483953.05000001</v>
      </c>
    </row>
    <row r="78" spans="1:51">
      <c r="A78" s="1169" t="s">
        <v>865</v>
      </c>
      <c r="H78" s="1171">
        <v>60000000</v>
      </c>
      <c r="AF78" s="1171">
        <v>411894272</v>
      </c>
      <c r="AY78" s="1171">
        <v>471894272</v>
      </c>
    </row>
    <row r="79" spans="1:51">
      <c r="A79" s="1169" t="s">
        <v>892</v>
      </c>
      <c r="J79" s="1171">
        <v>7000000</v>
      </c>
      <c r="AY79" s="1171">
        <v>7000000</v>
      </c>
    </row>
    <row r="80" spans="1:51">
      <c r="A80" s="1169" t="s">
        <v>866</v>
      </c>
      <c r="J80" s="1171">
        <v>70000000</v>
      </c>
      <c r="R80" s="1171">
        <v>2500000</v>
      </c>
      <c r="T80" s="1171">
        <v>1500000</v>
      </c>
      <c r="U80" s="1171">
        <v>1200000</v>
      </c>
      <c r="Z80" s="1171">
        <v>1400000</v>
      </c>
      <c r="AA80" s="1171">
        <v>1400000</v>
      </c>
      <c r="AB80" s="1171">
        <v>1400000</v>
      </c>
      <c r="AD80" s="1171">
        <v>2000000</v>
      </c>
      <c r="AI80" s="1171">
        <v>3000000</v>
      </c>
      <c r="AJ80" s="1171">
        <v>49025000</v>
      </c>
      <c r="AL80" s="1171">
        <v>1400000</v>
      </c>
      <c r="AY80" s="1171">
        <v>134825000</v>
      </c>
    </row>
    <row r="81" spans="1:51">
      <c r="A81" s="1169" t="s">
        <v>1292</v>
      </c>
      <c r="AP81" s="1171">
        <v>40000000</v>
      </c>
      <c r="AY81" s="1171">
        <v>40000000</v>
      </c>
    </row>
    <row r="82" spans="1:51">
      <c r="A82" s="1169" t="s">
        <v>867</v>
      </c>
      <c r="AV82" s="1171">
        <v>1200000</v>
      </c>
      <c r="AY82" s="1171">
        <v>1200000</v>
      </c>
    </row>
    <row r="83" spans="1:51">
      <c r="A83" s="1169" t="s">
        <v>1480</v>
      </c>
    </row>
    <row r="84" spans="1:51">
      <c r="A84" s="1169" t="s">
        <v>1481</v>
      </c>
      <c r="B84" s="1171">
        <v>264270000</v>
      </c>
      <c r="C84" s="1171">
        <v>25911000</v>
      </c>
      <c r="D84" s="1171">
        <v>317972000</v>
      </c>
      <c r="E84" s="1171">
        <v>319339000</v>
      </c>
      <c r="F84" s="1171">
        <v>89028000</v>
      </c>
      <c r="G84" s="1171">
        <v>97469000</v>
      </c>
      <c r="H84" s="1171">
        <v>309398000</v>
      </c>
      <c r="I84" s="1171">
        <v>164695000</v>
      </c>
      <c r="J84" s="1171">
        <v>582795180.07999992</v>
      </c>
      <c r="K84" s="1171">
        <v>62812800</v>
      </c>
      <c r="L84" s="1171">
        <v>50667730</v>
      </c>
      <c r="M84" s="1171">
        <v>1582016506.4599998</v>
      </c>
      <c r="N84" s="1171">
        <v>2229588603.3100014</v>
      </c>
      <c r="O84" s="1171">
        <v>328479329.19</v>
      </c>
      <c r="P84" s="1171">
        <v>569125000</v>
      </c>
      <c r="Q84" s="1171">
        <v>513380160</v>
      </c>
      <c r="R84" s="1171">
        <v>613465816</v>
      </c>
      <c r="S84" s="1171">
        <v>195993000</v>
      </c>
      <c r="T84" s="1171">
        <v>678613000</v>
      </c>
      <c r="U84" s="1171">
        <v>215833000</v>
      </c>
      <c r="V84" s="1171">
        <v>116391000</v>
      </c>
      <c r="W84" s="1171">
        <v>390683000</v>
      </c>
      <c r="X84" s="1171">
        <v>171849000</v>
      </c>
      <c r="Y84" s="1171">
        <v>275469538</v>
      </c>
      <c r="Z84" s="1171">
        <v>447269000</v>
      </c>
      <c r="AA84" s="1171">
        <v>491948000</v>
      </c>
      <c r="AB84" s="1171">
        <v>170426000</v>
      </c>
      <c r="AC84" s="1171">
        <v>137030000</v>
      </c>
      <c r="AD84" s="1171">
        <v>2414040075.75</v>
      </c>
      <c r="AE84" s="1171">
        <v>49687000</v>
      </c>
      <c r="AF84" s="1171">
        <v>411894272</v>
      </c>
      <c r="AG84" s="1171">
        <v>183569184</v>
      </c>
      <c r="AH84" s="1171">
        <v>175328000</v>
      </c>
      <c r="AI84" s="1171">
        <v>1782479347</v>
      </c>
      <c r="AJ84" s="1171">
        <v>241118407</v>
      </c>
      <c r="AK84" s="1171">
        <v>190401000</v>
      </c>
      <c r="AL84" s="1171">
        <v>231538750.75</v>
      </c>
      <c r="AM84" s="1171">
        <v>53592000</v>
      </c>
      <c r="AN84" s="1171">
        <v>31960000</v>
      </c>
      <c r="AO84" s="1171">
        <v>44226000</v>
      </c>
      <c r="AP84" s="1171">
        <v>40000000</v>
      </c>
      <c r="AQ84" s="1171">
        <v>101456000</v>
      </c>
      <c r="AR84" s="1171">
        <v>141267000</v>
      </c>
      <c r="AS84" s="1171">
        <v>57555000</v>
      </c>
      <c r="AT84" s="1171">
        <v>53129000</v>
      </c>
      <c r="AU84" s="1171">
        <v>71289000</v>
      </c>
      <c r="AV84" s="1171">
        <v>165287000</v>
      </c>
      <c r="AW84" s="1171">
        <v>61893000</v>
      </c>
      <c r="AY84" s="1171">
        <v>17913627699.540001</v>
      </c>
    </row>
    <row r="86" spans="1:51">
      <c r="AT86" s="1171">
        <f>+GETPIVOTDATA("PO_2025",$A$3,"SUBPROPCESO","SP404 Biblioteca")+GETPIVOTDATA("PO_2025",$A$3,"SUBPROPCESO","SP402 Centro de Información")+GETPIVOTDATA("PO_2025",$A$3,"SUBPROPCESO","SP401 Área de Información y Divulgación Estadística")+GETPIVOTDATA("PO_2025",$A$3,"SUBPROPCESO","SP406 Servicios de Información")</f>
        <v>461139000</v>
      </c>
      <c r="AW86" s="1171">
        <f>+GETPIVOTDATA("PO_2025",$A$3,"SUBPROPCESO","SP407 Difusión y Promoción")+GETPIVOTDATA("PO_2025",$A$3,"SUBPROPCESO","SP406 Servicios de Información")+GETPIVOTDATA("PO_2025",$A$3,"SUBPROPCESO","SP405 Comunicación")+GETPIVOTDATA("PO_2025",$A$3,"SUBPROPCESO","SP403 Producción Gráfica")</f>
        <v>356024000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filterMode="1">
    <tabColor theme="9" tint="-0.499984740745262"/>
  </sheetPr>
  <dimension ref="A1:S1698"/>
  <sheetViews>
    <sheetView tabSelected="1" zoomScale="115" zoomScaleNormal="115" workbookViewId="0">
      <selection activeCell="E1066" sqref="E1066"/>
    </sheetView>
  </sheetViews>
  <sheetFormatPr baseColWidth="10" defaultColWidth="13.33203125" defaultRowHeight="15"/>
  <cols>
    <col min="1" max="1" width="7.33203125" style="74" customWidth="1"/>
    <col min="2" max="2" width="46.5546875" style="74" customWidth="1"/>
    <col min="3" max="3" width="12.33203125" style="74" customWidth="1"/>
    <col min="4" max="4" width="10.6640625" style="74" customWidth="1"/>
    <col min="5" max="5" width="33.88671875" style="74" customWidth="1"/>
    <col min="6" max="6" width="25.6640625" style="74" customWidth="1"/>
    <col min="7" max="7" width="17.5546875" style="985" customWidth="1"/>
    <col min="8" max="9" width="19.33203125" style="74" bestFit="1" customWidth="1"/>
    <col min="10" max="10" width="14" style="74" bestFit="1" customWidth="1"/>
    <col min="11" max="12" width="11.44140625" style="74" customWidth="1"/>
    <col min="13" max="13" width="15.44140625" style="985" bestFit="1" customWidth="1"/>
    <col min="14" max="14" width="14.88671875" style="74" bestFit="1" customWidth="1"/>
    <col min="15" max="15" width="22.44140625" style="74" bestFit="1" customWidth="1"/>
    <col min="16" max="17" width="11.44140625" style="74" customWidth="1"/>
    <col min="18" max="18" width="13.33203125" style="985" bestFit="1" customWidth="1"/>
    <col min="19" max="19" width="13.33203125" style="74" bestFit="1" customWidth="1"/>
    <col min="20" max="250" width="11.44140625" style="74" customWidth="1"/>
    <col min="251" max="251" width="29.6640625" style="74" customWidth="1"/>
    <col min="252" max="252" width="20.33203125" style="74" bestFit="1" customWidth="1"/>
    <col min="253" max="253" width="83.88671875" style="74" bestFit="1" customWidth="1"/>
    <col min="254" max="254" width="255.6640625" style="74" bestFit="1" customWidth="1"/>
    <col min="255" max="255" width="11.6640625" style="74" bestFit="1" customWidth="1"/>
    <col min="256" max="256" width="13.33203125" style="74" bestFit="1"/>
    <col min="257" max="16384" width="13.33203125" style="74"/>
  </cols>
  <sheetData>
    <row r="1" spans="1:19" s="768" customFormat="1">
      <c r="A1" s="768" t="s">
        <v>868</v>
      </c>
      <c r="B1" s="769" t="s">
        <v>869</v>
      </c>
      <c r="C1" s="769" t="s">
        <v>40</v>
      </c>
      <c r="D1" s="769" t="s">
        <v>944</v>
      </c>
      <c r="E1" s="769" t="s">
        <v>720</v>
      </c>
      <c r="F1" s="769" t="s">
        <v>870</v>
      </c>
      <c r="G1" s="1000" t="s">
        <v>975</v>
      </c>
      <c r="H1" s="769" t="s">
        <v>976</v>
      </c>
      <c r="I1" s="769" t="s">
        <v>871</v>
      </c>
      <c r="J1" s="768" t="s">
        <v>1337</v>
      </c>
      <c r="M1" s="991"/>
      <c r="R1" s="991"/>
    </row>
    <row r="2" spans="1:19" hidden="1">
      <c r="A2" s="996">
        <v>1</v>
      </c>
      <c r="B2" s="996" t="s">
        <v>872</v>
      </c>
      <c r="C2" s="996" t="s">
        <v>874</v>
      </c>
      <c r="D2" s="996" t="s">
        <v>94</v>
      </c>
      <c r="E2" s="996" t="s">
        <v>819</v>
      </c>
      <c r="F2" s="996" t="s">
        <v>977</v>
      </c>
      <c r="G2" s="997">
        <v>11246000</v>
      </c>
      <c r="H2" s="74" t="s">
        <v>448</v>
      </c>
      <c r="I2" s="74" t="s">
        <v>1339</v>
      </c>
      <c r="J2" s="74" t="s">
        <v>1328</v>
      </c>
    </row>
    <row r="3" spans="1:19" hidden="1">
      <c r="A3" s="996">
        <v>1</v>
      </c>
      <c r="B3" s="996" t="s">
        <v>872</v>
      </c>
      <c r="C3" s="996" t="s">
        <v>874</v>
      </c>
      <c r="D3" s="996" t="s">
        <v>103</v>
      </c>
      <c r="E3" s="996" t="s">
        <v>821</v>
      </c>
      <c r="F3" s="996" t="s">
        <v>978</v>
      </c>
      <c r="G3" s="997">
        <v>486000</v>
      </c>
      <c r="H3" s="74" t="s">
        <v>448</v>
      </c>
      <c r="I3" s="74" t="s">
        <v>1339</v>
      </c>
      <c r="J3" s="74" t="s">
        <v>1328</v>
      </c>
      <c r="N3" s="292" t="s">
        <v>976</v>
      </c>
      <c r="O3" s="292" t="s">
        <v>871</v>
      </c>
      <c r="P3" s="292" t="s">
        <v>1337</v>
      </c>
    </row>
    <row r="4" spans="1:19" hidden="1">
      <c r="A4" s="996">
        <v>1</v>
      </c>
      <c r="B4" s="996" t="s">
        <v>872</v>
      </c>
      <c r="C4" s="996" t="s">
        <v>874</v>
      </c>
      <c r="D4" s="996" t="s">
        <v>105</v>
      </c>
      <c r="E4" s="996" t="s">
        <v>822</v>
      </c>
      <c r="F4" s="996" t="s">
        <v>979</v>
      </c>
      <c r="G4" s="997">
        <v>1520000</v>
      </c>
      <c r="H4" s="74" t="s">
        <v>448</v>
      </c>
      <c r="I4" s="74" t="s">
        <v>1339</v>
      </c>
      <c r="J4" s="74" t="s">
        <v>1328</v>
      </c>
      <c r="M4" s="985">
        <v>6001211869.79</v>
      </c>
      <c r="N4" s="74" t="s">
        <v>448</v>
      </c>
      <c r="O4" s="74" t="s">
        <v>1339</v>
      </c>
      <c r="P4" s="74" t="s">
        <v>1328</v>
      </c>
      <c r="R4" s="985">
        <f>SUMIF($H:$H,N4,$G:$G)</f>
        <v>6001211869.7900009</v>
      </c>
      <c r="S4" s="995">
        <f>+M4-R4</f>
        <v>0</v>
      </c>
    </row>
    <row r="5" spans="1:19" hidden="1">
      <c r="A5" s="996">
        <v>1</v>
      </c>
      <c r="B5" s="996" t="s">
        <v>872</v>
      </c>
      <c r="C5" s="996" t="s">
        <v>874</v>
      </c>
      <c r="D5" s="996" t="s">
        <v>286</v>
      </c>
      <c r="E5" s="996" t="s">
        <v>980</v>
      </c>
      <c r="F5" s="996" t="s">
        <v>981</v>
      </c>
      <c r="G5" s="997">
        <v>790000</v>
      </c>
      <c r="H5" s="74" t="s">
        <v>448</v>
      </c>
      <c r="I5" s="74" t="s">
        <v>1339</v>
      </c>
      <c r="J5" s="74" t="s">
        <v>1328</v>
      </c>
      <c r="M5" s="985">
        <v>3745000000</v>
      </c>
      <c r="N5" s="74" t="s">
        <v>1330</v>
      </c>
      <c r="O5" s="74" t="s">
        <v>1340</v>
      </c>
      <c r="P5" s="74" t="s">
        <v>1328</v>
      </c>
      <c r="R5" s="985">
        <f>SUMIF($H:$H,N5,$G:$G)</f>
        <v>3745000000</v>
      </c>
      <c r="S5" s="995">
        <f t="shared" ref="S5:S10" si="0">+M5-R5</f>
        <v>0</v>
      </c>
    </row>
    <row r="6" spans="1:19" hidden="1">
      <c r="A6" s="996">
        <v>1</v>
      </c>
      <c r="B6" s="996" t="s">
        <v>872</v>
      </c>
      <c r="C6" s="996" t="s">
        <v>874</v>
      </c>
      <c r="D6" s="996" t="s">
        <v>115</v>
      </c>
      <c r="E6" s="996" t="s">
        <v>827</v>
      </c>
      <c r="F6" s="996" t="s">
        <v>982</v>
      </c>
      <c r="G6" s="997">
        <v>50000</v>
      </c>
      <c r="H6" s="74" t="s">
        <v>448</v>
      </c>
      <c r="I6" s="74" t="s">
        <v>1339</v>
      </c>
      <c r="J6" s="74" t="s">
        <v>1328</v>
      </c>
      <c r="M6" s="985">
        <v>400000000</v>
      </c>
      <c r="N6" s="74" t="s">
        <v>1346</v>
      </c>
      <c r="O6" s="74" t="s">
        <v>1340</v>
      </c>
      <c r="P6" s="74" t="s">
        <v>1328</v>
      </c>
      <c r="R6" s="985">
        <f>SUMIF($H:$H,N6,G:G)</f>
        <v>400000000</v>
      </c>
      <c r="S6" s="995">
        <f t="shared" si="0"/>
        <v>0</v>
      </c>
    </row>
    <row r="7" spans="1:19" hidden="1">
      <c r="A7" s="996">
        <v>1</v>
      </c>
      <c r="B7" s="996" t="s">
        <v>872</v>
      </c>
      <c r="C7" s="996" t="s">
        <v>874</v>
      </c>
      <c r="D7" s="996" t="s">
        <v>125</v>
      </c>
      <c r="E7" s="996" t="s">
        <v>833</v>
      </c>
      <c r="F7" s="996" t="s">
        <v>1405</v>
      </c>
      <c r="G7" s="997">
        <v>3720000</v>
      </c>
      <c r="H7" s="74" t="s">
        <v>448</v>
      </c>
      <c r="I7" s="74" t="s">
        <v>1339</v>
      </c>
      <c r="J7" s="74" t="s">
        <v>1328</v>
      </c>
      <c r="M7" s="985">
        <v>3200000000</v>
      </c>
      <c r="N7" s="74" t="s">
        <v>1340</v>
      </c>
      <c r="O7" s="74" t="s">
        <v>1340</v>
      </c>
      <c r="P7" s="74" t="s">
        <v>1328</v>
      </c>
      <c r="R7" s="985">
        <f>SUMIF($H:$H,N7,$G:$G)</f>
        <v>3200000000</v>
      </c>
      <c r="S7" s="995">
        <f t="shared" si="0"/>
        <v>0</v>
      </c>
    </row>
    <row r="8" spans="1:19" ht="15.6" hidden="1" customHeight="1">
      <c r="A8" s="996">
        <v>1</v>
      </c>
      <c r="B8" s="996" t="s">
        <v>872</v>
      </c>
      <c r="C8" s="996" t="s">
        <v>874</v>
      </c>
      <c r="D8" s="996" t="s">
        <v>127</v>
      </c>
      <c r="E8" s="996" t="s">
        <v>983</v>
      </c>
      <c r="F8" s="1118" t="s">
        <v>1430</v>
      </c>
      <c r="G8" s="997">
        <v>60000000</v>
      </c>
      <c r="H8" s="74" t="s">
        <v>448</v>
      </c>
      <c r="I8" s="74" t="s">
        <v>1339</v>
      </c>
      <c r="J8" s="74" t="s">
        <v>1328</v>
      </c>
      <c r="M8" s="985">
        <v>4567415829.75</v>
      </c>
      <c r="N8" s="74" t="s">
        <v>1338</v>
      </c>
      <c r="O8" s="74" t="s">
        <v>1329</v>
      </c>
      <c r="P8" s="74" t="s">
        <v>1329</v>
      </c>
      <c r="R8" s="985">
        <f>SUMIF($H:$H,N8,$G:$G)</f>
        <v>4567415829.75</v>
      </c>
      <c r="S8" s="995">
        <f t="shared" si="0"/>
        <v>0</v>
      </c>
    </row>
    <row r="9" spans="1:19" hidden="1">
      <c r="A9" s="996">
        <v>1</v>
      </c>
      <c r="B9" s="996" t="s">
        <v>872</v>
      </c>
      <c r="C9" s="996" t="s">
        <v>874</v>
      </c>
      <c r="D9" s="996" t="s">
        <v>134</v>
      </c>
      <c r="E9" s="996" t="s">
        <v>837</v>
      </c>
      <c r="F9" s="996" t="s">
        <v>1406</v>
      </c>
      <c r="G9" s="997">
        <v>9000000</v>
      </c>
      <c r="H9" s="74" t="s">
        <v>448</v>
      </c>
      <c r="I9" s="74" t="s">
        <v>1339</v>
      </c>
      <c r="J9" s="74" t="s">
        <v>1328</v>
      </c>
    </row>
    <row r="10" spans="1:19" hidden="1">
      <c r="A10" s="996">
        <v>1</v>
      </c>
      <c r="B10" s="996" t="s">
        <v>872</v>
      </c>
      <c r="C10" s="996" t="s">
        <v>874</v>
      </c>
      <c r="D10" s="996" t="s">
        <v>136</v>
      </c>
      <c r="E10" s="996" t="s">
        <v>838</v>
      </c>
      <c r="F10" s="996" t="s">
        <v>984</v>
      </c>
      <c r="G10" s="997">
        <v>8000000</v>
      </c>
      <c r="H10" s="74" t="s">
        <v>448</v>
      </c>
      <c r="I10" s="74" t="s">
        <v>1339</v>
      </c>
      <c r="J10" s="74" t="s">
        <v>1328</v>
      </c>
      <c r="M10" s="985">
        <f>SUM(M4:M9)</f>
        <v>17913627699.540001</v>
      </c>
      <c r="R10" s="985">
        <f>SUM(R4:R9)</f>
        <v>17913627699.540001</v>
      </c>
      <c r="S10" s="995">
        <f t="shared" si="0"/>
        <v>0</v>
      </c>
    </row>
    <row r="11" spans="1:19" hidden="1">
      <c r="A11" s="996">
        <v>1</v>
      </c>
      <c r="B11" s="996" t="s">
        <v>872</v>
      </c>
      <c r="C11" s="996" t="s">
        <v>874</v>
      </c>
      <c r="D11" s="996" t="s">
        <v>138</v>
      </c>
      <c r="E11" s="996" t="s">
        <v>985</v>
      </c>
      <c r="F11" s="996" t="s">
        <v>986</v>
      </c>
      <c r="G11" s="997">
        <v>1153000</v>
      </c>
      <c r="H11" s="74" t="s">
        <v>448</v>
      </c>
      <c r="I11" s="74" t="s">
        <v>1339</v>
      </c>
      <c r="J11" s="74" t="s">
        <v>1328</v>
      </c>
    </row>
    <row r="12" spans="1:19" hidden="1">
      <c r="A12" s="996">
        <v>1</v>
      </c>
      <c r="B12" s="996" t="s">
        <v>872</v>
      </c>
      <c r="C12" s="996" t="s">
        <v>874</v>
      </c>
      <c r="D12" s="996" t="s">
        <v>142</v>
      </c>
      <c r="E12" s="996" t="s">
        <v>839</v>
      </c>
      <c r="F12" s="996" t="s">
        <v>987</v>
      </c>
      <c r="G12" s="997">
        <v>1000000</v>
      </c>
      <c r="H12" s="74" t="s">
        <v>448</v>
      </c>
      <c r="I12" s="74" t="s">
        <v>1339</v>
      </c>
      <c r="J12" s="74" t="s">
        <v>1328</v>
      </c>
    </row>
    <row r="13" spans="1:19" hidden="1">
      <c r="A13" s="996">
        <v>1</v>
      </c>
      <c r="B13" s="996" t="s">
        <v>872</v>
      </c>
      <c r="C13" s="996" t="s">
        <v>874</v>
      </c>
      <c r="D13" s="996" t="s">
        <v>146</v>
      </c>
      <c r="E13" s="996" t="s">
        <v>840</v>
      </c>
      <c r="F13" s="996" t="s">
        <v>988</v>
      </c>
      <c r="G13" s="997">
        <v>150000</v>
      </c>
      <c r="H13" s="74" t="s">
        <v>448</v>
      </c>
      <c r="I13" s="74" t="s">
        <v>1339</v>
      </c>
      <c r="J13" s="74" t="s">
        <v>1328</v>
      </c>
    </row>
    <row r="14" spans="1:19" hidden="1">
      <c r="A14" s="996">
        <v>1</v>
      </c>
      <c r="B14" s="996" t="s">
        <v>872</v>
      </c>
      <c r="C14" s="996" t="s">
        <v>891</v>
      </c>
      <c r="D14" s="996" t="s">
        <v>189</v>
      </c>
      <c r="E14" s="996" t="s">
        <v>855</v>
      </c>
      <c r="F14" s="996"/>
      <c r="G14" s="997">
        <v>51000</v>
      </c>
      <c r="H14" s="74" t="s">
        <v>448</v>
      </c>
      <c r="I14" s="74" t="s">
        <v>1339</v>
      </c>
      <c r="J14" s="74" t="s">
        <v>1328</v>
      </c>
    </row>
    <row r="15" spans="1:19" hidden="1">
      <c r="A15" s="996">
        <v>1</v>
      </c>
      <c r="B15" s="996" t="s">
        <v>872</v>
      </c>
      <c r="C15" s="996" t="s">
        <v>873</v>
      </c>
      <c r="D15" s="996" t="s">
        <v>67</v>
      </c>
      <c r="E15" s="996" t="s">
        <v>803</v>
      </c>
      <c r="F15" s="996" t="s">
        <v>989</v>
      </c>
      <c r="G15" s="1116">
        <v>104942000</v>
      </c>
      <c r="H15" s="74" t="s">
        <v>1330</v>
      </c>
      <c r="I15" s="74" t="s">
        <v>1340</v>
      </c>
      <c r="J15" s="74" t="s">
        <v>1328</v>
      </c>
    </row>
    <row r="16" spans="1:19" hidden="1">
      <c r="A16" s="996">
        <v>1</v>
      </c>
      <c r="B16" s="996" t="s">
        <v>872</v>
      </c>
      <c r="C16" s="996" t="s">
        <v>873</v>
      </c>
      <c r="D16" s="996" t="s">
        <v>75</v>
      </c>
      <c r="E16" s="996" t="s">
        <v>799</v>
      </c>
      <c r="F16" s="996" t="s">
        <v>399</v>
      </c>
      <c r="G16" s="1116">
        <v>5183000</v>
      </c>
      <c r="H16" s="74" t="s">
        <v>1330</v>
      </c>
      <c r="I16" s="74" t="s">
        <v>1340</v>
      </c>
      <c r="J16" s="74" t="s">
        <v>1328</v>
      </c>
    </row>
    <row r="17" spans="1:18" s="908" customFormat="1" hidden="1">
      <c r="A17" s="996">
        <v>1</v>
      </c>
      <c r="B17" s="996" t="s">
        <v>872</v>
      </c>
      <c r="C17" s="996" t="s">
        <v>873</v>
      </c>
      <c r="D17" s="996" t="s">
        <v>76</v>
      </c>
      <c r="E17" s="996" t="s">
        <v>800</v>
      </c>
      <c r="F17" s="996" t="s">
        <v>400</v>
      </c>
      <c r="G17" s="1116">
        <v>3905000</v>
      </c>
      <c r="H17" s="74" t="s">
        <v>1330</v>
      </c>
      <c r="I17" s="74" t="s">
        <v>1340</v>
      </c>
      <c r="J17" s="74" t="s">
        <v>1328</v>
      </c>
      <c r="M17" s="986"/>
      <c r="R17" s="986"/>
    </row>
    <row r="18" spans="1:18" s="908" customFormat="1" hidden="1">
      <c r="A18" s="996">
        <v>1</v>
      </c>
      <c r="B18" s="996" t="s">
        <v>872</v>
      </c>
      <c r="C18" s="996" t="s">
        <v>873</v>
      </c>
      <c r="D18" s="996" t="s">
        <v>77</v>
      </c>
      <c r="E18" s="996" t="s">
        <v>809</v>
      </c>
      <c r="F18" s="996" t="s">
        <v>401</v>
      </c>
      <c r="G18" s="1116">
        <v>10309000</v>
      </c>
      <c r="H18" s="74" t="s">
        <v>1330</v>
      </c>
      <c r="I18" s="74" t="s">
        <v>1340</v>
      </c>
      <c r="J18" s="74" t="s">
        <v>1328</v>
      </c>
      <c r="M18" s="986"/>
      <c r="R18" s="986"/>
    </row>
    <row r="19" spans="1:18" s="908" customFormat="1" hidden="1">
      <c r="A19" s="996">
        <v>1</v>
      </c>
      <c r="B19" s="996" t="s">
        <v>872</v>
      </c>
      <c r="C19" s="996" t="s">
        <v>873</v>
      </c>
      <c r="D19" s="996" t="s">
        <v>78</v>
      </c>
      <c r="E19" s="996" t="s">
        <v>810</v>
      </c>
      <c r="F19" s="996" t="s">
        <v>402</v>
      </c>
      <c r="G19" s="1116">
        <v>9587000</v>
      </c>
      <c r="H19" s="74" t="s">
        <v>1330</v>
      </c>
      <c r="I19" s="74" t="s">
        <v>1340</v>
      </c>
      <c r="J19" s="74" t="s">
        <v>1328</v>
      </c>
      <c r="M19" s="986"/>
      <c r="R19" s="986"/>
    </row>
    <row r="20" spans="1:18" s="908" customFormat="1" hidden="1">
      <c r="A20" s="996">
        <v>1</v>
      </c>
      <c r="B20" s="996" t="s">
        <v>872</v>
      </c>
      <c r="C20" s="996" t="s">
        <v>873</v>
      </c>
      <c r="D20" s="996" t="s">
        <v>79</v>
      </c>
      <c r="E20" s="996" t="s">
        <v>801</v>
      </c>
      <c r="F20" s="996" t="s">
        <v>403</v>
      </c>
      <c r="G20" s="1116">
        <v>164000</v>
      </c>
      <c r="H20" s="74" t="s">
        <v>1330</v>
      </c>
      <c r="I20" s="74" t="s">
        <v>1340</v>
      </c>
      <c r="J20" s="74" t="s">
        <v>1328</v>
      </c>
      <c r="M20" s="986"/>
      <c r="R20" s="986"/>
    </row>
    <row r="21" spans="1:18" s="908" customFormat="1" hidden="1">
      <c r="A21" s="996">
        <v>1</v>
      </c>
      <c r="B21" s="996" t="s">
        <v>872</v>
      </c>
      <c r="C21" s="996" t="s">
        <v>873</v>
      </c>
      <c r="D21" s="996" t="s">
        <v>82</v>
      </c>
      <c r="E21" s="996" t="s">
        <v>811</v>
      </c>
      <c r="F21" s="996" t="s">
        <v>404</v>
      </c>
      <c r="G21" s="1116">
        <v>11450000</v>
      </c>
      <c r="H21" s="74" t="s">
        <v>1330</v>
      </c>
      <c r="I21" s="74" t="s">
        <v>1340</v>
      </c>
      <c r="J21" s="74" t="s">
        <v>1328</v>
      </c>
      <c r="M21" s="986"/>
      <c r="R21" s="986"/>
    </row>
    <row r="22" spans="1:18" s="908" customFormat="1" hidden="1">
      <c r="A22" s="996">
        <v>1</v>
      </c>
      <c r="B22" s="996" t="s">
        <v>872</v>
      </c>
      <c r="C22" s="996" t="s">
        <v>873</v>
      </c>
      <c r="D22" s="996" t="s">
        <v>83</v>
      </c>
      <c r="E22" s="996" t="s">
        <v>812</v>
      </c>
      <c r="F22" s="996" t="s">
        <v>940</v>
      </c>
      <c r="G22" s="1116">
        <v>619000</v>
      </c>
      <c r="H22" s="74" t="s">
        <v>1330</v>
      </c>
      <c r="I22" s="74" t="s">
        <v>1340</v>
      </c>
      <c r="J22" s="74" t="s">
        <v>1328</v>
      </c>
      <c r="M22" s="986"/>
      <c r="R22" s="986"/>
    </row>
    <row r="23" spans="1:18" s="908" customFormat="1" hidden="1">
      <c r="A23" s="996">
        <v>1</v>
      </c>
      <c r="B23" s="996" t="s">
        <v>872</v>
      </c>
      <c r="C23" s="996" t="s">
        <v>873</v>
      </c>
      <c r="D23" s="996" t="s">
        <v>84</v>
      </c>
      <c r="E23" s="996" t="s">
        <v>813</v>
      </c>
      <c r="F23" s="996" t="s">
        <v>406</v>
      </c>
      <c r="G23" s="1116">
        <v>1857000</v>
      </c>
      <c r="H23" s="74" t="s">
        <v>1330</v>
      </c>
      <c r="I23" s="74" t="s">
        <v>1340</v>
      </c>
      <c r="J23" s="74" t="s">
        <v>1328</v>
      </c>
      <c r="M23" s="986"/>
      <c r="P23" s="908">
        <f>3500000+5000000</f>
        <v>8500000</v>
      </c>
      <c r="R23" s="986"/>
    </row>
    <row r="24" spans="1:18" s="908" customFormat="1" hidden="1">
      <c r="A24" s="996">
        <v>1</v>
      </c>
      <c r="B24" s="996" t="s">
        <v>872</v>
      </c>
      <c r="C24" s="996" t="s">
        <v>873</v>
      </c>
      <c r="D24" s="996" t="s">
        <v>85</v>
      </c>
      <c r="E24" s="996" t="s">
        <v>814</v>
      </c>
      <c r="F24" s="996" t="s">
        <v>407</v>
      </c>
      <c r="G24" s="1116">
        <v>6189000</v>
      </c>
      <c r="H24" s="74" t="s">
        <v>1330</v>
      </c>
      <c r="I24" s="74" t="s">
        <v>1340</v>
      </c>
      <c r="J24" s="74" t="s">
        <v>1328</v>
      </c>
      <c r="M24" s="986"/>
      <c r="R24" s="986"/>
    </row>
    <row r="25" spans="1:18" s="908" customFormat="1" hidden="1">
      <c r="A25" s="996">
        <v>1</v>
      </c>
      <c r="B25" s="996" t="s">
        <v>872</v>
      </c>
      <c r="C25" s="996" t="s">
        <v>873</v>
      </c>
      <c r="D25" s="996" t="s">
        <v>86</v>
      </c>
      <c r="E25" s="996" t="s">
        <v>815</v>
      </c>
      <c r="F25" s="996" t="s">
        <v>408</v>
      </c>
      <c r="G25" s="1116">
        <v>619000</v>
      </c>
      <c r="H25" s="74" t="s">
        <v>1330</v>
      </c>
      <c r="I25" s="74" t="s">
        <v>1340</v>
      </c>
      <c r="J25" s="74" t="s">
        <v>1328</v>
      </c>
      <c r="M25" s="986"/>
      <c r="R25" s="986"/>
    </row>
    <row r="26" spans="1:18" s="908" customFormat="1" hidden="1">
      <c r="A26" s="996">
        <v>1</v>
      </c>
      <c r="B26" s="996" t="s">
        <v>872</v>
      </c>
      <c r="C26" s="996" t="s">
        <v>873</v>
      </c>
      <c r="D26" s="996" t="s">
        <v>425</v>
      </c>
      <c r="E26" s="996" t="s">
        <v>816</v>
      </c>
      <c r="F26" s="996" t="s">
        <v>945</v>
      </c>
      <c r="G26" s="1116">
        <v>6709000</v>
      </c>
      <c r="H26" s="74" t="s">
        <v>1330</v>
      </c>
      <c r="I26" s="74" t="s">
        <v>1340</v>
      </c>
      <c r="J26" s="74" t="s">
        <v>1328</v>
      </c>
      <c r="M26" s="986"/>
      <c r="R26" s="986"/>
    </row>
    <row r="27" spans="1:18" s="908" customFormat="1" hidden="1">
      <c r="A27" s="996">
        <v>1</v>
      </c>
      <c r="B27" s="996" t="s">
        <v>872</v>
      </c>
      <c r="C27" s="996" t="s">
        <v>873</v>
      </c>
      <c r="D27" s="996" t="s">
        <v>89</v>
      </c>
      <c r="E27" s="996" t="s">
        <v>817</v>
      </c>
      <c r="F27" s="996" t="s">
        <v>409</v>
      </c>
      <c r="G27" s="1116">
        <v>3714000</v>
      </c>
      <c r="H27" s="74" t="s">
        <v>1330</v>
      </c>
      <c r="I27" s="74" t="s">
        <v>1340</v>
      </c>
      <c r="J27" s="74" t="s">
        <v>1328</v>
      </c>
      <c r="M27" s="986"/>
      <c r="R27" s="986"/>
    </row>
    <row r="28" spans="1:18" s="908" customFormat="1" hidden="1">
      <c r="A28" s="996">
        <v>1</v>
      </c>
      <c r="B28" s="996" t="s">
        <v>872</v>
      </c>
      <c r="C28" s="996" t="s">
        <v>873</v>
      </c>
      <c r="D28" s="996" t="s">
        <v>90</v>
      </c>
      <c r="E28" s="996" t="s">
        <v>818</v>
      </c>
      <c r="F28" s="996" t="s">
        <v>990</v>
      </c>
      <c r="G28" s="1116">
        <v>1857000</v>
      </c>
      <c r="H28" s="74" t="s">
        <v>1330</v>
      </c>
      <c r="I28" s="74" t="s">
        <v>1340</v>
      </c>
      <c r="J28" s="74" t="s">
        <v>1328</v>
      </c>
      <c r="M28" s="986"/>
      <c r="R28" s="986"/>
    </row>
    <row r="29" spans="1:18" s="908" customFormat="1" hidden="1">
      <c r="A29" s="996">
        <v>1</v>
      </c>
      <c r="B29" s="996" t="s">
        <v>875</v>
      </c>
      <c r="C29" s="996" t="s">
        <v>873</v>
      </c>
      <c r="D29" s="996" t="s">
        <v>67</v>
      </c>
      <c r="E29" s="996" t="s">
        <v>803</v>
      </c>
      <c r="F29" s="996" t="s">
        <v>991</v>
      </c>
      <c r="G29" s="1116">
        <v>4219000</v>
      </c>
      <c r="H29" s="74" t="s">
        <v>1330</v>
      </c>
      <c r="I29" s="74" t="s">
        <v>1340</v>
      </c>
      <c r="J29" s="74" t="s">
        <v>1328</v>
      </c>
      <c r="M29" s="986"/>
      <c r="R29" s="986"/>
    </row>
    <row r="30" spans="1:18" s="908" customFormat="1" hidden="1">
      <c r="A30" s="996">
        <v>1</v>
      </c>
      <c r="B30" s="996" t="s">
        <v>875</v>
      </c>
      <c r="C30" s="996" t="s">
        <v>873</v>
      </c>
      <c r="D30" s="996" t="s">
        <v>71</v>
      </c>
      <c r="E30" s="996" t="s">
        <v>806</v>
      </c>
      <c r="F30" s="996" t="s">
        <v>992</v>
      </c>
      <c r="G30" s="1116">
        <v>540000</v>
      </c>
      <c r="H30" s="74" t="s">
        <v>1330</v>
      </c>
      <c r="I30" s="74" t="s">
        <v>1340</v>
      </c>
      <c r="J30" s="74" t="s">
        <v>1328</v>
      </c>
      <c r="M30" s="986"/>
      <c r="R30" s="986"/>
    </row>
    <row r="31" spans="1:18" s="908" customFormat="1" hidden="1">
      <c r="A31" s="996">
        <v>1</v>
      </c>
      <c r="B31" s="996" t="s">
        <v>875</v>
      </c>
      <c r="C31" s="996" t="s">
        <v>873</v>
      </c>
      <c r="D31" s="996" t="s">
        <v>72</v>
      </c>
      <c r="E31" s="996" t="s">
        <v>808</v>
      </c>
      <c r="F31" s="996" t="s">
        <v>993</v>
      </c>
      <c r="G31" s="1116">
        <v>13500000</v>
      </c>
      <c r="H31" s="74" t="s">
        <v>1330</v>
      </c>
      <c r="I31" s="74" t="s">
        <v>1340</v>
      </c>
      <c r="J31" s="74" t="s">
        <v>1328</v>
      </c>
      <c r="M31" s="986"/>
      <c r="R31" s="986"/>
    </row>
    <row r="32" spans="1:18" s="915" customFormat="1" hidden="1">
      <c r="A32" s="996">
        <v>1</v>
      </c>
      <c r="B32" s="996" t="s">
        <v>875</v>
      </c>
      <c r="C32" s="996" t="s">
        <v>873</v>
      </c>
      <c r="D32" s="996" t="s">
        <v>75</v>
      </c>
      <c r="E32" s="996" t="s">
        <v>799</v>
      </c>
      <c r="F32" s="996" t="s">
        <v>399</v>
      </c>
      <c r="G32" s="1116">
        <v>2569000</v>
      </c>
      <c r="H32" s="74" t="s">
        <v>1330</v>
      </c>
      <c r="I32" s="74" t="s">
        <v>1340</v>
      </c>
      <c r="J32" s="74" t="s">
        <v>1328</v>
      </c>
      <c r="M32" s="989"/>
      <c r="R32" s="989"/>
    </row>
    <row r="33" spans="1:18" s="915" customFormat="1" hidden="1">
      <c r="A33" s="996">
        <v>1</v>
      </c>
      <c r="B33" s="996" t="s">
        <v>875</v>
      </c>
      <c r="C33" s="996" t="s">
        <v>873</v>
      </c>
      <c r="D33" s="996" t="s">
        <v>77</v>
      </c>
      <c r="E33" s="996" t="s">
        <v>809</v>
      </c>
      <c r="F33" s="996" t="s">
        <v>399</v>
      </c>
      <c r="G33" s="1116">
        <v>662000</v>
      </c>
      <c r="H33" s="74" t="s">
        <v>1330</v>
      </c>
      <c r="I33" s="74" t="s">
        <v>1340</v>
      </c>
      <c r="J33" s="74" t="s">
        <v>1328</v>
      </c>
      <c r="M33" s="989"/>
      <c r="R33" s="989"/>
    </row>
    <row r="34" spans="1:18" s="915" customFormat="1" hidden="1">
      <c r="A34" s="996">
        <v>1</v>
      </c>
      <c r="B34" s="996" t="s">
        <v>875</v>
      </c>
      <c r="C34" s="996" t="s">
        <v>873</v>
      </c>
      <c r="D34" s="996" t="s">
        <v>78</v>
      </c>
      <c r="E34" s="996" t="s">
        <v>810</v>
      </c>
      <c r="F34" s="996" t="s">
        <v>994</v>
      </c>
      <c r="G34" s="1116">
        <v>648000</v>
      </c>
      <c r="H34" s="74" t="s">
        <v>1330</v>
      </c>
      <c r="I34" s="74" t="s">
        <v>1340</v>
      </c>
      <c r="J34" s="74" t="s">
        <v>1328</v>
      </c>
      <c r="M34" s="989"/>
      <c r="R34" s="989"/>
    </row>
    <row r="35" spans="1:18" s="915" customFormat="1" hidden="1">
      <c r="A35" s="996">
        <v>1</v>
      </c>
      <c r="B35" s="996" t="s">
        <v>875</v>
      </c>
      <c r="C35" s="996" t="s">
        <v>873</v>
      </c>
      <c r="D35" s="996" t="s">
        <v>82</v>
      </c>
      <c r="E35" s="996" t="s">
        <v>811</v>
      </c>
      <c r="F35" s="996" t="s">
        <v>995</v>
      </c>
      <c r="G35" s="1116">
        <v>738000</v>
      </c>
      <c r="H35" s="74" t="s">
        <v>1330</v>
      </c>
      <c r="I35" s="74" t="s">
        <v>1340</v>
      </c>
      <c r="J35" s="74" t="s">
        <v>1328</v>
      </c>
      <c r="M35" s="989"/>
      <c r="R35" s="989"/>
    </row>
    <row r="36" spans="1:18" s="915" customFormat="1" hidden="1">
      <c r="A36" s="996">
        <v>1</v>
      </c>
      <c r="B36" s="996" t="s">
        <v>875</v>
      </c>
      <c r="C36" s="996" t="s">
        <v>873</v>
      </c>
      <c r="D36" s="996" t="s">
        <v>83</v>
      </c>
      <c r="E36" s="996" t="s">
        <v>812</v>
      </c>
      <c r="F36" s="996" t="s">
        <v>996</v>
      </c>
      <c r="G36" s="1116">
        <v>40000</v>
      </c>
      <c r="H36" s="74" t="s">
        <v>1330</v>
      </c>
      <c r="I36" s="74" t="s">
        <v>1340</v>
      </c>
      <c r="J36" s="74" t="s">
        <v>1328</v>
      </c>
      <c r="M36" s="989"/>
      <c r="R36" s="989"/>
    </row>
    <row r="37" spans="1:18" s="915" customFormat="1" hidden="1">
      <c r="A37" s="996">
        <v>1</v>
      </c>
      <c r="B37" s="996" t="s">
        <v>875</v>
      </c>
      <c r="C37" s="996" t="s">
        <v>873</v>
      </c>
      <c r="D37" s="996" t="s">
        <v>84</v>
      </c>
      <c r="E37" s="996" t="s">
        <v>813</v>
      </c>
      <c r="F37" s="996" t="s">
        <v>997</v>
      </c>
      <c r="G37" s="1116">
        <v>120000</v>
      </c>
      <c r="H37" s="74" t="s">
        <v>1330</v>
      </c>
      <c r="I37" s="74" t="s">
        <v>1340</v>
      </c>
      <c r="J37" s="74" t="s">
        <v>1328</v>
      </c>
      <c r="M37" s="989"/>
      <c r="R37" s="989"/>
    </row>
    <row r="38" spans="1:18" s="915" customFormat="1" hidden="1">
      <c r="A38" s="996">
        <v>1</v>
      </c>
      <c r="B38" s="996" t="s">
        <v>875</v>
      </c>
      <c r="C38" s="996" t="s">
        <v>873</v>
      </c>
      <c r="D38" s="996" t="s">
        <v>85</v>
      </c>
      <c r="E38" s="996" t="s">
        <v>814</v>
      </c>
      <c r="F38" s="996" t="s">
        <v>998</v>
      </c>
      <c r="G38" s="1116">
        <v>399000</v>
      </c>
      <c r="H38" s="74" t="s">
        <v>1330</v>
      </c>
      <c r="I38" s="74" t="s">
        <v>1340</v>
      </c>
      <c r="J38" s="74" t="s">
        <v>1328</v>
      </c>
      <c r="M38" s="989"/>
      <c r="R38" s="989"/>
    </row>
    <row r="39" spans="1:18" s="915" customFormat="1" hidden="1">
      <c r="A39" s="996">
        <v>1</v>
      </c>
      <c r="B39" s="996" t="s">
        <v>875</v>
      </c>
      <c r="C39" s="996" t="s">
        <v>873</v>
      </c>
      <c r="D39" s="996" t="s">
        <v>86</v>
      </c>
      <c r="E39" s="996" t="s">
        <v>815</v>
      </c>
      <c r="F39" s="996" t="s">
        <v>999</v>
      </c>
      <c r="G39" s="1116">
        <v>40000</v>
      </c>
      <c r="H39" s="74" t="s">
        <v>1330</v>
      </c>
      <c r="I39" s="74" t="s">
        <v>1340</v>
      </c>
      <c r="J39" s="74" t="s">
        <v>1328</v>
      </c>
      <c r="M39" s="989"/>
      <c r="R39" s="989"/>
    </row>
    <row r="40" spans="1:18" s="915" customFormat="1" hidden="1">
      <c r="A40" s="996">
        <v>1</v>
      </c>
      <c r="B40" s="996" t="s">
        <v>875</v>
      </c>
      <c r="C40" s="996" t="s">
        <v>873</v>
      </c>
      <c r="D40" s="996" t="s">
        <v>425</v>
      </c>
      <c r="E40" s="996" t="s">
        <v>816</v>
      </c>
      <c r="F40" s="996" t="s">
        <v>1000</v>
      </c>
      <c r="G40" s="1116">
        <v>432000</v>
      </c>
      <c r="H40" s="74" t="s">
        <v>1330</v>
      </c>
      <c r="I40" s="74" t="s">
        <v>1340</v>
      </c>
      <c r="J40" s="74" t="s">
        <v>1328</v>
      </c>
      <c r="M40" s="989"/>
      <c r="R40" s="989"/>
    </row>
    <row r="41" spans="1:18" s="915" customFormat="1" hidden="1">
      <c r="A41" s="996">
        <v>1</v>
      </c>
      <c r="B41" s="996" t="s">
        <v>875</v>
      </c>
      <c r="C41" s="996" t="s">
        <v>873</v>
      </c>
      <c r="D41" s="996" t="s">
        <v>89</v>
      </c>
      <c r="E41" s="996" t="s">
        <v>817</v>
      </c>
      <c r="F41" s="996" t="s">
        <v>1001</v>
      </c>
      <c r="G41" s="1116">
        <v>240000</v>
      </c>
      <c r="H41" s="74" t="s">
        <v>1330</v>
      </c>
      <c r="I41" s="74" t="s">
        <v>1340</v>
      </c>
      <c r="J41" s="74" t="s">
        <v>1328</v>
      </c>
      <c r="M41" s="989"/>
      <c r="R41" s="989"/>
    </row>
    <row r="42" spans="1:18" s="915" customFormat="1" hidden="1">
      <c r="A42" s="996">
        <v>1</v>
      </c>
      <c r="B42" s="996" t="s">
        <v>875</v>
      </c>
      <c r="C42" s="996" t="s">
        <v>873</v>
      </c>
      <c r="D42" s="996" t="s">
        <v>90</v>
      </c>
      <c r="E42" s="996" t="s">
        <v>818</v>
      </c>
      <c r="F42" s="996" t="s">
        <v>1002</v>
      </c>
      <c r="G42" s="1116">
        <v>120000</v>
      </c>
      <c r="H42" s="74" t="s">
        <v>1330</v>
      </c>
      <c r="I42" s="74" t="s">
        <v>1340</v>
      </c>
      <c r="J42" s="74" t="s">
        <v>1328</v>
      </c>
      <c r="M42" s="989"/>
      <c r="R42" s="989"/>
    </row>
    <row r="43" spans="1:18" s="915" customFormat="1" hidden="1">
      <c r="A43" s="996">
        <v>1</v>
      </c>
      <c r="B43" s="996" t="s">
        <v>875</v>
      </c>
      <c r="C43" s="996" t="s">
        <v>874</v>
      </c>
      <c r="D43" s="996" t="s">
        <v>94</v>
      </c>
      <c r="E43" s="996" t="s">
        <v>819</v>
      </c>
      <c r="F43" s="996" t="s">
        <v>977</v>
      </c>
      <c r="G43" s="997">
        <v>994000</v>
      </c>
      <c r="H43" s="74" t="s">
        <v>448</v>
      </c>
      <c r="I43" s="74" t="s">
        <v>1339</v>
      </c>
      <c r="J43" s="74" t="s">
        <v>1328</v>
      </c>
      <c r="M43" s="989"/>
      <c r="R43" s="989"/>
    </row>
    <row r="44" spans="1:18" s="915" customFormat="1" hidden="1">
      <c r="A44" s="996">
        <v>1</v>
      </c>
      <c r="B44" s="996" t="s">
        <v>875</v>
      </c>
      <c r="C44" s="996" t="s">
        <v>874</v>
      </c>
      <c r="D44" s="996" t="s">
        <v>103</v>
      </c>
      <c r="E44" s="996" t="s">
        <v>821</v>
      </c>
      <c r="F44" s="996" t="s">
        <v>978</v>
      </c>
      <c r="G44" s="997">
        <v>42000</v>
      </c>
      <c r="H44" s="74" t="s">
        <v>448</v>
      </c>
      <c r="I44" s="74" t="s">
        <v>1339</v>
      </c>
      <c r="J44" s="74" t="s">
        <v>1328</v>
      </c>
      <c r="M44" s="989"/>
      <c r="R44" s="989"/>
    </row>
    <row r="45" spans="1:18" s="915" customFormat="1" hidden="1">
      <c r="A45" s="996">
        <v>1</v>
      </c>
      <c r="B45" s="996" t="s">
        <v>875</v>
      </c>
      <c r="C45" s="996" t="s">
        <v>874</v>
      </c>
      <c r="D45" s="996" t="s">
        <v>105</v>
      </c>
      <c r="E45" s="996" t="s">
        <v>822</v>
      </c>
      <c r="F45" s="996" t="s">
        <v>1003</v>
      </c>
      <c r="G45" s="997">
        <v>134000</v>
      </c>
      <c r="H45" s="74" t="s">
        <v>448</v>
      </c>
      <c r="I45" s="74" t="s">
        <v>1339</v>
      </c>
      <c r="J45" s="74" t="s">
        <v>1328</v>
      </c>
      <c r="M45" s="989"/>
      <c r="R45" s="989"/>
    </row>
    <row r="46" spans="1:18" s="915" customFormat="1" hidden="1">
      <c r="A46" s="996">
        <v>1</v>
      </c>
      <c r="B46" s="996" t="s">
        <v>875</v>
      </c>
      <c r="C46" s="996" t="s">
        <v>874</v>
      </c>
      <c r="D46" s="996" t="s">
        <v>286</v>
      </c>
      <c r="E46" s="996" t="s">
        <v>980</v>
      </c>
      <c r="F46" s="996" t="s">
        <v>981</v>
      </c>
      <c r="G46" s="997">
        <v>70000</v>
      </c>
      <c r="H46" s="74" t="s">
        <v>448</v>
      </c>
      <c r="I46" s="74" t="s">
        <v>1339</v>
      </c>
      <c r="J46" s="74" t="s">
        <v>1328</v>
      </c>
      <c r="M46" s="989"/>
      <c r="R46" s="989"/>
    </row>
    <row r="47" spans="1:18" hidden="1">
      <c r="A47" s="996">
        <v>1</v>
      </c>
      <c r="B47" s="996" t="s">
        <v>875</v>
      </c>
      <c r="C47" s="996" t="s">
        <v>874</v>
      </c>
      <c r="D47" s="996" t="s">
        <v>125</v>
      </c>
      <c r="E47" s="996" t="s">
        <v>833</v>
      </c>
      <c r="F47" s="996" t="s">
        <v>1004</v>
      </c>
      <c r="G47" s="997">
        <v>330000</v>
      </c>
      <c r="H47" s="74" t="s">
        <v>448</v>
      </c>
      <c r="I47" s="74" t="s">
        <v>1339</v>
      </c>
      <c r="J47" s="74" t="s">
        <v>1328</v>
      </c>
    </row>
    <row r="48" spans="1:18" hidden="1">
      <c r="A48" s="996">
        <v>1</v>
      </c>
      <c r="B48" s="996" t="s">
        <v>875</v>
      </c>
      <c r="C48" s="996" t="s">
        <v>874</v>
      </c>
      <c r="D48" s="996" t="s">
        <v>138</v>
      </c>
      <c r="E48" s="996" t="s">
        <v>985</v>
      </c>
      <c r="F48" s="996" t="s">
        <v>1005</v>
      </c>
      <c r="G48" s="997">
        <v>74000</v>
      </c>
      <c r="H48" s="74" t="s">
        <v>448</v>
      </c>
      <c r="I48" s="74" t="s">
        <v>1339</v>
      </c>
      <c r="J48" s="74" t="s">
        <v>1328</v>
      </c>
    </row>
    <row r="49" spans="1:10" hidden="1">
      <c r="A49" s="996">
        <v>1</v>
      </c>
      <c r="B49" s="996" t="s">
        <v>876</v>
      </c>
      <c r="C49" s="996" t="s">
        <v>873</v>
      </c>
      <c r="D49" s="996" t="s">
        <v>67</v>
      </c>
      <c r="E49" s="996" t="s">
        <v>803</v>
      </c>
      <c r="F49" s="996" t="s">
        <v>989</v>
      </c>
      <c r="G49" s="1116">
        <v>171159000</v>
      </c>
      <c r="H49" s="74" t="s">
        <v>1330</v>
      </c>
      <c r="I49" s="74" t="s">
        <v>1340</v>
      </c>
      <c r="J49" s="74" t="s">
        <v>1328</v>
      </c>
    </row>
    <row r="50" spans="1:10" hidden="1">
      <c r="A50" s="996">
        <v>1</v>
      </c>
      <c r="B50" s="996" t="s">
        <v>876</v>
      </c>
      <c r="C50" s="996" t="s">
        <v>873</v>
      </c>
      <c r="D50" s="996" t="s">
        <v>75</v>
      </c>
      <c r="E50" s="996" t="s">
        <v>799</v>
      </c>
      <c r="F50" s="996" t="s">
        <v>399</v>
      </c>
      <c r="G50" s="1116">
        <v>6600000</v>
      </c>
      <c r="H50" s="74" t="s">
        <v>1330</v>
      </c>
      <c r="I50" s="74" t="s">
        <v>1340</v>
      </c>
      <c r="J50" s="74" t="s">
        <v>1328</v>
      </c>
    </row>
    <row r="51" spans="1:10" hidden="1">
      <c r="A51" s="996">
        <v>1</v>
      </c>
      <c r="B51" s="996" t="s">
        <v>876</v>
      </c>
      <c r="C51" s="996" t="s">
        <v>873</v>
      </c>
      <c r="D51" s="996" t="s">
        <v>76</v>
      </c>
      <c r="E51" s="996" t="s">
        <v>800</v>
      </c>
      <c r="F51" s="996" t="s">
        <v>400</v>
      </c>
      <c r="G51" s="1116">
        <v>14925000</v>
      </c>
      <c r="H51" s="74" t="s">
        <v>1330</v>
      </c>
      <c r="I51" s="74" t="s">
        <v>1340</v>
      </c>
      <c r="J51" s="74" t="s">
        <v>1328</v>
      </c>
    </row>
    <row r="52" spans="1:10" hidden="1">
      <c r="A52" s="996">
        <v>1</v>
      </c>
      <c r="B52" s="996" t="s">
        <v>876</v>
      </c>
      <c r="C52" s="996" t="s">
        <v>873</v>
      </c>
      <c r="D52" s="996" t="s">
        <v>77</v>
      </c>
      <c r="E52" s="996" t="s">
        <v>809</v>
      </c>
      <c r="F52" s="996" t="s">
        <v>401</v>
      </c>
      <c r="G52" s="1116">
        <v>17532000</v>
      </c>
      <c r="H52" s="74" t="s">
        <v>1330</v>
      </c>
      <c r="I52" s="74" t="s">
        <v>1340</v>
      </c>
      <c r="J52" s="74" t="s">
        <v>1328</v>
      </c>
    </row>
    <row r="53" spans="1:10" hidden="1">
      <c r="A53" s="996">
        <v>1</v>
      </c>
      <c r="B53" s="996" t="s">
        <v>876</v>
      </c>
      <c r="C53" s="996" t="s">
        <v>873</v>
      </c>
      <c r="D53" s="996" t="s">
        <v>78</v>
      </c>
      <c r="E53" s="996" t="s">
        <v>810</v>
      </c>
      <c r="F53" s="996" t="s">
        <v>402</v>
      </c>
      <c r="G53" s="1116">
        <v>16327000</v>
      </c>
      <c r="H53" s="74" t="s">
        <v>1330</v>
      </c>
      <c r="I53" s="74" t="s">
        <v>1340</v>
      </c>
      <c r="J53" s="74" t="s">
        <v>1328</v>
      </c>
    </row>
    <row r="54" spans="1:10" hidden="1">
      <c r="A54" s="996">
        <v>1</v>
      </c>
      <c r="B54" s="996" t="s">
        <v>876</v>
      </c>
      <c r="C54" s="996" t="s">
        <v>873</v>
      </c>
      <c r="D54" s="996" t="s">
        <v>79</v>
      </c>
      <c r="E54" s="996" t="s">
        <v>801</v>
      </c>
      <c r="F54" s="996" t="s">
        <v>403</v>
      </c>
      <c r="G54" s="1116">
        <v>1527000</v>
      </c>
      <c r="H54" s="74" t="s">
        <v>1330</v>
      </c>
      <c r="I54" s="74" t="s">
        <v>1340</v>
      </c>
      <c r="J54" s="74" t="s">
        <v>1328</v>
      </c>
    </row>
    <row r="55" spans="1:10" ht="45" hidden="1">
      <c r="A55" s="996">
        <v>1</v>
      </c>
      <c r="B55" s="996" t="s">
        <v>876</v>
      </c>
      <c r="C55" s="996" t="s">
        <v>873</v>
      </c>
      <c r="D55" s="996" t="s">
        <v>82</v>
      </c>
      <c r="E55" s="996" t="s">
        <v>811</v>
      </c>
      <c r="F55" s="998" t="s">
        <v>404</v>
      </c>
      <c r="G55" s="1116">
        <v>19475000</v>
      </c>
      <c r="H55" s="74" t="s">
        <v>1330</v>
      </c>
      <c r="I55" s="74" t="s">
        <v>1340</v>
      </c>
      <c r="J55" s="74" t="s">
        <v>1328</v>
      </c>
    </row>
    <row r="56" spans="1:10" ht="45" hidden="1">
      <c r="A56" s="996">
        <v>1</v>
      </c>
      <c r="B56" s="996" t="s">
        <v>876</v>
      </c>
      <c r="C56" s="996" t="s">
        <v>873</v>
      </c>
      <c r="D56" s="996" t="s">
        <v>83</v>
      </c>
      <c r="E56" s="996" t="s">
        <v>812</v>
      </c>
      <c r="F56" s="998" t="s">
        <v>940</v>
      </c>
      <c r="G56" s="1116">
        <v>1053000</v>
      </c>
      <c r="H56" s="74" t="s">
        <v>1330</v>
      </c>
      <c r="I56" s="74" t="s">
        <v>1340</v>
      </c>
      <c r="J56" s="74" t="s">
        <v>1328</v>
      </c>
    </row>
    <row r="57" spans="1:10" hidden="1">
      <c r="A57" s="996">
        <v>1</v>
      </c>
      <c r="B57" s="996" t="s">
        <v>876</v>
      </c>
      <c r="C57" s="996" t="s">
        <v>873</v>
      </c>
      <c r="D57" s="996" t="s">
        <v>84</v>
      </c>
      <c r="E57" s="996" t="s">
        <v>813</v>
      </c>
      <c r="F57" s="996" t="s">
        <v>406</v>
      </c>
      <c r="G57" s="1116">
        <v>3158000</v>
      </c>
      <c r="H57" s="74" t="s">
        <v>1330</v>
      </c>
      <c r="I57" s="74" t="s">
        <v>1340</v>
      </c>
      <c r="J57" s="74" t="s">
        <v>1328</v>
      </c>
    </row>
    <row r="58" spans="1:10" hidden="1">
      <c r="A58" s="996">
        <v>1</v>
      </c>
      <c r="B58" s="996" t="s">
        <v>876</v>
      </c>
      <c r="C58" s="996" t="s">
        <v>873</v>
      </c>
      <c r="D58" s="996" t="s">
        <v>85</v>
      </c>
      <c r="E58" s="996" t="s">
        <v>814</v>
      </c>
      <c r="F58" s="996" t="s">
        <v>407</v>
      </c>
      <c r="G58" s="1116">
        <v>10527000</v>
      </c>
      <c r="H58" s="74" t="s">
        <v>1330</v>
      </c>
      <c r="I58" s="74" t="s">
        <v>1340</v>
      </c>
      <c r="J58" s="74" t="s">
        <v>1328</v>
      </c>
    </row>
    <row r="59" spans="1:10" hidden="1">
      <c r="A59" s="996">
        <v>1</v>
      </c>
      <c r="B59" s="996" t="s">
        <v>876</v>
      </c>
      <c r="C59" s="996" t="s">
        <v>873</v>
      </c>
      <c r="D59" s="996" t="s">
        <v>86</v>
      </c>
      <c r="E59" s="996" t="s">
        <v>815</v>
      </c>
      <c r="F59" s="996" t="s">
        <v>408</v>
      </c>
      <c r="G59" s="1116">
        <v>1053000</v>
      </c>
      <c r="H59" s="74" t="s">
        <v>1330</v>
      </c>
      <c r="I59" s="74" t="s">
        <v>1340</v>
      </c>
      <c r="J59" s="74" t="s">
        <v>1328</v>
      </c>
    </row>
    <row r="60" spans="1:10" hidden="1">
      <c r="A60" s="996">
        <v>1</v>
      </c>
      <c r="B60" s="996" t="s">
        <v>876</v>
      </c>
      <c r="C60" s="996" t="s">
        <v>873</v>
      </c>
      <c r="D60" s="996" t="s">
        <v>425</v>
      </c>
      <c r="E60" s="996" t="s">
        <v>816</v>
      </c>
      <c r="F60" s="996" t="s">
        <v>945</v>
      </c>
      <c r="G60" s="1116">
        <v>11411000</v>
      </c>
      <c r="H60" s="74" t="s">
        <v>1330</v>
      </c>
      <c r="I60" s="74" t="s">
        <v>1340</v>
      </c>
      <c r="J60" s="74" t="s">
        <v>1328</v>
      </c>
    </row>
    <row r="61" spans="1:10" hidden="1">
      <c r="A61" s="996">
        <v>1</v>
      </c>
      <c r="B61" s="996" t="s">
        <v>876</v>
      </c>
      <c r="C61" s="996" t="s">
        <v>873</v>
      </c>
      <c r="D61" s="996" t="s">
        <v>89</v>
      </c>
      <c r="E61" s="996" t="s">
        <v>817</v>
      </c>
      <c r="F61" s="996" t="s">
        <v>409</v>
      </c>
      <c r="G61" s="1116">
        <v>6316000</v>
      </c>
      <c r="H61" s="74" t="s">
        <v>1330</v>
      </c>
      <c r="I61" s="74" t="s">
        <v>1340</v>
      </c>
      <c r="J61" s="74" t="s">
        <v>1328</v>
      </c>
    </row>
    <row r="62" spans="1:10" hidden="1">
      <c r="A62" s="996">
        <v>1</v>
      </c>
      <c r="B62" s="996" t="s">
        <v>876</v>
      </c>
      <c r="C62" s="996" t="s">
        <v>873</v>
      </c>
      <c r="D62" s="996" t="s">
        <v>90</v>
      </c>
      <c r="E62" s="996" t="s">
        <v>818</v>
      </c>
      <c r="F62" s="996" t="s">
        <v>990</v>
      </c>
      <c r="G62" s="1116">
        <v>3158000</v>
      </c>
      <c r="H62" s="74" t="s">
        <v>1330</v>
      </c>
      <c r="I62" s="74" t="s">
        <v>1340</v>
      </c>
      <c r="J62" s="74" t="s">
        <v>1328</v>
      </c>
    </row>
    <row r="63" spans="1:10" hidden="1">
      <c r="A63" s="996">
        <v>1</v>
      </c>
      <c r="B63" s="996" t="s">
        <v>876</v>
      </c>
      <c r="C63" s="996" t="s">
        <v>874</v>
      </c>
      <c r="D63" s="996" t="s">
        <v>94</v>
      </c>
      <c r="E63" s="996" t="s">
        <v>819</v>
      </c>
      <c r="F63" s="996" t="s">
        <v>977</v>
      </c>
      <c r="G63" s="997">
        <v>3978000</v>
      </c>
      <c r="H63" s="74" t="s">
        <v>448</v>
      </c>
      <c r="I63" s="74" t="s">
        <v>1339</v>
      </c>
      <c r="J63" s="74" t="s">
        <v>1328</v>
      </c>
    </row>
    <row r="64" spans="1:10" hidden="1">
      <c r="A64" s="996">
        <v>1</v>
      </c>
      <c r="B64" s="996" t="s">
        <v>876</v>
      </c>
      <c r="C64" s="996" t="s">
        <v>874</v>
      </c>
      <c r="D64" s="996" t="s">
        <v>103</v>
      </c>
      <c r="E64" s="996" t="s">
        <v>821</v>
      </c>
      <c r="F64" s="996" t="s">
        <v>978</v>
      </c>
      <c r="G64" s="997">
        <v>172000</v>
      </c>
      <c r="H64" s="74" t="s">
        <v>448</v>
      </c>
      <c r="I64" s="74" t="s">
        <v>1339</v>
      </c>
      <c r="J64" s="74" t="s">
        <v>1328</v>
      </c>
    </row>
    <row r="65" spans="1:18" hidden="1">
      <c r="A65" s="996">
        <v>1</v>
      </c>
      <c r="B65" s="996" t="s">
        <v>876</v>
      </c>
      <c r="C65" s="996" t="s">
        <v>874</v>
      </c>
      <c r="D65" s="996" t="s">
        <v>105</v>
      </c>
      <c r="E65" s="996" t="s">
        <v>822</v>
      </c>
      <c r="F65" s="996" t="s">
        <v>979</v>
      </c>
      <c r="G65" s="997">
        <v>538000</v>
      </c>
      <c r="H65" s="74" t="s">
        <v>448</v>
      </c>
      <c r="I65" s="74" t="s">
        <v>1339</v>
      </c>
      <c r="J65" s="74" t="s">
        <v>1328</v>
      </c>
    </row>
    <row r="66" spans="1:18" hidden="1">
      <c r="A66" s="996">
        <v>1</v>
      </c>
      <c r="B66" s="996" t="s">
        <v>876</v>
      </c>
      <c r="C66" s="996" t="s">
        <v>874</v>
      </c>
      <c r="D66" s="996" t="s">
        <v>286</v>
      </c>
      <c r="E66" s="996" t="s">
        <v>980</v>
      </c>
      <c r="F66" s="996" t="s">
        <v>981</v>
      </c>
      <c r="G66" s="997">
        <v>280000</v>
      </c>
      <c r="H66" s="74" t="s">
        <v>448</v>
      </c>
      <c r="I66" s="74" t="s">
        <v>1339</v>
      </c>
      <c r="J66" s="74" t="s">
        <v>1328</v>
      </c>
    </row>
    <row r="67" spans="1:18" hidden="1">
      <c r="A67" s="996">
        <v>1</v>
      </c>
      <c r="B67" s="996" t="s">
        <v>876</v>
      </c>
      <c r="C67" s="996" t="s">
        <v>874</v>
      </c>
      <c r="D67" s="996" t="s">
        <v>341</v>
      </c>
      <c r="E67" s="996" t="s">
        <v>831</v>
      </c>
      <c r="F67" s="996" t="s">
        <v>877</v>
      </c>
      <c r="G67" s="997">
        <v>5500000</v>
      </c>
      <c r="H67" s="74" t="s">
        <v>448</v>
      </c>
      <c r="I67" s="74" t="s">
        <v>1339</v>
      </c>
      <c r="J67" s="74" t="s">
        <v>1328</v>
      </c>
    </row>
    <row r="68" spans="1:18" hidden="1">
      <c r="A68" s="996">
        <v>1</v>
      </c>
      <c r="B68" s="996" t="s">
        <v>876</v>
      </c>
      <c r="C68" s="996" t="s">
        <v>874</v>
      </c>
      <c r="D68" s="996" t="s">
        <v>121</v>
      </c>
      <c r="E68" s="996" t="s">
        <v>832</v>
      </c>
      <c r="F68" s="996" t="s">
        <v>878</v>
      </c>
      <c r="G68" s="997">
        <v>7000000</v>
      </c>
      <c r="H68" s="74" t="s">
        <v>448</v>
      </c>
      <c r="I68" s="74" t="s">
        <v>1339</v>
      </c>
      <c r="J68" s="74" t="s">
        <v>1328</v>
      </c>
    </row>
    <row r="69" spans="1:18" hidden="1">
      <c r="A69" s="996">
        <v>1</v>
      </c>
      <c r="B69" s="996" t="s">
        <v>876</v>
      </c>
      <c r="C69" s="996" t="s">
        <v>874</v>
      </c>
      <c r="D69" s="996" t="s">
        <v>125</v>
      </c>
      <c r="E69" s="996" t="s">
        <v>833</v>
      </c>
      <c r="F69" s="996" t="s">
        <v>1006</v>
      </c>
      <c r="G69" s="997">
        <v>1316000</v>
      </c>
      <c r="H69" s="74" t="s">
        <v>448</v>
      </c>
      <c r="I69" s="74" t="s">
        <v>1339</v>
      </c>
      <c r="J69" s="74" t="s">
        <v>1328</v>
      </c>
    </row>
    <row r="70" spans="1:18" hidden="1">
      <c r="A70" s="996">
        <v>1</v>
      </c>
      <c r="B70" s="996" t="s">
        <v>876</v>
      </c>
      <c r="C70" s="996" t="s">
        <v>874</v>
      </c>
      <c r="D70" s="996" t="s">
        <v>131</v>
      </c>
      <c r="E70" s="996" t="s">
        <v>835</v>
      </c>
      <c r="F70" s="996" t="s">
        <v>879</v>
      </c>
      <c r="G70" s="997">
        <v>80000</v>
      </c>
      <c r="H70" s="74" t="s">
        <v>448</v>
      </c>
      <c r="I70" s="74" t="s">
        <v>1339</v>
      </c>
      <c r="J70" s="74" t="s">
        <v>1328</v>
      </c>
    </row>
    <row r="71" spans="1:18">
      <c r="A71" s="996">
        <v>1</v>
      </c>
      <c r="B71" s="996" t="s">
        <v>876</v>
      </c>
      <c r="C71" s="996" t="s">
        <v>874</v>
      </c>
      <c r="D71" s="996" t="s">
        <v>133</v>
      </c>
      <c r="E71" s="996" t="s">
        <v>836</v>
      </c>
      <c r="F71" s="996" t="s">
        <v>880</v>
      </c>
      <c r="G71" s="997">
        <v>200000</v>
      </c>
      <c r="H71" s="74" t="s">
        <v>448</v>
      </c>
      <c r="I71" s="74" t="s">
        <v>1339</v>
      </c>
      <c r="J71" s="74" t="s">
        <v>1328</v>
      </c>
    </row>
    <row r="72" spans="1:18" hidden="1">
      <c r="A72" s="996">
        <v>1</v>
      </c>
      <c r="B72" s="996" t="s">
        <v>876</v>
      </c>
      <c r="C72" s="996" t="s">
        <v>874</v>
      </c>
      <c r="D72" s="996" t="s">
        <v>134</v>
      </c>
      <c r="E72" s="996" t="s">
        <v>837</v>
      </c>
      <c r="F72" s="996" t="s">
        <v>1007</v>
      </c>
      <c r="G72" s="997">
        <v>1500000</v>
      </c>
      <c r="H72" s="74" t="s">
        <v>448</v>
      </c>
      <c r="I72" s="74" t="s">
        <v>1339</v>
      </c>
      <c r="J72" s="74" t="s">
        <v>1328</v>
      </c>
    </row>
    <row r="73" spans="1:18" hidden="1">
      <c r="A73" s="996">
        <v>1</v>
      </c>
      <c r="B73" s="996" t="s">
        <v>876</v>
      </c>
      <c r="C73" s="996" t="s">
        <v>874</v>
      </c>
      <c r="D73" s="996" t="s">
        <v>136</v>
      </c>
      <c r="E73" s="996" t="s">
        <v>838</v>
      </c>
      <c r="F73" s="996" t="s">
        <v>1008</v>
      </c>
      <c r="G73" s="997">
        <v>2000000</v>
      </c>
      <c r="H73" s="74" t="s">
        <v>448</v>
      </c>
      <c r="I73" s="74" t="s">
        <v>1339</v>
      </c>
      <c r="J73" s="74" t="s">
        <v>1328</v>
      </c>
    </row>
    <row r="74" spans="1:18" hidden="1">
      <c r="A74" s="996">
        <v>1</v>
      </c>
      <c r="B74" s="996" t="s">
        <v>876</v>
      </c>
      <c r="C74" s="996" t="s">
        <v>874</v>
      </c>
      <c r="D74" s="996" t="s">
        <v>138</v>
      </c>
      <c r="E74" s="996" t="s">
        <v>985</v>
      </c>
      <c r="F74" s="996" t="s">
        <v>1009</v>
      </c>
      <c r="G74" s="997">
        <v>1187000</v>
      </c>
      <c r="H74" s="74" t="s">
        <v>448</v>
      </c>
      <c r="I74" s="74" t="s">
        <v>1339</v>
      </c>
      <c r="J74" s="74" t="s">
        <v>1328</v>
      </c>
    </row>
    <row r="75" spans="1:18" s="915" customFormat="1" hidden="1">
      <c r="A75" s="996">
        <v>1</v>
      </c>
      <c r="B75" s="996" t="s">
        <v>876</v>
      </c>
      <c r="C75" s="996" t="s">
        <v>874</v>
      </c>
      <c r="D75" s="996" t="s">
        <v>142</v>
      </c>
      <c r="E75" s="996" t="s">
        <v>839</v>
      </c>
      <c r="F75" s="996" t="s">
        <v>881</v>
      </c>
      <c r="G75" s="997">
        <v>6000000</v>
      </c>
      <c r="H75" s="74" t="s">
        <v>448</v>
      </c>
      <c r="I75" s="74" t="s">
        <v>1339</v>
      </c>
      <c r="J75" s="74" t="s">
        <v>1328</v>
      </c>
      <c r="M75" s="989"/>
      <c r="R75" s="989"/>
    </row>
    <row r="76" spans="1:18" s="915" customFormat="1" hidden="1">
      <c r="A76" s="996">
        <v>1</v>
      </c>
      <c r="B76" s="996" t="s">
        <v>876</v>
      </c>
      <c r="C76" s="996" t="s">
        <v>874</v>
      </c>
      <c r="D76" s="996" t="s">
        <v>156</v>
      </c>
      <c r="E76" s="996" t="s">
        <v>845</v>
      </c>
      <c r="F76" s="996" t="s">
        <v>1010</v>
      </c>
      <c r="G76" s="997">
        <v>4000000</v>
      </c>
      <c r="H76" s="74" t="s">
        <v>448</v>
      </c>
      <c r="I76" s="74" t="s">
        <v>1339</v>
      </c>
      <c r="J76" s="74" t="s">
        <v>1328</v>
      </c>
      <c r="M76" s="989"/>
      <c r="R76" s="989"/>
    </row>
    <row r="77" spans="1:18" s="915" customFormat="1" hidden="1">
      <c r="A77" s="996">
        <v>1</v>
      </c>
      <c r="B77" s="996" t="s">
        <v>882</v>
      </c>
      <c r="C77" s="996" t="s">
        <v>873</v>
      </c>
      <c r="D77" s="996" t="s">
        <v>67</v>
      </c>
      <c r="E77" s="996" t="s">
        <v>803</v>
      </c>
      <c r="F77" s="996" t="s">
        <v>1011</v>
      </c>
      <c r="G77" s="1116">
        <v>118368000</v>
      </c>
      <c r="H77" s="74" t="s">
        <v>1330</v>
      </c>
      <c r="I77" s="74" t="s">
        <v>1340</v>
      </c>
      <c r="J77" s="74" t="s">
        <v>1328</v>
      </c>
      <c r="M77" s="989"/>
      <c r="R77" s="989"/>
    </row>
    <row r="78" spans="1:18" s="915" customFormat="1" hidden="1">
      <c r="A78" s="996">
        <v>1</v>
      </c>
      <c r="B78" s="996" t="s">
        <v>882</v>
      </c>
      <c r="C78" s="996" t="s">
        <v>873</v>
      </c>
      <c r="D78" s="996" t="s">
        <v>71</v>
      </c>
      <c r="E78" s="996" t="s">
        <v>806</v>
      </c>
      <c r="F78" s="996" t="s">
        <v>1012</v>
      </c>
      <c r="G78" s="1116">
        <v>1568000</v>
      </c>
      <c r="H78" s="74" t="s">
        <v>1330</v>
      </c>
      <c r="I78" s="74" t="s">
        <v>1340</v>
      </c>
      <c r="J78" s="74" t="s">
        <v>1328</v>
      </c>
      <c r="M78" s="989"/>
      <c r="R78" s="989"/>
    </row>
    <row r="79" spans="1:18" s="915" customFormat="1" hidden="1">
      <c r="A79" s="996">
        <v>1</v>
      </c>
      <c r="B79" s="996" t="s">
        <v>882</v>
      </c>
      <c r="C79" s="996" t="s">
        <v>873</v>
      </c>
      <c r="D79" s="996" t="s">
        <v>75</v>
      </c>
      <c r="E79" s="996" t="s">
        <v>799</v>
      </c>
      <c r="F79" s="996" t="s">
        <v>1013</v>
      </c>
      <c r="G79" s="1116">
        <v>15242000</v>
      </c>
      <c r="H79" s="74" t="s">
        <v>1330</v>
      </c>
      <c r="I79" s="74" t="s">
        <v>1340</v>
      </c>
      <c r="J79" s="74" t="s">
        <v>1328</v>
      </c>
      <c r="M79" s="989"/>
      <c r="R79" s="989"/>
    </row>
    <row r="80" spans="1:18" s="915" customFormat="1" hidden="1">
      <c r="A80" s="996">
        <v>1</v>
      </c>
      <c r="B80" s="996" t="s">
        <v>882</v>
      </c>
      <c r="C80" s="996" t="s">
        <v>873</v>
      </c>
      <c r="D80" s="996" t="s">
        <v>76</v>
      </c>
      <c r="E80" s="996" t="s">
        <v>800</v>
      </c>
      <c r="F80" s="996" t="s">
        <v>1014</v>
      </c>
      <c r="G80" s="1116">
        <v>26005000</v>
      </c>
      <c r="H80" s="74" t="s">
        <v>1330</v>
      </c>
      <c r="I80" s="74" t="s">
        <v>1340</v>
      </c>
      <c r="J80" s="74" t="s">
        <v>1328</v>
      </c>
      <c r="M80" s="989"/>
      <c r="R80" s="989"/>
    </row>
    <row r="81" spans="1:18" s="915" customFormat="1" hidden="1">
      <c r="A81" s="996">
        <v>1</v>
      </c>
      <c r="B81" s="996" t="s">
        <v>882</v>
      </c>
      <c r="C81" s="996" t="s">
        <v>873</v>
      </c>
      <c r="D81" s="996" t="s">
        <v>77</v>
      </c>
      <c r="E81" s="996" t="s">
        <v>809</v>
      </c>
      <c r="F81" s="996" t="s">
        <v>1015</v>
      </c>
      <c r="G81" s="1116">
        <v>14993000</v>
      </c>
      <c r="H81" s="74" t="s">
        <v>1330</v>
      </c>
      <c r="I81" s="74" t="s">
        <v>1340</v>
      </c>
      <c r="J81" s="74" t="s">
        <v>1328</v>
      </c>
      <c r="M81" s="989"/>
      <c r="R81" s="989"/>
    </row>
    <row r="82" spans="1:18" s="915" customFormat="1" hidden="1">
      <c r="A82" s="996">
        <v>1</v>
      </c>
      <c r="B82" s="996" t="s">
        <v>882</v>
      </c>
      <c r="C82" s="996" t="s">
        <v>873</v>
      </c>
      <c r="D82" s="996" t="s">
        <v>78</v>
      </c>
      <c r="E82" s="996" t="s">
        <v>810</v>
      </c>
      <c r="F82" s="996" t="s">
        <v>994</v>
      </c>
      <c r="G82" s="1116">
        <v>14008000</v>
      </c>
      <c r="H82" s="74" t="s">
        <v>1330</v>
      </c>
      <c r="I82" s="74" t="s">
        <v>1340</v>
      </c>
      <c r="J82" s="74" t="s">
        <v>1328</v>
      </c>
      <c r="M82" s="989"/>
      <c r="R82" s="989"/>
    </row>
    <row r="83" spans="1:18" s="915" customFormat="1" hidden="1">
      <c r="A83" s="996">
        <v>1</v>
      </c>
      <c r="B83" s="996" t="s">
        <v>882</v>
      </c>
      <c r="C83" s="996" t="s">
        <v>873</v>
      </c>
      <c r="D83" s="996" t="s">
        <v>79</v>
      </c>
      <c r="E83" s="996" t="s">
        <v>801</v>
      </c>
      <c r="F83" s="996" t="s">
        <v>1016</v>
      </c>
      <c r="G83" s="1116">
        <v>4896000</v>
      </c>
      <c r="H83" s="74" t="s">
        <v>1330</v>
      </c>
      <c r="I83" s="74" t="s">
        <v>1340</v>
      </c>
      <c r="J83" s="74" t="s">
        <v>1328</v>
      </c>
      <c r="M83" s="989"/>
      <c r="R83" s="989"/>
    </row>
    <row r="84" spans="1:18" s="915" customFormat="1" hidden="1">
      <c r="A84" s="996">
        <v>1</v>
      </c>
      <c r="B84" s="996" t="s">
        <v>882</v>
      </c>
      <c r="C84" s="996" t="s">
        <v>873</v>
      </c>
      <c r="D84" s="996" t="s">
        <v>82</v>
      </c>
      <c r="E84" s="996" t="s">
        <v>811</v>
      </c>
      <c r="F84" s="996" t="s">
        <v>995</v>
      </c>
      <c r="G84" s="1116">
        <v>16658000</v>
      </c>
      <c r="H84" s="74" t="s">
        <v>1330</v>
      </c>
      <c r="I84" s="74" t="s">
        <v>1340</v>
      </c>
      <c r="J84" s="74" t="s">
        <v>1328</v>
      </c>
      <c r="M84" s="989"/>
      <c r="R84" s="989"/>
    </row>
    <row r="85" spans="1:18" s="915" customFormat="1" hidden="1">
      <c r="A85" s="996">
        <v>1</v>
      </c>
      <c r="B85" s="996" t="s">
        <v>882</v>
      </c>
      <c r="C85" s="996" t="s">
        <v>873</v>
      </c>
      <c r="D85" s="996" t="s">
        <v>83</v>
      </c>
      <c r="E85" s="996" t="s">
        <v>812</v>
      </c>
      <c r="F85" s="996" t="s">
        <v>1407</v>
      </c>
      <c r="G85" s="1116">
        <v>900000</v>
      </c>
      <c r="H85" s="74" t="s">
        <v>1330</v>
      </c>
      <c r="I85" s="74" t="s">
        <v>1340</v>
      </c>
      <c r="J85" s="74" t="s">
        <v>1328</v>
      </c>
      <c r="M85" s="989"/>
      <c r="R85" s="989"/>
    </row>
    <row r="86" spans="1:18" s="915" customFormat="1" hidden="1">
      <c r="A86" s="996">
        <v>1</v>
      </c>
      <c r="B86" s="996" t="s">
        <v>882</v>
      </c>
      <c r="C86" s="996" t="s">
        <v>873</v>
      </c>
      <c r="D86" s="996" t="s">
        <v>84</v>
      </c>
      <c r="E86" s="996" t="s">
        <v>813</v>
      </c>
      <c r="F86" s="996" t="s">
        <v>997</v>
      </c>
      <c r="G86" s="1116">
        <v>2701000</v>
      </c>
      <c r="H86" s="74" t="s">
        <v>1330</v>
      </c>
      <c r="I86" s="74" t="s">
        <v>1340</v>
      </c>
      <c r="J86" s="74" t="s">
        <v>1328</v>
      </c>
      <c r="M86" s="989"/>
      <c r="R86" s="989"/>
    </row>
    <row r="87" spans="1:18" s="915" customFormat="1" hidden="1">
      <c r="A87" s="996">
        <v>1</v>
      </c>
      <c r="B87" s="996" t="s">
        <v>882</v>
      </c>
      <c r="C87" s="996" t="s">
        <v>873</v>
      </c>
      <c r="D87" s="996" t="s">
        <v>85</v>
      </c>
      <c r="E87" s="996" t="s">
        <v>814</v>
      </c>
      <c r="F87" s="996" t="s">
        <v>998</v>
      </c>
      <c r="G87" s="1116">
        <v>9004000</v>
      </c>
      <c r="H87" s="74" t="s">
        <v>1330</v>
      </c>
      <c r="I87" s="74" t="s">
        <v>1340</v>
      </c>
      <c r="J87" s="74" t="s">
        <v>1328</v>
      </c>
      <c r="M87" s="989"/>
      <c r="R87" s="989"/>
    </row>
    <row r="88" spans="1:18" s="915" customFormat="1" hidden="1">
      <c r="A88" s="996">
        <v>1</v>
      </c>
      <c r="B88" s="996" t="s">
        <v>882</v>
      </c>
      <c r="C88" s="996" t="s">
        <v>873</v>
      </c>
      <c r="D88" s="996" t="s">
        <v>86</v>
      </c>
      <c r="E88" s="996" t="s">
        <v>815</v>
      </c>
      <c r="F88" s="996" t="s">
        <v>999</v>
      </c>
      <c r="G88" s="1116">
        <v>900000</v>
      </c>
      <c r="H88" s="74" t="s">
        <v>1330</v>
      </c>
      <c r="I88" s="74" t="s">
        <v>1340</v>
      </c>
      <c r="J88" s="74" t="s">
        <v>1328</v>
      </c>
      <c r="M88" s="989"/>
      <c r="R88" s="989"/>
    </row>
    <row r="89" spans="1:18" hidden="1">
      <c r="A89" s="996">
        <v>1</v>
      </c>
      <c r="B89" s="996" t="s">
        <v>882</v>
      </c>
      <c r="C89" s="996" t="s">
        <v>873</v>
      </c>
      <c r="D89" s="996" t="s">
        <v>425</v>
      </c>
      <c r="E89" s="996" t="s">
        <v>816</v>
      </c>
      <c r="F89" s="996" t="s">
        <v>1000</v>
      </c>
      <c r="G89" s="1116">
        <v>9761000</v>
      </c>
      <c r="H89" s="74" t="s">
        <v>1330</v>
      </c>
      <c r="I89" s="74" t="s">
        <v>1340</v>
      </c>
      <c r="J89" s="74" t="s">
        <v>1328</v>
      </c>
    </row>
    <row r="90" spans="1:18" hidden="1">
      <c r="A90" s="996">
        <v>1</v>
      </c>
      <c r="B90" s="996" t="s">
        <v>882</v>
      </c>
      <c r="C90" s="996" t="s">
        <v>873</v>
      </c>
      <c r="D90" s="996" t="s">
        <v>89</v>
      </c>
      <c r="E90" s="996" t="s">
        <v>817</v>
      </c>
      <c r="F90" s="996" t="s">
        <v>1001</v>
      </c>
      <c r="G90" s="1116">
        <v>5403000</v>
      </c>
      <c r="H90" s="74" t="s">
        <v>1330</v>
      </c>
      <c r="I90" s="74" t="s">
        <v>1340</v>
      </c>
      <c r="J90" s="74" t="s">
        <v>1328</v>
      </c>
    </row>
    <row r="91" spans="1:18" hidden="1">
      <c r="A91" s="996">
        <v>1</v>
      </c>
      <c r="B91" s="996" t="s">
        <v>882</v>
      </c>
      <c r="C91" s="996" t="s">
        <v>873</v>
      </c>
      <c r="D91" s="996" t="s">
        <v>90</v>
      </c>
      <c r="E91" s="996" t="s">
        <v>818</v>
      </c>
      <c r="F91" s="996" t="s">
        <v>1002</v>
      </c>
      <c r="G91" s="1116">
        <v>2701000</v>
      </c>
      <c r="H91" s="74" t="s">
        <v>1330</v>
      </c>
      <c r="I91" s="74" t="s">
        <v>1340</v>
      </c>
      <c r="J91" s="74" t="s">
        <v>1328</v>
      </c>
    </row>
    <row r="92" spans="1:18" hidden="1">
      <c r="A92" s="996">
        <v>1</v>
      </c>
      <c r="B92" s="996" t="s">
        <v>882</v>
      </c>
      <c r="C92" s="996" t="s">
        <v>874</v>
      </c>
      <c r="D92" s="996" t="s">
        <v>94</v>
      </c>
      <c r="E92" s="996" t="s">
        <v>819</v>
      </c>
      <c r="F92" s="996" t="s">
        <v>977</v>
      </c>
      <c r="G92" s="997">
        <v>2250000</v>
      </c>
      <c r="H92" s="74" t="s">
        <v>448</v>
      </c>
      <c r="I92" s="74" t="s">
        <v>1339</v>
      </c>
      <c r="J92" s="74" t="s">
        <v>1328</v>
      </c>
    </row>
    <row r="93" spans="1:18" hidden="1">
      <c r="A93" s="996">
        <v>1</v>
      </c>
      <c r="B93" s="996" t="s">
        <v>882</v>
      </c>
      <c r="C93" s="996" t="s">
        <v>874</v>
      </c>
      <c r="D93" s="996" t="s">
        <v>103</v>
      </c>
      <c r="E93" s="996" t="s">
        <v>821</v>
      </c>
      <c r="F93" s="996" t="s">
        <v>978</v>
      </c>
      <c r="G93" s="997">
        <v>98000</v>
      </c>
      <c r="H93" s="74" t="s">
        <v>448</v>
      </c>
      <c r="I93" s="74" t="s">
        <v>1339</v>
      </c>
      <c r="J93" s="74" t="s">
        <v>1328</v>
      </c>
    </row>
    <row r="94" spans="1:18" hidden="1">
      <c r="A94" s="996">
        <v>1</v>
      </c>
      <c r="B94" s="996" t="s">
        <v>882</v>
      </c>
      <c r="C94" s="996" t="s">
        <v>874</v>
      </c>
      <c r="D94" s="996" t="s">
        <v>105</v>
      </c>
      <c r="E94" s="996" t="s">
        <v>822</v>
      </c>
      <c r="F94" s="996" t="s">
        <v>979</v>
      </c>
      <c r="G94" s="997">
        <v>304000</v>
      </c>
      <c r="H94" s="74" t="s">
        <v>448</v>
      </c>
      <c r="I94" s="74" t="s">
        <v>1339</v>
      </c>
      <c r="J94" s="74" t="s">
        <v>1328</v>
      </c>
    </row>
    <row r="95" spans="1:18" hidden="1">
      <c r="A95" s="996">
        <v>1</v>
      </c>
      <c r="B95" s="996" t="s">
        <v>882</v>
      </c>
      <c r="C95" s="996" t="s">
        <v>874</v>
      </c>
      <c r="D95" s="996" t="s">
        <v>286</v>
      </c>
      <c r="E95" s="996" t="s">
        <v>980</v>
      </c>
      <c r="F95" s="996" t="s">
        <v>981</v>
      </c>
      <c r="G95" s="997">
        <v>158000</v>
      </c>
      <c r="H95" s="74" t="s">
        <v>448</v>
      </c>
      <c r="I95" s="74" t="s">
        <v>1339</v>
      </c>
      <c r="J95" s="74" t="s">
        <v>1328</v>
      </c>
    </row>
    <row r="96" spans="1:18" hidden="1">
      <c r="A96" s="996">
        <v>1</v>
      </c>
      <c r="B96" s="996" t="s">
        <v>882</v>
      </c>
      <c r="C96" s="996" t="s">
        <v>874</v>
      </c>
      <c r="D96" s="996" t="s">
        <v>125</v>
      </c>
      <c r="E96" s="996" t="s">
        <v>833</v>
      </c>
      <c r="F96" s="996" t="s">
        <v>1017</v>
      </c>
      <c r="G96" s="997">
        <v>744000</v>
      </c>
      <c r="H96" s="74" t="s">
        <v>448</v>
      </c>
      <c r="I96" s="74" t="s">
        <v>1339</v>
      </c>
      <c r="J96" s="74" t="s">
        <v>1328</v>
      </c>
    </row>
    <row r="97" spans="1:18" hidden="1">
      <c r="A97" s="996">
        <v>1</v>
      </c>
      <c r="B97" s="996" t="s">
        <v>882</v>
      </c>
      <c r="C97" s="996" t="s">
        <v>874</v>
      </c>
      <c r="D97" s="996" t="s">
        <v>127</v>
      </c>
      <c r="E97" s="996" t="s">
        <v>834</v>
      </c>
      <c r="F97" s="996" t="s">
        <v>1408</v>
      </c>
      <c r="G97" s="997">
        <v>20000000</v>
      </c>
      <c r="H97" s="74" t="s">
        <v>448</v>
      </c>
      <c r="I97" s="74" t="s">
        <v>1339</v>
      </c>
      <c r="J97" s="74" t="s">
        <v>1328</v>
      </c>
    </row>
    <row r="98" spans="1:18" hidden="1">
      <c r="A98" s="996">
        <v>1</v>
      </c>
      <c r="B98" s="996" t="s">
        <v>882</v>
      </c>
      <c r="C98" s="996" t="s">
        <v>874</v>
      </c>
      <c r="D98" s="996" t="s">
        <v>138</v>
      </c>
      <c r="E98" s="996" t="s">
        <v>985</v>
      </c>
      <c r="F98" s="996" t="s">
        <v>1018</v>
      </c>
      <c r="G98" s="997">
        <v>1677000</v>
      </c>
      <c r="H98" s="74" t="s">
        <v>448</v>
      </c>
      <c r="I98" s="74" t="s">
        <v>1339</v>
      </c>
      <c r="J98" s="74" t="s">
        <v>1328</v>
      </c>
    </row>
    <row r="99" spans="1:18" hidden="1">
      <c r="A99" s="996">
        <v>1</v>
      </c>
      <c r="B99" s="996" t="s">
        <v>883</v>
      </c>
      <c r="C99" s="996" t="s">
        <v>873</v>
      </c>
      <c r="D99" s="996" t="s">
        <v>67</v>
      </c>
      <c r="E99" s="996" t="s">
        <v>803</v>
      </c>
      <c r="F99" s="996" t="s">
        <v>991</v>
      </c>
      <c r="G99" s="1116">
        <v>34238000</v>
      </c>
      <c r="H99" s="74" t="s">
        <v>1330</v>
      </c>
      <c r="I99" s="74" t="s">
        <v>1340</v>
      </c>
      <c r="J99" s="74" t="s">
        <v>1328</v>
      </c>
    </row>
    <row r="100" spans="1:18" hidden="1">
      <c r="A100" s="996">
        <v>1</v>
      </c>
      <c r="B100" s="996" t="s">
        <v>883</v>
      </c>
      <c r="C100" s="996" t="s">
        <v>873</v>
      </c>
      <c r="D100" s="996" t="s">
        <v>71</v>
      </c>
      <c r="E100" s="996" t="s">
        <v>806</v>
      </c>
      <c r="F100" s="996" t="s">
        <v>1012</v>
      </c>
      <c r="G100" s="1116">
        <v>222000</v>
      </c>
      <c r="H100" s="74" t="s">
        <v>1330</v>
      </c>
      <c r="I100" s="74" t="s">
        <v>1340</v>
      </c>
      <c r="J100" s="74" t="s">
        <v>1328</v>
      </c>
    </row>
    <row r="101" spans="1:18" hidden="1">
      <c r="A101" s="996">
        <v>1</v>
      </c>
      <c r="B101" s="996" t="s">
        <v>883</v>
      </c>
      <c r="C101" s="996" t="s">
        <v>873</v>
      </c>
      <c r="D101" s="996" t="s">
        <v>75</v>
      </c>
      <c r="E101" s="996" t="s">
        <v>799</v>
      </c>
      <c r="F101" s="996" t="s">
        <v>1013</v>
      </c>
      <c r="G101" s="1116">
        <v>13373000</v>
      </c>
      <c r="H101" s="74" t="s">
        <v>1330</v>
      </c>
      <c r="I101" s="74" t="s">
        <v>1340</v>
      </c>
      <c r="J101" s="74" t="s">
        <v>1328</v>
      </c>
    </row>
    <row r="102" spans="1:18" hidden="1">
      <c r="A102" s="996">
        <v>1</v>
      </c>
      <c r="B102" s="996" t="s">
        <v>883</v>
      </c>
      <c r="C102" s="996" t="s">
        <v>873</v>
      </c>
      <c r="D102" s="996" t="s">
        <v>76</v>
      </c>
      <c r="E102" s="996" t="s">
        <v>800</v>
      </c>
      <c r="F102" s="996" t="s">
        <v>1014</v>
      </c>
      <c r="G102" s="1116">
        <v>9338000</v>
      </c>
      <c r="H102" s="74" t="s">
        <v>1330</v>
      </c>
      <c r="I102" s="74" t="s">
        <v>1340</v>
      </c>
      <c r="J102" s="74" t="s">
        <v>1328</v>
      </c>
    </row>
    <row r="103" spans="1:18" hidden="1">
      <c r="A103" s="996">
        <v>1</v>
      </c>
      <c r="B103" s="996" t="s">
        <v>883</v>
      </c>
      <c r="C103" s="996" t="s">
        <v>873</v>
      </c>
      <c r="D103" s="996" t="s">
        <v>77</v>
      </c>
      <c r="E103" s="996" t="s">
        <v>809</v>
      </c>
      <c r="F103" s="996" t="s">
        <v>1015</v>
      </c>
      <c r="G103" s="1116">
        <v>5416000</v>
      </c>
      <c r="H103" s="74" t="s">
        <v>1330</v>
      </c>
      <c r="I103" s="74" t="s">
        <v>1340</v>
      </c>
      <c r="J103" s="74" t="s">
        <v>1328</v>
      </c>
    </row>
    <row r="104" spans="1:18" hidden="1">
      <c r="A104" s="996">
        <v>1</v>
      </c>
      <c r="B104" s="996" t="s">
        <v>883</v>
      </c>
      <c r="C104" s="996" t="s">
        <v>873</v>
      </c>
      <c r="D104" s="996" t="s">
        <v>78</v>
      </c>
      <c r="E104" s="996" t="s">
        <v>810</v>
      </c>
      <c r="F104" s="996" t="s">
        <v>994</v>
      </c>
      <c r="G104" s="1116">
        <v>5092000</v>
      </c>
      <c r="H104" s="74" t="s">
        <v>1330</v>
      </c>
      <c r="I104" s="74" t="s">
        <v>1340</v>
      </c>
      <c r="J104" s="74" t="s">
        <v>1328</v>
      </c>
    </row>
    <row r="105" spans="1:18" hidden="1">
      <c r="A105" s="996">
        <v>1</v>
      </c>
      <c r="B105" s="996" t="s">
        <v>883</v>
      </c>
      <c r="C105" s="996" t="s">
        <v>873</v>
      </c>
      <c r="D105" s="996" t="s">
        <v>79</v>
      </c>
      <c r="E105" s="996" t="s">
        <v>801</v>
      </c>
      <c r="F105" s="996" t="s">
        <v>403</v>
      </c>
      <c r="G105" s="1116">
        <v>2823000</v>
      </c>
      <c r="H105" s="74" t="s">
        <v>1330</v>
      </c>
      <c r="I105" s="74" t="s">
        <v>1340</v>
      </c>
      <c r="J105" s="74" t="s">
        <v>1328</v>
      </c>
    </row>
    <row r="106" spans="1:18" hidden="1">
      <c r="A106" s="996">
        <v>1</v>
      </c>
      <c r="B106" s="996" t="s">
        <v>883</v>
      </c>
      <c r="C106" s="996" t="s">
        <v>873</v>
      </c>
      <c r="D106" s="996" t="s">
        <v>82</v>
      </c>
      <c r="E106" s="996" t="s">
        <v>811</v>
      </c>
      <c r="F106" s="996" t="s">
        <v>995</v>
      </c>
      <c r="G106" s="1116">
        <v>6020000</v>
      </c>
      <c r="H106" s="74" t="s">
        <v>1330</v>
      </c>
      <c r="I106" s="74" t="s">
        <v>1340</v>
      </c>
      <c r="J106" s="74" t="s">
        <v>1328</v>
      </c>
    </row>
    <row r="107" spans="1:18" hidden="1">
      <c r="A107" s="996">
        <v>1</v>
      </c>
      <c r="B107" s="996" t="s">
        <v>883</v>
      </c>
      <c r="C107" s="996" t="s">
        <v>873</v>
      </c>
      <c r="D107" s="996" t="s">
        <v>83</v>
      </c>
      <c r="E107" s="996" t="s">
        <v>812</v>
      </c>
      <c r="F107" s="996" t="s">
        <v>996</v>
      </c>
      <c r="G107" s="1116">
        <v>325000</v>
      </c>
      <c r="H107" s="74" t="s">
        <v>1330</v>
      </c>
      <c r="I107" s="74" t="s">
        <v>1340</v>
      </c>
      <c r="J107" s="74" t="s">
        <v>1328</v>
      </c>
    </row>
    <row r="108" spans="1:18" hidden="1">
      <c r="A108" s="996">
        <v>1</v>
      </c>
      <c r="B108" s="996" t="s">
        <v>883</v>
      </c>
      <c r="C108" s="996" t="s">
        <v>873</v>
      </c>
      <c r="D108" s="996" t="s">
        <v>84</v>
      </c>
      <c r="E108" s="996" t="s">
        <v>813</v>
      </c>
      <c r="F108" s="996" t="s">
        <v>1409</v>
      </c>
      <c r="G108" s="1116">
        <v>976000</v>
      </c>
      <c r="H108" s="74" t="s">
        <v>1330</v>
      </c>
      <c r="I108" s="74" t="s">
        <v>1340</v>
      </c>
      <c r="J108" s="74" t="s">
        <v>1328</v>
      </c>
    </row>
    <row r="109" spans="1:18" hidden="1">
      <c r="A109" s="996">
        <v>1</v>
      </c>
      <c r="B109" s="996" t="s">
        <v>883</v>
      </c>
      <c r="C109" s="996" t="s">
        <v>873</v>
      </c>
      <c r="D109" s="996" t="s">
        <v>85</v>
      </c>
      <c r="E109" s="996" t="s">
        <v>814</v>
      </c>
      <c r="F109" s="996" t="s">
        <v>998</v>
      </c>
      <c r="G109" s="1116">
        <v>3254000</v>
      </c>
      <c r="H109" s="74" t="s">
        <v>1330</v>
      </c>
      <c r="I109" s="74" t="s">
        <v>1340</v>
      </c>
      <c r="J109" s="74" t="s">
        <v>1328</v>
      </c>
    </row>
    <row r="110" spans="1:18" s="915" customFormat="1" hidden="1">
      <c r="A110" s="996">
        <v>1</v>
      </c>
      <c r="B110" s="996" t="s">
        <v>883</v>
      </c>
      <c r="C110" s="996" t="s">
        <v>873</v>
      </c>
      <c r="D110" s="996" t="s">
        <v>86</v>
      </c>
      <c r="E110" s="996" t="s">
        <v>815</v>
      </c>
      <c r="F110" s="996" t="s">
        <v>999</v>
      </c>
      <c r="G110" s="1116">
        <v>325000</v>
      </c>
      <c r="H110" s="74" t="s">
        <v>1330</v>
      </c>
      <c r="I110" s="74" t="s">
        <v>1340</v>
      </c>
      <c r="J110" s="74" t="s">
        <v>1328</v>
      </c>
      <c r="M110" s="989"/>
      <c r="R110" s="989"/>
    </row>
    <row r="111" spans="1:18" s="915" customFormat="1" hidden="1">
      <c r="A111" s="996">
        <v>1</v>
      </c>
      <c r="B111" s="996" t="s">
        <v>883</v>
      </c>
      <c r="C111" s="996" t="s">
        <v>873</v>
      </c>
      <c r="D111" s="996" t="s">
        <v>425</v>
      </c>
      <c r="E111" s="996" t="s">
        <v>816</v>
      </c>
      <c r="F111" s="996" t="s">
        <v>1000</v>
      </c>
      <c r="G111" s="1116">
        <v>3528000</v>
      </c>
      <c r="H111" s="74" t="s">
        <v>1330</v>
      </c>
      <c r="I111" s="74" t="s">
        <v>1340</v>
      </c>
      <c r="J111" s="74" t="s">
        <v>1328</v>
      </c>
      <c r="M111" s="989"/>
      <c r="R111" s="989"/>
    </row>
    <row r="112" spans="1:18" s="915" customFormat="1" hidden="1">
      <c r="A112" s="996">
        <v>1</v>
      </c>
      <c r="B112" s="996" t="s">
        <v>883</v>
      </c>
      <c r="C112" s="996" t="s">
        <v>873</v>
      </c>
      <c r="D112" s="996" t="s">
        <v>89</v>
      </c>
      <c r="E112" s="996" t="s">
        <v>817</v>
      </c>
      <c r="F112" s="996" t="s">
        <v>1001</v>
      </c>
      <c r="G112" s="1116">
        <v>1953000</v>
      </c>
      <c r="H112" s="74" t="s">
        <v>1330</v>
      </c>
      <c r="I112" s="74" t="s">
        <v>1340</v>
      </c>
      <c r="J112" s="74" t="s">
        <v>1328</v>
      </c>
      <c r="M112" s="989"/>
      <c r="R112" s="989"/>
    </row>
    <row r="113" spans="1:18" s="915" customFormat="1" hidden="1">
      <c r="A113" s="996">
        <v>1</v>
      </c>
      <c r="B113" s="996" t="s">
        <v>883</v>
      </c>
      <c r="C113" s="996" t="s">
        <v>873</v>
      </c>
      <c r="D113" s="996" t="s">
        <v>90</v>
      </c>
      <c r="E113" s="996" t="s">
        <v>818</v>
      </c>
      <c r="F113" s="996" t="s">
        <v>1002</v>
      </c>
      <c r="G113" s="1116">
        <v>976000</v>
      </c>
      <c r="H113" s="74" t="s">
        <v>1330</v>
      </c>
      <c r="I113" s="74" t="s">
        <v>1340</v>
      </c>
      <c r="J113" s="74" t="s">
        <v>1328</v>
      </c>
      <c r="M113" s="989"/>
      <c r="R113" s="989"/>
    </row>
    <row r="114" spans="1:18" s="915" customFormat="1" hidden="1">
      <c r="A114" s="996">
        <v>1</v>
      </c>
      <c r="B114" s="996" t="s">
        <v>883</v>
      </c>
      <c r="C114" s="996" t="s">
        <v>874</v>
      </c>
      <c r="D114" s="996" t="s">
        <v>94</v>
      </c>
      <c r="E114" s="996" t="s">
        <v>819</v>
      </c>
      <c r="F114" s="996" t="s">
        <v>1019</v>
      </c>
      <c r="G114" s="997">
        <v>356000</v>
      </c>
      <c r="H114" s="74" t="s">
        <v>448</v>
      </c>
      <c r="I114" s="74" t="s">
        <v>1339</v>
      </c>
      <c r="J114" s="74" t="s">
        <v>1328</v>
      </c>
      <c r="M114" s="989"/>
      <c r="R114" s="989"/>
    </row>
    <row r="115" spans="1:18" s="915" customFormat="1" hidden="1">
      <c r="A115" s="996">
        <v>1</v>
      </c>
      <c r="B115" s="996" t="s">
        <v>883</v>
      </c>
      <c r="C115" s="996" t="s">
        <v>874</v>
      </c>
      <c r="D115" s="996" t="s">
        <v>103</v>
      </c>
      <c r="E115" s="996" t="s">
        <v>821</v>
      </c>
      <c r="F115" s="996" t="s">
        <v>1020</v>
      </c>
      <c r="G115" s="997">
        <v>16000</v>
      </c>
      <c r="H115" s="74" t="s">
        <v>448</v>
      </c>
      <c r="I115" s="74" t="s">
        <v>1339</v>
      </c>
      <c r="J115" s="74" t="s">
        <v>1328</v>
      </c>
      <c r="M115" s="989"/>
      <c r="R115" s="989"/>
    </row>
    <row r="116" spans="1:18" s="915" customFormat="1" hidden="1">
      <c r="A116" s="996">
        <v>1</v>
      </c>
      <c r="B116" s="996" t="s">
        <v>883</v>
      </c>
      <c r="C116" s="996" t="s">
        <v>874</v>
      </c>
      <c r="D116" s="996" t="s">
        <v>105</v>
      </c>
      <c r="E116" s="996" t="s">
        <v>822</v>
      </c>
      <c r="F116" s="996" t="s">
        <v>1003</v>
      </c>
      <c r="G116" s="997">
        <v>48000</v>
      </c>
      <c r="H116" s="74" t="s">
        <v>448</v>
      </c>
      <c r="I116" s="74" t="s">
        <v>1339</v>
      </c>
      <c r="J116" s="74" t="s">
        <v>1328</v>
      </c>
      <c r="M116" s="989"/>
      <c r="R116" s="989"/>
    </row>
    <row r="117" spans="1:18" s="915" customFormat="1" hidden="1">
      <c r="A117" s="996">
        <v>1</v>
      </c>
      <c r="B117" s="996" t="s">
        <v>883</v>
      </c>
      <c r="C117" s="996" t="s">
        <v>874</v>
      </c>
      <c r="D117" s="996" t="s">
        <v>286</v>
      </c>
      <c r="E117" s="996" t="s">
        <v>980</v>
      </c>
      <c r="F117" s="996" t="s">
        <v>1410</v>
      </c>
      <c r="G117" s="997">
        <v>26000</v>
      </c>
      <c r="H117" s="74" t="s">
        <v>448</v>
      </c>
      <c r="I117" s="74" t="s">
        <v>1339</v>
      </c>
      <c r="J117" s="74" t="s">
        <v>1328</v>
      </c>
      <c r="M117" s="989"/>
      <c r="R117" s="989"/>
    </row>
    <row r="118" spans="1:18" s="915" customFormat="1" hidden="1">
      <c r="A118" s="996">
        <v>1</v>
      </c>
      <c r="B118" s="996" t="s">
        <v>883</v>
      </c>
      <c r="C118" s="996" t="s">
        <v>874</v>
      </c>
      <c r="D118" s="996" t="s">
        <v>125</v>
      </c>
      <c r="E118" s="996" t="s">
        <v>833</v>
      </c>
      <c r="F118" s="996" t="s">
        <v>1022</v>
      </c>
      <c r="G118" s="997">
        <v>118000</v>
      </c>
      <c r="H118" s="74" t="s">
        <v>448</v>
      </c>
      <c r="I118" s="74" t="s">
        <v>1339</v>
      </c>
      <c r="J118" s="74" t="s">
        <v>1328</v>
      </c>
      <c r="M118" s="989"/>
      <c r="R118" s="989"/>
    </row>
    <row r="119" spans="1:18" s="915" customFormat="1" hidden="1">
      <c r="A119" s="996">
        <v>1</v>
      </c>
      <c r="B119" s="996" t="s">
        <v>883</v>
      </c>
      <c r="C119" s="996" t="s">
        <v>874</v>
      </c>
      <c r="D119" s="996" t="s">
        <v>138</v>
      </c>
      <c r="E119" s="996" t="s">
        <v>985</v>
      </c>
      <c r="F119" s="996" t="s">
        <v>1023</v>
      </c>
      <c r="G119" s="997">
        <v>605000</v>
      </c>
      <c r="H119" s="74" t="s">
        <v>448</v>
      </c>
      <c r="I119" s="74" t="s">
        <v>1339</v>
      </c>
      <c r="J119" s="74" t="s">
        <v>1328</v>
      </c>
      <c r="M119" s="989"/>
      <c r="R119" s="989"/>
    </row>
    <row r="120" spans="1:18" s="915" customFormat="1" hidden="1">
      <c r="A120" s="996">
        <v>1</v>
      </c>
      <c r="B120" s="996" t="s">
        <v>884</v>
      </c>
      <c r="C120" s="996" t="s">
        <v>873</v>
      </c>
      <c r="D120" s="996" t="s">
        <v>67</v>
      </c>
      <c r="E120" s="996" t="s">
        <v>803</v>
      </c>
      <c r="F120" s="996" t="s">
        <v>1024</v>
      </c>
      <c r="G120" s="1116">
        <v>41526000</v>
      </c>
      <c r="H120" s="74" t="s">
        <v>1330</v>
      </c>
      <c r="I120" s="74" t="s">
        <v>1340</v>
      </c>
      <c r="J120" s="74" t="s">
        <v>1328</v>
      </c>
      <c r="M120" s="989"/>
      <c r="R120" s="989"/>
    </row>
    <row r="121" spans="1:18" s="915" customFormat="1" hidden="1">
      <c r="A121" s="996">
        <v>1</v>
      </c>
      <c r="B121" s="996" t="s">
        <v>884</v>
      </c>
      <c r="C121" s="996" t="s">
        <v>873</v>
      </c>
      <c r="D121" s="996" t="s">
        <v>71</v>
      </c>
      <c r="E121" s="996" t="s">
        <v>806</v>
      </c>
      <c r="F121" s="996" t="s">
        <v>1012</v>
      </c>
      <c r="G121" s="1116">
        <v>4411000</v>
      </c>
      <c r="H121" s="74" t="s">
        <v>1330</v>
      </c>
      <c r="I121" s="74" t="s">
        <v>1340</v>
      </c>
      <c r="J121" s="74" t="s">
        <v>1328</v>
      </c>
      <c r="M121" s="989"/>
      <c r="R121" s="989"/>
    </row>
    <row r="122" spans="1:18" s="915" customFormat="1" hidden="1">
      <c r="A122" s="996">
        <v>1</v>
      </c>
      <c r="B122" s="996" t="s">
        <v>884</v>
      </c>
      <c r="C122" s="996" t="s">
        <v>873</v>
      </c>
      <c r="D122" s="996" t="s">
        <v>75</v>
      </c>
      <c r="E122" s="996" t="s">
        <v>799</v>
      </c>
      <c r="F122" s="996" t="s">
        <v>1013</v>
      </c>
      <c r="G122" s="1116">
        <v>7022000</v>
      </c>
      <c r="H122" s="74" t="s">
        <v>1330</v>
      </c>
      <c r="I122" s="74" t="s">
        <v>1340</v>
      </c>
      <c r="J122" s="74" t="s">
        <v>1328</v>
      </c>
      <c r="M122" s="989"/>
      <c r="R122" s="989"/>
    </row>
    <row r="123" spans="1:18" s="915" customFormat="1" hidden="1">
      <c r="A123" s="996">
        <v>1</v>
      </c>
      <c r="B123" s="996" t="s">
        <v>884</v>
      </c>
      <c r="C123" s="996" t="s">
        <v>873</v>
      </c>
      <c r="D123" s="996" t="s">
        <v>76</v>
      </c>
      <c r="E123" s="996" t="s">
        <v>800</v>
      </c>
      <c r="F123" s="996" t="s">
        <v>1014</v>
      </c>
      <c r="G123" s="1116">
        <v>9218000</v>
      </c>
      <c r="H123" s="74" t="s">
        <v>1330</v>
      </c>
      <c r="I123" s="74" t="s">
        <v>1340</v>
      </c>
      <c r="J123" s="74" t="s">
        <v>1328</v>
      </c>
      <c r="M123" s="989"/>
      <c r="R123" s="989"/>
    </row>
    <row r="124" spans="1:18" hidden="1">
      <c r="A124" s="996">
        <v>1</v>
      </c>
      <c r="B124" s="996" t="s">
        <v>884</v>
      </c>
      <c r="C124" s="996" t="s">
        <v>873</v>
      </c>
      <c r="D124" s="996" t="s">
        <v>77</v>
      </c>
      <c r="E124" s="996" t="s">
        <v>809</v>
      </c>
      <c r="F124" s="996" t="s">
        <v>1015</v>
      </c>
      <c r="G124" s="1116">
        <v>5843000</v>
      </c>
      <c r="H124" s="74" t="s">
        <v>1330</v>
      </c>
      <c r="I124" s="74" t="s">
        <v>1340</v>
      </c>
      <c r="J124" s="74" t="s">
        <v>1328</v>
      </c>
    </row>
    <row r="125" spans="1:18" hidden="1">
      <c r="A125" s="996">
        <v>1</v>
      </c>
      <c r="B125" s="996" t="s">
        <v>884</v>
      </c>
      <c r="C125" s="996" t="s">
        <v>873</v>
      </c>
      <c r="D125" s="996" t="s">
        <v>78</v>
      </c>
      <c r="E125" s="996" t="s">
        <v>810</v>
      </c>
      <c r="F125" s="996" t="s">
        <v>994</v>
      </c>
      <c r="G125" s="1116">
        <v>5493000</v>
      </c>
      <c r="H125" s="74" t="s">
        <v>1330</v>
      </c>
      <c r="I125" s="74" t="s">
        <v>1340</v>
      </c>
      <c r="J125" s="74" t="s">
        <v>1328</v>
      </c>
    </row>
    <row r="126" spans="1:18" hidden="1">
      <c r="A126" s="996">
        <v>1</v>
      </c>
      <c r="B126" s="996" t="s">
        <v>884</v>
      </c>
      <c r="C126" s="996" t="s">
        <v>873</v>
      </c>
      <c r="D126" s="996" t="s">
        <v>79</v>
      </c>
      <c r="E126" s="996" t="s">
        <v>801</v>
      </c>
      <c r="F126" s="996" t="s">
        <v>1168</v>
      </c>
      <c r="G126" s="1116">
        <v>2550000</v>
      </c>
      <c r="H126" s="74" t="s">
        <v>1330</v>
      </c>
      <c r="I126" s="74" t="s">
        <v>1340</v>
      </c>
      <c r="J126" s="74" t="s">
        <v>1328</v>
      </c>
    </row>
    <row r="127" spans="1:18" hidden="1">
      <c r="A127" s="996">
        <v>1</v>
      </c>
      <c r="B127" s="996" t="s">
        <v>884</v>
      </c>
      <c r="C127" s="996" t="s">
        <v>873</v>
      </c>
      <c r="D127" s="996" t="s">
        <v>82</v>
      </c>
      <c r="E127" s="996" t="s">
        <v>811</v>
      </c>
      <c r="F127" s="996" t="s">
        <v>995</v>
      </c>
      <c r="G127" s="1116">
        <v>6495000</v>
      </c>
      <c r="H127" s="74" t="s">
        <v>1330</v>
      </c>
      <c r="I127" s="74" t="s">
        <v>1340</v>
      </c>
      <c r="J127" s="74" t="s">
        <v>1328</v>
      </c>
    </row>
    <row r="128" spans="1:18" hidden="1">
      <c r="A128" s="996">
        <v>1</v>
      </c>
      <c r="B128" s="996" t="s">
        <v>884</v>
      </c>
      <c r="C128" s="996" t="s">
        <v>873</v>
      </c>
      <c r="D128" s="996" t="s">
        <v>83</v>
      </c>
      <c r="E128" s="996" t="s">
        <v>812</v>
      </c>
      <c r="F128" s="996" t="s">
        <v>996</v>
      </c>
      <c r="G128" s="1116">
        <v>351000</v>
      </c>
      <c r="H128" s="74" t="s">
        <v>1330</v>
      </c>
      <c r="I128" s="74" t="s">
        <v>1340</v>
      </c>
      <c r="J128" s="74" t="s">
        <v>1328</v>
      </c>
    </row>
    <row r="129" spans="1:10" hidden="1">
      <c r="A129" s="996">
        <v>1</v>
      </c>
      <c r="B129" s="996" t="s">
        <v>884</v>
      </c>
      <c r="C129" s="996" t="s">
        <v>873</v>
      </c>
      <c r="D129" s="996" t="s">
        <v>84</v>
      </c>
      <c r="E129" s="996" t="s">
        <v>813</v>
      </c>
      <c r="F129" s="996" t="s">
        <v>997</v>
      </c>
      <c r="G129" s="1116">
        <v>1053000</v>
      </c>
      <c r="H129" s="74" t="s">
        <v>1330</v>
      </c>
      <c r="I129" s="74" t="s">
        <v>1340</v>
      </c>
      <c r="J129" s="74" t="s">
        <v>1328</v>
      </c>
    </row>
    <row r="130" spans="1:10" hidden="1">
      <c r="A130" s="996">
        <v>1</v>
      </c>
      <c r="B130" s="996" t="s">
        <v>884</v>
      </c>
      <c r="C130" s="996" t="s">
        <v>873</v>
      </c>
      <c r="D130" s="996" t="s">
        <v>85</v>
      </c>
      <c r="E130" s="996" t="s">
        <v>814</v>
      </c>
      <c r="F130" s="996" t="s">
        <v>998</v>
      </c>
      <c r="G130" s="1116">
        <v>3511000</v>
      </c>
      <c r="H130" s="74" t="s">
        <v>1330</v>
      </c>
      <c r="I130" s="74" t="s">
        <v>1340</v>
      </c>
      <c r="J130" s="74" t="s">
        <v>1328</v>
      </c>
    </row>
    <row r="131" spans="1:10" hidden="1">
      <c r="A131" s="996">
        <v>1</v>
      </c>
      <c r="B131" s="996" t="s">
        <v>884</v>
      </c>
      <c r="C131" s="996" t="s">
        <v>873</v>
      </c>
      <c r="D131" s="996" t="s">
        <v>86</v>
      </c>
      <c r="E131" s="996" t="s">
        <v>815</v>
      </c>
      <c r="F131" s="996" t="s">
        <v>1411</v>
      </c>
      <c r="G131" s="1116">
        <v>351000</v>
      </c>
      <c r="H131" s="74" t="s">
        <v>1330</v>
      </c>
      <c r="I131" s="74" t="s">
        <v>1340</v>
      </c>
      <c r="J131" s="74" t="s">
        <v>1328</v>
      </c>
    </row>
    <row r="132" spans="1:10" hidden="1">
      <c r="A132" s="996">
        <v>1</v>
      </c>
      <c r="B132" s="996" t="s">
        <v>884</v>
      </c>
      <c r="C132" s="996" t="s">
        <v>873</v>
      </c>
      <c r="D132" s="996" t="s">
        <v>425</v>
      </c>
      <c r="E132" s="996" t="s">
        <v>816</v>
      </c>
      <c r="F132" s="996" t="s">
        <v>1000</v>
      </c>
      <c r="G132" s="1116">
        <v>3806000</v>
      </c>
      <c r="H132" s="74" t="s">
        <v>1330</v>
      </c>
      <c r="I132" s="74" t="s">
        <v>1340</v>
      </c>
      <c r="J132" s="74" t="s">
        <v>1328</v>
      </c>
    </row>
    <row r="133" spans="1:10" hidden="1">
      <c r="A133" s="996">
        <v>1</v>
      </c>
      <c r="B133" s="996" t="s">
        <v>884</v>
      </c>
      <c r="C133" s="996" t="s">
        <v>873</v>
      </c>
      <c r="D133" s="996" t="s">
        <v>89</v>
      </c>
      <c r="E133" s="996" t="s">
        <v>817</v>
      </c>
      <c r="F133" s="996" t="s">
        <v>1001</v>
      </c>
      <c r="G133" s="1116">
        <v>2106000</v>
      </c>
      <c r="H133" s="74" t="s">
        <v>1330</v>
      </c>
      <c r="I133" s="74" t="s">
        <v>1340</v>
      </c>
      <c r="J133" s="74" t="s">
        <v>1328</v>
      </c>
    </row>
    <row r="134" spans="1:10" hidden="1">
      <c r="A134" s="996">
        <v>1</v>
      </c>
      <c r="B134" s="996" t="s">
        <v>884</v>
      </c>
      <c r="C134" s="996" t="s">
        <v>873</v>
      </c>
      <c r="D134" s="996" t="s">
        <v>90</v>
      </c>
      <c r="E134" s="996" t="s">
        <v>818</v>
      </c>
      <c r="F134" s="996" t="s">
        <v>1002</v>
      </c>
      <c r="G134" s="1116">
        <v>1053000</v>
      </c>
      <c r="H134" s="74" t="s">
        <v>1330</v>
      </c>
      <c r="I134" s="74" t="s">
        <v>1340</v>
      </c>
      <c r="J134" s="74" t="s">
        <v>1328</v>
      </c>
    </row>
    <row r="135" spans="1:10" hidden="1">
      <c r="A135" s="996">
        <v>1</v>
      </c>
      <c r="B135" s="996" t="s">
        <v>884</v>
      </c>
      <c r="C135" s="996" t="s">
        <v>874</v>
      </c>
      <c r="D135" s="996" t="s">
        <v>94</v>
      </c>
      <c r="E135" s="996" t="s">
        <v>819</v>
      </c>
      <c r="F135" s="996" t="s">
        <v>977</v>
      </c>
      <c r="G135" s="997">
        <v>1282000</v>
      </c>
      <c r="H135" s="74" t="s">
        <v>448</v>
      </c>
      <c r="I135" s="74" t="s">
        <v>1339</v>
      </c>
      <c r="J135" s="74" t="s">
        <v>1328</v>
      </c>
    </row>
    <row r="136" spans="1:10" hidden="1">
      <c r="A136" s="996">
        <v>1</v>
      </c>
      <c r="B136" s="996" t="s">
        <v>884</v>
      </c>
      <c r="C136" s="996" t="s">
        <v>874</v>
      </c>
      <c r="D136" s="996" t="s">
        <v>103</v>
      </c>
      <c r="E136" s="996" t="s">
        <v>821</v>
      </c>
      <c r="F136" s="996" t="s">
        <v>1020</v>
      </c>
      <c r="G136" s="997">
        <v>56000</v>
      </c>
      <c r="H136" s="74" t="s">
        <v>448</v>
      </c>
      <c r="I136" s="74" t="s">
        <v>1339</v>
      </c>
      <c r="J136" s="74" t="s">
        <v>1328</v>
      </c>
    </row>
    <row r="137" spans="1:10" hidden="1">
      <c r="A137" s="996">
        <v>1</v>
      </c>
      <c r="B137" s="996" t="s">
        <v>884</v>
      </c>
      <c r="C137" s="996" t="s">
        <v>874</v>
      </c>
      <c r="D137" s="996" t="s">
        <v>105</v>
      </c>
      <c r="E137" s="996" t="s">
        <v>822</v>
      </c>
      <c r="F137" s="996" t="s">
        <v>1003</v>
      </c>
      <c r="G137" s="997">
        <v>174000</v>
      </c>
      <c r="H137" s="74" t="s">
        <v>448</v>
      </c>
      <c r="I137" s="74" t="s">
        <v>1339</v>
      </c>
      <c r="J137" s="74" t="s">
        <v>1328</v>
      </c>
    </row>
    <row r="138" spans="1:10" hidden="1">
      <c r="A138" s="996">
        <v>1</v>
      </c>
      <c r="B138" s="996" t="s">
        <v>884</v>
      </c>
      <c r="C138" s="996" t="s">
        <v>874</v>
      </c>
      <c r="D138" s="996" t="s">
        <v>286</v>
      </c>
      <c r="E138" s="996" t="s">
        <v>980</v>
      </c>
      <c r="F138" s="996" t="s">
        <v>1021</v>
      </c>
      <c r="G138" s="997">
        <v>90000</v>
      </c>
      <c r="H138" s="74" t="s">
        <v>448</v>
      </c>
      <c r="I138" s="74" t="s">
        <v>1339</v>
      </c>
      <c r="J138" s="74" t="s">
        <v>1328</v>
      </c>
    </row>
    <row r="139" spans="1:10" hidden="1">
      <c r="A139" s="996">
        <v>1</v>
      </c>
      <c r="B139" s="996" t="s">
        <v>884</v>
      </c>
      <c r="C139" s="996" t="s">
        <v>874</v>
      </c>
      <c r="D139" s="996" t="s">
        <v>125</v>
      </c>
      <c r="E139" s="996" t="s">
        <v>833</v>
      </c>
      <c r="F139" s="996" t="s">
        <v>1025</v>
      </c>
      <c r="G139" s="997">
        <v>424000</v>
      </c>
      <c r="H139" s="74" t="s">
        <v>448</v>
      </c>
      <c r="I139" s="74" t="s">
        <v>1339</v>
      </c>
      <c r="J139" s="74" t="s">
        <v>1328</v>
      </c>
    </row>
    <row r="140" spans="1:10" hidden="1">
      <c r="A140" s="996">
        <v>1</v>
      </c>
      <c r="B140" s="996" t="s">
        <v>884</v>
      </c>
      <c r="C140" s="996" t="s">
        <v>874</v>
      </c>
      <c r="D140" s="996" t="s">
        <v>138</v>
      </c>
      <c r="E140" s="996" t="s">
        <v>985</v>
      </c>
      <c r="F140" s="996" t="s">
        <v>1026</v>
      </c>
      <c r="G140" s="997">
        <v>654000</v>
      </c>
      <c r="H140" s="74" t="s">
        <v>448</v>
      </c>
      <c r="I140" s="74" t="s">
        <v>1339</v>
      </c>
      <c r="J140" s="74" t="s">
        <v>1328</v>
      </c>
    </row>
    <row r="141" spans="1:10" hidden="1">
      <c r="A141" s="996">
        <v>1</v>
      </c>
      <c r="B141" s="996" t="s">
        <v>885</v>
      </c>
      <c r="C141" s="996" t="s">
        <v>873</v>
      </c>
      <c r="D141" s="996" t="s">
        <v>67</v>
      </c>
      <c r="E141" s="996" t="s">
        <v>803</v>
      </c>
      <c r="F141" s="996" t="s">
        <v>1027</v>
      </c>
      <c r="G141" s="1116">
        <v>103095000</v>
      </c>
      <c r="H141" s="74" t="s">
        <v>1330</v>
      </c>
      <c r="I141" s="74" t="s">
        <v>1340</v>
      </c>
      <c r="J141" s="74" t="s">
        <v>1328</v>
      </c>
    </row>
    <row r="142" spans="1:10" hidden="1">
      <c r="A142" s="996">
        <v>1</v>
      </c>
      <c r="B142" s="996" t="s">
        <v>885</v>
      </c>
      <c r="C142" s="996" t="s">
        <v>873</v>
      </c>
      <c r="D142" s="996" t="s">
        <v>71</v>
      </c>
      <c r="E142" s="996" t="s">
        <v>806</v>
      </c>
      <c r="F142" s="996" t="s">
        <v>1012</v>
      </c>
      <c r="G142" s="1116">
        <v>167000</v>
      </c>
      <c r="H142" s="74" t="s">
        <v>1330</v>
      </c>
      <c r="I142" s="74" t="s">
        <v>1340</v>
      </c>
      <c r="J142" s="74" t="s">
        <v>1328</v>
      </c>
    </row>
    <row r="143" spans="1:10" hidden="1">
      <c r="A143" s="996">
        <v>1</v>
      </c>
      <c r="B143" s="996" t="s">
        <v>885</v>
      </c>
      <c r="C143" s="996" t="s">
        <v>873</v>
      </c>
      <c r="D143" s="996" t="s">
        <v>75</v>
      </c>
      <c r="E143" s="996" t="s">
        <v>799</v>
      </c>
      <c r="F143" s="996" t="s">
        <v>1013</v>
      </c>
      <c r="G143" s="1116">
        <v>16182000</v>
      </c>
      <c r="H143" s="74" t="s">
        <v>1330</v>
      </c>
      <c r="I143" s="74" t="s">
        <v>1340</v>
      </c>
      <c r="J143" s="74" t="s">
        <v>1328</v>
      </c>
    </row>
    <row r="144" spans="1:10" hidden="1">
      <c r="A144" s="996">
        <v>1</v>
      </c>
      <c r="B144" s="996" t="s">
        <v>885</v>
      </c>
      <c r="C144" s="996" t="s">
        <v>873</v>
      </c>
      <c r="D144" s="996" t="s">
        <v>76</v>
      </c>
      <c r="E144" s="996" t="s">
        <v>800</v>
      </c>
      <c r="F144" s="996" t="s">
        <v>1014</v>
      </c>
      <c r="G144" s="1116">
        <v>25487000</v>
      </c>
      <c r="H144" s="74" t="s">
        <v>1330</v>
      </c>
      <c r="I144" s="74" t="s">
        <v>1340</v>
      </c>
      <c r="J144" s="74" t="s">
        <v>1328</v>
      </c>
    </row>
    <row r="145" spans="1:18" hidden="1">
      <c r="A145" s="996">
        <v>1</v>
      </c>
      <c r="B145" s="996" t="s">
        <v>885</v>
      </c>
      <c r="C145" s="996" t="s">
        <v>873</v>
      </c>
      <c r="D145" s="996" t="s">
        <v>77</v>
      </c>
      <c r="E145" s="996" t="s">
        <v>809</v>
      </c>
      <c r="F145" s="996" t="s">
        <v>1015</v>
      </c>
      <c r="G145" s="1116">
        <v>13528000</v>
      </c>
      <c r="H145" s="74" t="s">
        <v>1330</v>
      </c>
      <c r="I145" s="74" t="s">
        <v>1340</v>
      </c>
      <c r="J145" s="74" t="s">
        <v>1328</v>
      </c>
    </row>
    <row r="146" spans="1:18" hidden="1">
      <c r="A146" s="996">
        <v>1</v>
      </c>
      <c r="B146" s="996" t="s">
        <v>885</v>
      </c>
      <c r="C146" s="996" t="s">
        <v>873</v>
      </c>
      <c r="D146" s="996" t="s">
        <v>78</v>
      </c>
      <c r="E146" s="996" t="s">
        <v>810</v>
      </c>
      <c r="F146" s="996" t="s">
        <v>994</v>
      </c>
      <c r="G146" s="1116">
        <v>12785000</v>
      </c>
      <c r="H146" s="74" t="s">
        <v>1330</v>
      </c>
      <c r="I146" s="74" t="s">
        <v>1340</v>
      </c>
      <c r="J146" s="74" t="s">
        <v>1328</v>
      </c>
    </row>
    <row r="147" spans="1:18" hidden="1">
      <c r="A147" s="996">
        <v>1</v>
      </c>
      <c r="B147" s="996" t="s">
        <v>885</v>
      </c>
      <c r="C147" s="996" t="s">
        <v>873</v>
      </c>
      <c r="D147" s="996" t="s">
        <v>79</v>
      </c>
      <c r="E147" s="996" t="s">
        <v>801</v>
      </c>
      <c r="F147" s="996" t="s">
        <v>1016</v>
      </c>
      <c r="G147" s="1116">
        <v>4923000</v>
      </c>
      <c r="H147" s="74" t="s">
        <v>1330</v>
      </c>
      <c r="I147" s="74" t="s">
        <v>1340</v>
      </c>
      <c r="J147" s="74" t="s">
        <v>1328</v>
      </c>
    </row>
    <row r="148" spans="1:18" hidden="1">
      <c r="A148" s="996">
        <v>1</v>
      </c>
      <c r="B148" s="996" t="s">
        <v>885</v>
      </c>
      <c r="C148" s="996" t="s">
        <v>873</v>
      </c>
      <c r="D148" s="996" t="s">
        <v>82</v>
      </c>
      <c r="E148" s="996" t="s">
        <v>811</v>
      </c>
      <c r="F148" s="996" t="s">
        <v>995</v>
      </c>
      <c r="G148" s="1116">
        <v>15044000</v>
      </c>
      <c r="H148" s="74" t="s">
        <v>1330</v>
      </c>
      <c r="I148" s="74" t="s">
        <v>1340</v>
      </c>
      <c r="J148" s="74" t="s">
        <v>1328</v>
      </c>
    </row>
    <row r="149" spans="1:18" hidden="1">
      <c r="A149" s="996">
        <v>1</v>
      </c>
      <c r="B149" s="996" t="s">
        <v>885</v>
      </c>
      <c r="C149" s="996" t="s">
        <v>873</v>
      </c>
      <c r="D149" s="996" t="s">
        <v>83</v>
      </c>
      <c r="E149" s="996" t="s">
        <v>812</v>
      </c>
      <c r="F149" s="996" t="s">
        <v>996</v>
      </c>
      <c r="G149" s="1116">
        <v>813000</v>
      </c>
      <c r="H149" s="74" t="s">
        <v>1330</v>
      </c>
      <c r="I149" s="74" t="s">
        <v>1340</v>
      </c>
      <c r="J149" s="74" t="s">
        <v>1328</v>
      </c>
    </row>
    <row r="150" spans="1:18" hidden="1">
      <c r="A150" s="996">
        <v>1</v>
      </c>
      <c r="B150" s="996" t="s">
        <v>885</v>
      </c>
      <c r="C150" s="996" t="s">
        <v>873</v>
      </c>
      <c r="D150" s="996" t="s">
        <v>84</v>
      </c>
      <c r="E150" s="996" t="s">
        <v>813</v>
      </c>
      <c r="F150" s="996" t="s">
        <v>997</v>
      </c>
      <c r="G150" s="1116">
        <v>2440000</v>
      </c>
      <c r="H150" s="74" t="s">
        <v>1330</v>
      </c>
      <c r="I150" s="74" t="s">
        <v>1340</v>
      </c>
      <c r="J150" s="74" t="s">
        <v>1328</v>
      </c>
    </row>
    <row r="151" spans="1:18" hidden="1">
      <c r="A151" s="996">
        <v>1</v>
      </c>
      <c r="B151" s="996" t="s">
        <v>885</v>
      </c>
      <c r="C151" s="996" t="s">
        <v>873</v>
      </c>
      <c r="D151" s="996" t="s">
        <v>85</v>
      </c>
      <c r="E151" s="996" t="s">
        <v>814</v>
      </c>
      <c r="F151" s="996" t="s">
        <v>998</v>
      </c>
      <c r="G151" s="1116">
        <v>8132000</v>
      </c>
      <c r="H151" s="74" t="s">
        <v>1330</v>
      </c>
      <c r="I151" s="74" t="s">
        <v>1340</v>
      </c>
      <c r="J151" s="74" t="s">
        <v>1328</v>
      </c>
    </row>
    <row r="152" spans="1:18" hidden="1">
      <c r="A152" s="996">
        <v>1</v>
      </c>
      <c r="B152" s="996" t="s">
        <v>885</v>
      </c>
      <c r="C152" s="996" t="s">
        <v>873</v>
      </c>
      <c r="D152" s="996" t="s">
        <v>86</v>
      </c>
      <c r="E152" s="996" t="s">
        <v>815</v>
      </c>
      <c r="F152" s="996" t="s">
        <v>999</v>
      </c>
      <c r="G152" s="1116">
        <v>813000</v>
      </c>
      <c r="H152" s="74" t="s">
        <v>1330</v>
      </c>
      <c r="I152" s="74" t="s">
        <v>1340</v>
      </c>
      <c r="J152" s="74" t="s">
        <v>1328</v>
      </c>
    </row>
    <row r="153" spans="1:18" hidden="1">
      <c r="A153" s="996">
        <v>1</v>
      </c>
      <c r="B153" s="996" t="s">
        <v>885</v>
      </c>
      <c r="C153" s="996" t="s">
        <v>873</v>
      </c>
      <c r="D153" s="996" t="s">
        <v>425</v>
      </c>
      <c r="E153" s="996" t="s">
        <v>816</v>
      </c>
      <c r="F153" s="996" t="s">
        <v>1412</v>
      </c>
      <c r="G153" s="1116">
        <v>8815000</v>
      </c>
      <c r="H153" s="74" t="s">
        <v>1330</v>
      </c>
      <c r="I153" s="74" t="s">
        <v>1340</v>
      </c>
      <c r="J153" s="74" t="s">
        <v>1328</v>
      </c>
    </row>
    <row r="154" spans="1:18" s="915" customFormat="1" hidden="1">
      <c r="A154" s="996">
        <v>1</v>
      </c>
      <c r="B154" s="996" t="s">
        <v>885</v>
      </c>
      <c r="C154" s="996" t="s">
        <v>873</v>
      </c>
      <c r="D154" s="996" t="s">
        <v>89</v>
      </c>
      <c r="E154" s="996" t="s">
        <v>817</v>
      </c>
      <c r="F154" s="996" t="s">
        <v>1001</v>
      </c>
      <c r="G154" s="1116">
        <v>4879000</v>
      </c>
      <c r="H154" s="74" t="s">
        <v>1330</v>
      </c>
      <c r="I154" s="74" t="s">
        <v>1340</v>
      </c>
      <c r="J154" s="74" t="s">
        <v>1328</v>
      </c>
      <c r="M154" s="989"/>
      <c r="R154" s="989"/>
    </row>
    <row r="155" spans="1:18" s="915" customFormat="1" hidden="1">
      <c r="A155" s="996">
        <v>1</v>
      </c>
      <c r="B155" s="996" t="s">
        <v>885</v>
      </c>
      <c r="C155" s="996" t="s">
        <v>873</v>
      </c>
      <c r="D155" s="996" t="s">
        <v>90</v>
      </c>
      <c r="E155" s="996" t="s">
        <v>818</v>
      </c>
      <c r="F155" s="996" t="s">
        <v>1002</v>
      </c>
      <c r="G155" s="1116">
        <v>2440000</v>
      </c>
      <c r="H155" s="74" t="s">
        <v>1330</v>
      </c>
      <c r="I155" s="74" t="s">
        <v>1340</v>
      </c>
      <c r="J155" s="74" t="s">
        <v>1328</v>
      </c>
      <c r="M155" s="989"/>
      <c r="R155" s="989"/>
    </row>
    <row r="156" spans="1:18" s="915" customFormat="1" hidden="1">
      <c r="A156" s="996">
        <v>1</v>
      </c>
      <c r="B156" s="996" t="s">
        <v>885</v>
      </c>
      <c r="C156" s="996" t="s">
        <v>874</v>
      </c>
      <c r="D156" s="996" t="s">
        <v>94</v>
      </c>
      <c r="E156" s="996" t="s">
        <v>819</v>
      </c>
      <c r="F156" s="996" t="s">
        <v>1019</v>
      </c>
      <c r="G156" s="997">
        <v>5706000</v>
      </c>
      <c r="H156" s="74" t="s">
        <v>448</v>
      </c>
      <c r="I156" s="74" t="s">
        <v>1339</v>
      </c>
      <c r="J156" s="74" t="s">
        <v>1328</v>
      </c>
      <c r="M156" s="989"/>
      <c r="R156" s="989"/>
    </row>
    <row r="157" spans="1:18" s="915" customFormat="1" hidden="1">
      <c r="A157" s="996">
        <v>1</v>
      </c>
      <c r="B157" s="996" t="s">
        <v>885</v>
      </c>
      <c r="C157" s="996" t="s">
        <v>874</v>
      </c>
      <c r="D157" s="996" t="s">
        <v>103</v>
      </c>
      <c r="E157" s="996" t="s">
        <v>821</v>
      </c>
      <c r="F157" s="996" t="s">
        <v>1020</v>
      </c>
      <c r="G157" s="997">
        <v>246000</v>
      </c>
      <c r="H157" s="74" t="s">
        <v>448</v>
      </c>
      <c r="I157" s="74" t="s">
        <v>1339</v>
      </c>
      <c r="J157" s="74" t="s">
        <v>1328</v>
      </c>
      <c r="M157" s="989"/>
      <c r="R157" s="989"/>
    </row>
    <row r="158" spans="1:18" s="915" customFormat="1" hidden="1">
      <c r="A158" s="996">
        <v>1</v>
      </c>
      <c r="B158" s="996" t="s">
        <v>885</v>
      </c>
      <c r="C158" s="996" t="s">
        <v>874</v>
      </c>
      <c r="D158" s="996" t="s">
        <v>105</v>
      </c>
      <c r="E158" s="996" t="s">
        <v>822</v>
      </c>
      <c r="F158" s="996" t="s">
        <v>1003</v>
      </c>
      <c r="G158" s="997">
        <v>772000</v>
      </c>
      <c r="H158" s="74" t="s">
        <v>448</v>
      </c>
      <c r="I158" s="74" t="s">
        <v>1339</v>
      </c>
      <c r="J158" s="74" t="s">
        <v>1328</v>
      </c>
      <c r="M158" s="989"/>
      <c r="R158" s="989"/>
    </row>
    <row r="159" spans="1:18" s="915" customFormat="1" hidden="1">
      <c r="A159" s="996">
        <v>1</v>
      </c>
      <c r="B159" s="996" t="s">
        <v>885</v>
      </c>
      <c r="C159" s="996" t="s">
        <v>874</v>
      </c>
      <c r="D159" s="996" t="s">
        <v>286</v>
      </c>
      <c r="E159" s="996" t="s">
        <v>980</v>
      </c>
      <c r="F159" s="996" t="s">
        <v>1021</v>
      </c>
      <c r="G159" s="997">
        <v>400000</v>
      </c>
      <c r="H159" s="74" t="s">
        <v>448</v>
      </c>
      <c r="I159" s="74" t="s">
        <v>1339</v>
      </c>
      <c r="J159" s="74" t="s">
        <v>1328</v>
      </c>
      <c r="M159" s="989"/>
      <c r="R159" s="989"/>
    </row>
    <row r="160" spans="1:18" s="915" customFormat="1" hidden="1">
      <c r="A160" s="996">
        <v>1</v>
      </c>
      <c r="B160" s="996" t="s">
        <v>885</v>
      </c>
      <c r="C160" s="996" t="s">
        <v>874</v>
      </c>
      <c r="D160" s="996" t="s">
        <v>121</v>
      </c>
      <c r="E160" s="996" t="s">
        <v>832</v>
      </c>
      <c r="F160" s="996" t="s">
        <v>1028</v>
      </c>
      <c r="G160" s="997">
        <v>3000000</v>
      </c>
      <c r="H160" s="74" t="s">
        <v>448</v>
      </c>
      <c r="I160" s="74" t="s">
        <v>1339</v>
      </c>
      <c r="J160" s="74" t="s">
        <v>1328</v>
      </c>
      <c r="M160" s="989"/>
      <c r="R160" s="989"/>
    </row>
    <row r="161" spans="1:18" s="915" customFormat="1" hidden="1">
      <c r="A161" s="996">
        <v>1</v>
      </c>
      <c r="B161" s="996" t="s">
        <v>885</v>
      </c>
      <c r="C161" s="996" t="s">
        <v>874</v>
      </c>
      <c r="D161" s="996" t="s">
        <v>125</v>
      </c>
      <c r="E161" s="996" t="s">
        <v>833</v>
      </c>
      <c r="F161" s="996" t="s">
        <v>1029</v>
      </c>
      <c r="G161" s="997">
        <v>1886000</v>
      </c>
      <c r="H161" s="74" t="s">
        <v>448</v>
      </c>
      <c r="I161" s="74" t="s">
        <v>1339</v>
      </c>
      <c r="J161" s="74" t="s">
        <v>1328</v>
      </c>
      <c r="M161" s="989"/>
      <c r="R161" s="989"/>
    </row>
    <row r="162" spans="1:18" s="915" customFormat="1" hidden="1">
      <c r="A162" s="996">
        <v>1</v>
      </c>
      <c r="B162" s="996" t="s">
        <v>885</v>
      </c>
      <c r="C162" s="996" t="s">
        <v>874</v>
      </c>
      <c r="D162" s="996" t="s">
        <v>138</v>
      </c>
      <c r="E162" s="996" t="s">
        <v>985</v>
      </c>
      <c r="F162" s="996" t="s">
        <v>1030</v>
      </c>
      <c r="G162" s="997">
        <v>1515000</v>
      </c>
      <c r="H162" s="74" t="s">
        <v>448</v>
      </c>
      <c r="I162" s="74" t="s">
        <v>1339</v>
      </c>
      <c r="J162" s="74" t="s">
        <v>1328</v>
      </c>
      <c r="M162" s="989"/>
      <c r="R162" s="989"/>
    </row>
    <row r="163" spans="1:18" s="915" customFormat="1" hidden="1">
      <c r="A163" s="996">
        <v>1</v>
      </c>
      <c r="B163" s="996" t="s">
        <v>885</v>
      </c>
      <c r="C163" s="996" t="s">
        <v>874</v>
      </c>
      <c r="D163" s="996" t="s">
        <v>347</v>
      </c>
      <c r="E163" s="996" t="s">
        <v>847</v>
      </c>
      <c r="F163" s="996" t="s">
        <v>1031</v>
      </c>
      <c r="G163" s="997">
        <v>30000</v>
      </c>
      <c r="H163" s="74" t="s">
        <v>448</v>
      </c>
      <c r="I163" s="74" t="s">
        <v>1339</v>
      </c>
      <c r="J163" s="74" t="s">
        <v>1328</v>
      </c>
      <c r="M163" s="989"/>
      <c r="R163" s="989"/>
    </row>
    <row r="164" spans="1:18" s="915" customFormat="1" hidden="1">
      <c r="A164" s="996">
        <v>1</v>
      </c>
      <c r="B164" s="996" t="s">
        <v>885</v>
      </c>
      <c r="C164" s="996" t="s">
        <v>888</v>
      </c>
      <c r="D164" s="996" t="s">
        <v>302</v>
      </c>
      <c r="E164" s="996" t="s">
        <v>865</v>
      </c>
      <c r="F164" s="996" t="s">
        <v>1413</v>
      </c>
      <c r="G164" s="997">
        <v>60000000</v>
      </c>
      <c r="H164" s="74" t="s">
        <v>448</v>
      </c>
      <c r="I164" s="74" t="s">
        <v>1339</v>
      </c>
      <c r="J164" s="74" t="s">
        <v>1328</v>
      </c>
      <c r="M164" s="989"/>
      <c r="R164" s="989"/>
    </row>
    <row r="165" spans="1:18" s="915" customFormat="1" hidden="1">
      <c r="A165" s="996">
        <v>1</v>
      </c>
      <c r="B165" s="996" t="s">
        <v>889</v>
      </c>
      <c r="C165" s="996" t="s">
        <v>873</v>
      </c>
      <c r="D165" s="996" t="s">
        <v>67</v>
      </c>
      <c r="E165" s="996" t="s">
        <v>803</v>
      </c>
      <c r="F165" s="996" t="s">
        <v>1032</v>
      </c>
      <c r="G165" s="1116">
        <v>62699000</v>
      </c>
      <c r="H165" s="74" t="s">
        <v>1330</v>
      </c>
      <c r="I165" s="74" t="s">
        <v>1340</v>
      </c>
      <c r="J165" s="74" t="s">
        <v>1328</v>
      </c>
      <c r="M165" s="989"/>
      <c r="R165" s="989"/>
    </row>
    <row r="166" spans="1:18" s="915" customFormat="1" hidden="1">
      <c r="A166" s="996">
        <v>1</v>
      </c>
      <c r="B166" s="996" t="s">
        <v>889</v>
      </c>
      <c r="C166" s="996" t="s">
        <v>873</v>
      </c>
      <c r="D166" s="996" t="s">
        <v>71</v>
      </c>
      <c r="E166" s="996" t="s">
        <v>806</v>
      </c>
      <c r="F166" s="996" t="s">
        <v>992</v>
      </c>
      <c r="G166" s="1116">
        <v>195000</v>
      </c>
      <c r="H166" s="74" t="s">
        <v>1330</v>
      </c>
      <c r="I166" s="74" t="s">
        <v>1340</v>
      </c>
      <c r="J166" s="74" t="s">
        <v>1328</v>
      </c>
      <c r="M166" s="989"/>
      <c r="R166" s="989"/>
    </row>
    <row r="167" spans="1:18" s="915" customFormat="1" hidden="1">
      <c r="A167" s="996">
        <v>1</v>
      </c>
      <c r="B167" s="996" t="s">
        <v>889</v>
      </c>
      <c r="C167" s="996" t="s">
        <v>873</v>
      </c>
      <c r="D167" s="996" t="s">
        <v>75</v>
      </c>
      <c r="E167" s="996" t="s">
        <v>799</v>
      </c>
      <c r="F167" s="996" t="s">
        <v>399</v>
      </c>
      <c r="G167" s="1116">
        <v>19160000</v>
      </c>
      <c r="H167" s="74" t="s">
        <v>1330</v>
      </c>
      <c r="I167" s="74" t="s">
        <v>1340</v>
      </c>
      <c r="J167" s="74" t="s">
        <v>1328</v>
      </c>
      <c r="M167" s="989"/>
      <c r="R167" s="989"/>
    </row>
    <row r="168" spans="1:18" hidden="1">
      <c r="A168" s="996">
        <v>1</v>
      </c>
      <c r="B168" s="996" t="s">
        <v>889</v>
      </c>
      <c r="C168" s="996" t="s">
        <v>873</v>
      </c>
      <c r="D168" s="996" t="s">
        <v>76</v>
      </c>
      <c r="E168" s="996" t="s">
        <v>800</v>
      </c>
      <c r="F168" s="996" t="s">
        <v>400</v>
      </c>
      <c r="G168" s="1116">
        <v>21832000</v>
      </c>
      <c r="H168" s="74" t="s">
        <v>1330</v>
      </c>
      <c r="I168" s="74" t="s">
        <v>1340</v>
      </c>
      <c r="J168" s="74" t="s">
        <v>1328</v>
      </c>
    </row>
    <row r="169" spans="1:18" hidden="1">
      <c r="A169" s="996">
        <v>1</v>
      </c>
      <c r="B169" s="996" t="s">
        <v>889</v>
      </c>
      <c r="C169" s="996" t="s">
        <v>873</v>
      </c>
      <c r="D169" s="996" t="s">
        <v>77</v>
      </c>
      <c r="E169" s="996" t="s">
        <v>809</v>
      </c>
      <c r="F169" s="996" t="s">
        <v>401</v>
      </c>
      <c r="G169" s="1116">
        <v>9839000</v>
      </c>
      <c r="H169" s="74" t="s">
        <v>1330</v>
      </c>
      <c r="I169" s="74" t="s">
        <v>1340</v>
      </c>
      <c r="J169" s="74" t="s">
        <v>1328</v>
      </c>
    </row>
    <row r="170" spans="1:18" hidden="1">
      <c r="A170" s="996">
        <v>1</v>
      </c>
      <c r="B170" s="996" t="s">
        <v>889</v>
      </c>
      <c r="C170" s="996" t="s">
        <v>873</v>
      </c>
      <c r="D170" s="996" t="s">
        <v>78</v>
      </c>
      <c r="E170" s="996" t="s">
        <v>810</v>
      </c>
      <c r="F170" s="996" t="s">
        <v>402</v>
      </c>
      <c r="G170" s="1116">
        <v>9352000</v>
      </c>
      <c r="H170" s="74" t="s">
        <v>1330</v>
      </c>
      <c r="I170" s="74" t="s">
        <v>1340</v>
      </c>
      <c r="J170" s="74" t="s">
        <v>1328</v>
      </c>
    </row>
    <row r="171" spans="1:18" hidden="1">
      <c r="A171" s="996">
        <v>1</v>
      </c>
      <c r="B171" s="996" t="s">
        <v>889</v>
      </c>
      <c r="C171" s="996" t="s">
        <v>873</v>
      </c>
      <c r="D171" s="996" t="s">
        <v>79</v>
      </c>
      <c r="E171" s="996" t="s">
        <v>801</v>
      </c>
      <c r="F171" s="996" t="s">
        <v>403</v>
      </c>
      <c r="G171" s="1116">
        <v>5101000</v>
      </c>
      <c r="H171" s="74" t="s">
        <v>1330</v>
      </c>
      <c r="I171" s="74" t="s">
        <v>1340</v>
      </c>
      <c r="J171" s="74" t="s">
        <v>1328</v>
      </c>
    </row>
    <row r="172" spans="1:18" hidden="1">
      <c r="A172" s="996">
        <v>1</v>
      </c>
      <c r="B172" s="996" t="s">
        <v>889</v>
      </c>
      <c r="C172" s="996" t="s">
        <v>873</v>
      </c>
      <c r="D172" s="996" t="s">
        <v>82</v>
      </c>
      <c r="E172" s="996" t="s">
        <v>811</v>
      </c>
      <c r="F172" s="996" t="s">
        <v>404</v>
      </c>
      <c r="G172" s="1116">
        <v>10946000</v>
      </c>
      <c r="H172" s="74" t="s">
        <v>1330</v>
      </c>
      <c r="I172" s="74" t="s">
        <v>1340</v>
      </c>
      <c r="J172" s="74" t="s">
        <v>1328</v>
      </c>
    </row>
    <row r="173" spans="1:18" hidden="1">
      <c r="A173" s="996">
        <v>1</v>
      </c>
      <c r="B173" s="996" t="s">
        <v>889</v>
      </c>
      <c r="C173" s="996" t="s">
        <v>873</v>
      </c>
      <c r="D173" s="996" t="s">
        <v>83</v>
      </c>
      <c r="E173" s="996" t="s">
        <v>812</v>
      </c>
      <c r="F173" s="996" t="s">
        <v>405</v>
      </c>
      <c r="G173" s="1116">
        <v>592000</v>
      </c>
      <c r="H173" s="74" t="s">
        <v>1330</v>
      </c>
      <c r="I173" s="74" t="s">
        <v>1340</v>
      </c>
      <c r="J173" s="74" t="s">
        <v>1328</v>
      </c>
    </row>
    <row r="174" spans="1:18" hidden="1">
      <c r="A174" s="996">
        <v>1</v>
      </c>
      <c r="B174" s="996" t="s">
        <v>889</v>
      </c>
      <c r="C174" s="996" t="s">
        <v>873</v>
      </c>
      <c r="D174" s="996" t="s">
        <v>84</v>
      </c>
      <c r="E174" s="996" t="s">
        <v>813</v>
      </c>
      <c r="F174" s="996" t="s">
        <v>406</v>
      </c>
      <c r="G174" s="1116">
        <v>1775000</v>
      </c>
      <c r="H174" s="74" t="s">
        <v>1330</v>
      </c>
      <c r="I174" s="74" t="s">
        <v>1340</v>
      </c>
      <c r="J174" s="74" t="s">
        <v>1328</v>
      </c>
    </row>
    <row r="175" spans="1:18" hidden="1">
      <c r="A175" s="996">
        <v>1</v>
      </c>
      <c r="B175" s="996" t="s">
        <v>889</v>
      </c>
      <c r="C175" s="996" t="s">
        <v>873</v>
      </c>
      <c r="D175" s="996" t="s">
        <v>85</v>
      </c>
      <c r="E175" s="996" t="s">
        <v>814</v>
      </c>
      <c r="F175" s="996" t="s">
        <v>407</v>
      </c>
      <c r="G175" s="1116">
        <v>5917000</v>
      </c>
      <c r="H175" s="74" t="s">
        <v>1330</v>
      </c>
      <c r="I175" s="74" t="s">
        <v>1340</v>
      </c>
      <c r="J175" s="74" t="s">
        <v>1328</v>
      </c>
    </row>
    <row r="176" spans="1:18" hidden="1">
      <c r="A176" s="996">
        <v>1</v>
      </c>
      <c r="B176" s="996" t="s">
        <v>889</v>
      </c>
      <c r="C176" s="996" t="s">
        <v>873</v>
      </c>
      <c r="D176" s="996" t="s">
        <v>86</v>
      </c>
      <c r="E176" s="996" t="s">
        <v>815</v>
      </c>
      <c r="F176" s="996" t="s">
        <v>408</v>
      </c>
      <c r="G176" s="1116">
        <v>592000</v>
      </c>
      <c r="H176" s="74" t="s">
        <v>1330</v>
      </c>
      <c r="I176" s="74" t="s">
        <v>1340</v>
      </c>
      <c r="J176" s="74" t="s">
        <v>1328</v>
      </c>
    </row>
    <row r="177" spans="1:18" hidden="1">
      <c r="A177" s="996">
        <v>1</v>
      </c>
      <c r="B177" s="996" t="s">
        <v>889</v>
      </c>
      <c r="C177" s="996" t="s">
        <v>873</v>
      </c>
      <c r="D177" s="996" t="s">
        <v>425</v>
      </c>
      <c r="E177" s="996" t="s">
        <v>816</v>
      </c>
      <c r="F177" s="996" t="s">
        <v>945</v>
      </c>
      <c r="G177" s="1116">
        <v>6414000</v>
      </c>
      <c r="H177" s="74" t="s">
        <v>1330</v>
      </c>
      <c r="I177" s="74" t="s">
        <v>1340</v>
      </c>
      <c r="J177" s="74" t="s">
        <v>1328</v>
      </c>
    </row>
    <row r="178" spans="1:18" hidden="1">
      <c r="A178" s="996">
        <v>1</v>
      </c>
      <c r="B178" s="996" t="s">
        <v>889</v>
      </c>
      <c r="C178" s="996" t="s">
        <v>873</v>
      </c>
      <c r="D178" s="996" t="s">
        <v>89</v>
      </c>
      <c r="E178" s="996" t="s">
        <v>817</v>
      </c>
      <c r="F178" s="996" t="s">
        <v>409</v>
      </c>
      <c r="G178" s="1116">
        <v>3550000</v>
      </c>
      <c r="H178" s="74" t="s">
        <v>1330</v>
      </c>
      <c r="I178" s="74" t="s">
        <v>1340</v>
      </c>
      <c r="J178" s="74" t="s">
        <v>1328</v>
      </c>
    </row>
    <row r="179" spans="1:18" hidden="1">
      <c r="A179" s="996">
        <v>1</v>
      </c>
      <c r="B179" s="996" t="s">
        <v>889</v>
      </c>
      <c r="C179" s="996" t="s">
        <v>873</v>
      </c>
      <c r="D179" s="996" t="s">
        <v>90</v>
      </c>
      <c r="E179" s="996" t="s">
        <v>818</v>
      </c>
      <c r="F179" s="996" t="s">
        <v>714</v>
      </c>
      <c r="G179" s="1116">
        <v>1775000</v>
      </c>
      <c r="H179" s="74" t="s">
        <v>1330</v>
      </c>
      <c r="I179" s="74" t="s">
        <v>1340</v>
      </c>
      <c r="J179" s="74" t="s">
        <v>1328</v>
      </c>
    </row>
    <row r="180" spans="1:18" hidden="1">
      <c r="A180" s="996">
        <v>1</v>
      </c>
      <c r="B180" s="996" t="s">
        <v>889</v>
      </c>
      <c r="C180" s="996" t="s">
        <v>874</v>
      </c>
      <c r="D180" s="996" t="s">
        <v>94</v>
      </c>
      <c r="E180" s="996" t="s">
        <v>819</v>
      </c>
      <c r="F180" s="996" t="s">
        <v>977</v>
      </c>
      <c r="G180" s="997">
        <v>2440000</v>
      </c>
      <c r="H180" s="74" t="s">
        <v>448</v>
      </c>
      <c r="I180" s="74" t="s">
        <v>1339</v>
      </c>
      <c r="J180" s="74" t="s">
        <v>1328</v>
      </c>
    </row>
    <row r="181" spans="1:18" hidden="1">
      <c r="A181" s="996">
        <v>1</v>
      </c>
      <c r="B181" s="996" t="s">
        <v>889</v>
      </c>
      <c r="C181" s="996" t="s">
        <v>874</v>
      </c>
      <c r="D181" s="996" t="s">
        <v>103</v>
      </c>
      <c r="E181" s="996" t="s">
        <v>821</v>
      </c>
      <c r="F181" s="996" t="s">
        <v>978</v>
      </c>
      <c r="G181" s="997">
        <v>106000</v>
      </c>
      <c r="H181" s="74" t="s">
        <v>448</v>
      </c>
      <c r="I181" s="74" t="s">
        <v>1339</v>
      </c>
      <c r="J181" s="74" t="s">
        <v>1328</v>
      </c>
    </row>
    <row r="182" spans="1:18" hidden="1">
      <c r="A182" s="996">
        <v>1</v>
      </c>
      <c r="B182" s="996" t="s">
        <v>889</v>
      </c>
      <c r="C182" s="996" t="s">
        <v>874</v>
      </c>
      <c r="D182" s="996" t="s">
        <v>105</v>
      </c>
      <c r="E182" s="996" t="s">
        <v>822</v>
      </c>
      <c r="F182" s="996" t="s">
        <v>979</v>
      </c>
      <c r="G182" s="997">
        <v>330000</v>
      </c>
      <c r="H182" s="74" t="s">
        <v>448</v>
      </c>
      <c r="I182" s="74" t="s">
        <v>1339</v>
      </c>
      <c r="J182" s="74" t="s">
        <v>1328</v>
      </c>
    </row>
    <row r="183" spans="1:18" hidden="1">
      <c r="A183" s="996">
        <v>1</v>
      </c>
      <c r="B183" s="996" t="s">
        <v>889</v>
      </c>
      <c r="C183" s="996" t="s">
        <v>874</v>
      </c>
      <c r="D183" s="996" t="s">
        <v>286</v>
      </c>
      <c r="E183" s="996" t="s">
        <v>980</v>
      </c>
      <c r="F183" s="996" t="s">
        <v>1033</v>
      </c>
      <c r="G183" s="997">
        <v>172000</v>
      </c>
      <c r="H183" s="74" t="s">
        <v>448</v>
      </c>
      <c r="I183" s="74" t="s">
        <v>1339</v>
      </c>
      <c r="J183" s="74" t="s">
        <v>1328</v>
      </c>
    </row>
    <row r="184" spans="1:18" hidden="1">
      <c r="A184" s="996">
        <v>1</v>
      </c>
      <c r="B184" s="996" t="s">
        <v>889</v>
      </c>
      <c r="C184" s="996" t="s">
        <v>874</v>
      </c>
      <c r="D184" s="996" t="s">
        <v>125</v>
      </c>
      <c r="E184" s="996" t="s">
        <v>833</v>
      </c>
      <c r="F184" s="996" t="s">
        <v>1034</v>
      </c>
      <c r="G184" s="997">
        <v>806000</v>
      </c>
      <c r="H184" s="74" t="s">
        <v>448</v>
      </c>
      <c r="I184" s="74" t="s">
        <v>1339</v>
      </c>
      <c r="J184" s="74" t="s">
        <v>1328</v>
      </c>
    </row>
    <row r="185" spans="1:18" hidden="1">
      <c r="A185" s="996">
        <v>1</v>
      </c>
      <c r="B185" s="996" t="s">
        <v>889</v>
      </c>
      <c r="C185" s="996" t="s">
        <v>874</v>
      </c>
      <c r="D185" s="996" t="s">
        <v>138</v>
      </c>
      <c r="E185" s="996" t="s">
        <v>985</v>
      </c>
      <c r="F185" s="996" t="s">
        <v>1035</v>
      </c>
      <c r="G185" s="997">
        <v>1102000</v>
      </c>
      <c r="H185" s="74" t="s">
        <v>448</v>
      </c>
      <c r="I185" s="74" t="s">
        <v>1339</v>
      </c>
      <c r="J185" s="74" t="s">
        <v>1328</v>
      </c>
    </row>
    <row r="186" spans="1:18" hidden="1">
      <c r="A186" s="996">
        <v>1</v>
      </c>
      <c r="B186" s="996" t="s">
        <v>890</v>
      </c>
      <c r="C186" s="996" t="s">
        <v>873</v>
      </c>
      <c r="D186" s="996" t="s">
        <v>67</v>
      </c>
      <c r="E186" s="996" t="s">
        <v>803</v>
      </c>
      <c r="F186" s="996" t="s">
        <v>991</v>
      </c>
      <c r="G186" s="1116">
        <v>120652000</v>
      </c>
      <c r="H186" s="74" t="s">
        <v>1330</v>
      </c>
      <c r="I186" s="74" t="s">
        <v>1340</v>
      </c>
      <c r="J186" s="74" t="s">
        <v>1328</v>
      </c>
    </row>
    <row r="187" spans="1:18" hidden="1">
      <c r="A187" s="996">
        <v>1</v>
      </c>
      <c r="B187" s="996" t="s">
        <v>890</v>
      </c>
      <c r="C187" s="996" t="s">
        <v>873</v>
      </c>
      <c r="D187" s="996" t="s">
        <v>333</v>
      </c>
      <c r="E187" s="996" t="s">
        <v>805</v>
      </c>
      <c r="F187" s="996" t="s">
        <v>1036</v>
      </c>
      <c r="G187" s="1116">
        <v>5000000</v>
      </c>
      <c r="H187" s="74" t="s">
        <v>1330</v>
      </c>
      <c r="I187" s="74" t="s">
        <v>1340</v>
      </c>
      <c r="J187" s="74" t="s">
        <v>1328</v>
      </c>
    </row>
    <row r="188" spans="1:18" hidden="1">
      <c r="A188" s="996">
        <v>1</v>
      </c>
      <c r="B188" s="996" t="s">
        <v>890</v>
      </c>
      <c r="C188" s="996" t="s">
        <v>873</v>
      </c>
      <c r="D188" s="996" t="s">
        <v>71</v>
      </c>
      <c r="E188" s="996" t="s">
        <v>806</v>
      </c>
      <c r="F188" s="996" t="s">
        <v>992</v>
      </c>
      <c r="G188" s="1116">
        <v>157000</v>
      </c>
      <c r="H188" s="74" t="s">
        <v>1330</v>
      </c>
      <c r="I188" s="74" t="s">
        <v>1340</v>
      </c>
      <c r="J188" s="74" t="s">
        <v>1328</v>
      </c>
    </row>
    <row r="189" spans="1:18" hidden="1">
      <c r="A189" s="996">
        <v>1</v>
      </c>
      <c r="B189" s="996" t="s">
        <v>890</v>
      </c>
      <c r="C189" s="996" t="s">
        <v>873</v>
      </c>
      <c r="D189" s="996" t="s">
        <v>75</v>
      </c>
      <c r="E189" s="996" t="s">
        <v>799</v>
      </c>
      <c r="F189" s="996" t="s">
        <v>399</v>
      </c>
      <c r="G189" s="1116">
        <v>35001000</v>
      </c>
      <c r="H189" s="74" t="s">
        <v>1330</v>
      </c>
      <c r="I189" s="74" t="s">
        <v>1340</v>
      </c>
      <c r="J189" s="74" t="s">
        <v>1328</v>
      </c>
    </row>
    <row r="190" spans="1:18" s="915" customFormat="1" hidden="1">
      <c r="A190" s="996">
        <v>1</v>
      </c>
      <c r="B190" s="996" t="s">
        <v>890</v>
      </c>
      <c r="C190" s="996" t="s">
        <v>873</v>
      </c>
      <c r="D190" s="996" t="s">
        <v>76</v>
      </c>
      <c r="E190" s="996" t="s">
        <v>800</v>
      </c>
      <c r="F190" s="996" t="s">
        <v>400</v>
      </c>
      <c r="G190" s="1116">
        <v>28738000</v>
      </c>
      <c r="H190" s="74" t="s">
        <v>1330</v>
      </c>
      <c r="I190" s="74" t="s">
        <v>1340</v>
      </c>
      <c r="J190" s="74" t="s">
        <v>1328</v>
      </c>
      <c r="M190" s="989"/>
      <c r="R190" s="989"/>
    </row>
    <row r="191" spans="1:18" s="915" customFormat="1" hidden="1">
      <c r="A191" s="996">
        <v>1</v>
      </c>
      <c r="B191" s="996" t="s">
        <v>890</v>
      </c>
      <c r="C191" s="996" t="s">
        <v>873</v>
      </c>
      <c r="D191" s="996" t="s">
        <v>77</v>
      </c>
      <c r="E191" s="996" t="s">
        <v>809</v>
      </c>
      <c r="F191" s="996" t="s">
        <v>401</v>
      </c>
      <c r="G191" s="1116">
        <v>17313000</v>
      </c>
      <c r="H191" s="74" t="s">
        <v>1330</v>
      </c>
      <c r="I191" s="74" t="s">
        <v>1340</v>
      </c>
      <c r="J191" s="74" t="s">
        <v>1328</v>
      </c>
      <c r="M191" s="989"/>
      <c r="R191" s="989"/>
    </row>
    <row r="192" spans="1:18" s="915" customFormat="1" hidden="1">
      <c r="A192" s="996">
        <v>1</v>
      </c>
      <c r="B192" s="996" t="s">
        <v>890</v>
      </c>
      <c r="C192" s="996" t="s">
        <v>873</v>
      </c>
      <c r="D192" s="996" t="s">
        <v>78</v>
      </c>
      <c r="E192" s="996" t="s">
        <v>810</v>
      </c>
      <c r="F192" s="996" t="s">
        <v>402</v>
      </c>
      <c r="G192" s="1116">
        <v>16329000</v>
      </c>
      <c r="H192" s="74" t="s">
        <v>1330</v>
      </c>
      <c r="I192" s="74" t="s">
        <v>1340</v>
      </c>
      <c r="J192" s="74" t="s">
        <v>1328</v>
      </c>
      <c r="M192" s="989"/>
      <c r="R192" s="989"/>
    </row>
    <row r="193" spans="1:18" s="915" customFormat="1" hidden="1">
      <c r="A193" s="996">
        <v>1</v>
      </c>
      <c r="B193" s="996" t="s">
        <v>890</v>
      </c>
      <c r="C193" s="996" t="s">
        <v>873</v>
      </c>
      <c r="D193" s="996" t="s">
        <v>79</v>
      </c>
      <c r="E193" s="996" t="s">
        <v>801</v>
      </c>
      <c r="F193" s="996" t="s">
        <v>403</v>
      </c>
      <c r="G193" s="1116">
        <v>7228000</v>
      </c>
      <c r="H193" s="74" t="s">
        <v>1330</v>
      </c>
      <c r="I193" s="74" t="s">
        <v>1340</v>
      </c>
      <c r="J193" s="74" t="s">
        <v>1328</v>
      </c>
      <c r="M193" s="989"/>
      <c r="R193" s="989"/>
    </row>
    <row r="194" spans="1:18" s="915" customFormat="1" hidden="1">
      <c r="A194" s="996">
        <v>1</v>
      </c>
      <c r="B194" s="996" t="s">
        <v>890</v>
      </c>
      <c r="C194" s="996" t="s">
        <v>873</v>
      </c>
      <c r="D194" s="996" t="s">
        <v>82</v>
      </c>
      <c r="E194" s="996" t="s">
        <v>811</v>
      </c>
      <c r="F194" s="996" t="s">
        <v>404</v>
      </c>
      <c r="G194" s="1116">
        <v>19250000</v>
      </c>
      <c r="H194" s="74" t="s">
        <v>1330</v>
      </c>
      <c r="I194" s="74" t="s">
        <v>1340</v>
      </c>
      <c r="J194" s="74" t="s">
        <v>1328</v>
      </c>
      <c r="M194" s="989"/>
      <c r="R194" s="989"/>
    </row>
    <row r="195" spans="1:18" s="915" customFormat="1" hidden="1">
      <c r="A195" s="996">
        <v>1</v>
      </c>
      <c r="B195" s="996" t="s">
        <v>890</v>
      </c>
      <c r="C195" s="996" t="s">
        <v>873</v>
      </c>
      <c r="D195" s="996" t="s">
        <v>83</v>
      </c>
      <c r="E195" s="996" t="s">
        <v>812</v>
      </c>
      <c r="F195" s="996" t="s">
        <v>405</v>
      </c>
      <c r="G195" s="1116">
        <v>1041000</v>
      </c>
      <c r="H195" s="74" t="s">
        <v>1330</v>
      </c>
      <c r="I195" s="74" t="s">
        <v>1340</v>
      </c>
      <c r="J195" s="74" t="s">
        <v>1328</v>
      </c>
      <c r="M195" s="989"/>
      <c r="R195" s="989"/>
    </row>
    <row r="196" spans="1:18" s="915" customFormat="1" hidden="1">
      <c r="A196" s="996">
        <v>1</v>
      </c>
      <c r="B196" s="996" t="s">
        <v>890</v>
      </c>
      <c r="C196" s="996" t="s">
        <v>873</v>
      </c>
      <c r="D196" s="996" t="s">
        <v>84</v>
      </c>
      <c r="E196" s="996" t="s">
        <v>813</v>
      </c>
      <c r="F196" s="996" t="s">
        <v>406</v>
      </c>
      <c r="G196" s="1116">
        <v>3122000</v>
      </c>
      <c r="H196" s="74" t="s">
        <v>1330</v>
      </c>
      <c r="I196" s="74" t="s">
        <v>1340</v>
      </c>
      <c r="J196" s="74" t="s">
        <v>1328</v>
      </c>
      <c r="M196" s="989"/>
      <c r="R196" s="989"/>
    </row>
    <row r="197" spans="1:18" s="915" customFormat="1" hidden="1">
      <c r="A197" s="996">
        <v>1</v>
      </c>
      <c r="B197" s="996" t="s">
        <v>890</v>
      </c>
      <c r="C197" s="996" t="s">
        <v>873</v>
      </c>
      <c r="D197" s="996" t="s">
        <v>85</v>
      </c>
      <c r="E197" s="996" t="s">
        <v>814</v>
      </c>
      <c r="F197" s="996" t="s">
        <v>407</v>
      </c>
      <c r="G197" s="1116">
        <v>10405000</v>
      </c>
      <c r="H197" s="74" t="s">
        <v>1330</v>
      </c>
      <c r="I197" s="74" t="s">
        <v>1340</v>
      </c>
      <c r="J197" s="74" t="s">
        <v>1328</v>
      </c>
      <c r="M197" s="989"/>
      <c r="R197" s="989"/>
    </row>
    <row r="198" spans="1:18" s="915" customFormat="1" hidden="1">
      <c r="A198" s="996">
        <v>1</v>
      </c>
      <c r="B198" s="996" t="s">
        <v>890</v>
      </c>
      <c r="C198" s="996" t="s">
        <v>873</v>
      </c>
      <c r="D198" s="996" t="s">
        <v>86</v>
      </c>
      <c r="E198" s="996" t="s">
        <v>815</v>
      </c>
      <c r="F198" s="996" t="s">
        <v>408</v>
      </c>
      <c r="G198" s="1116">
        <v>1041000</v>
      </c>
      <c r="H198" s="74" t="s">
        <v>1330</v>
      </c>
      <c r="I198" s="74" t="s">
        <v>1340</v>
      </c>
      <c r="J198" s="74" t="s">
        <v>1328</v>
      </c>
      <c r="M198" s="989"/>
      <c r="R198" s="989"/>
    </row>
    <row r="199" spans="1:18" s="915" customFormat="1" hidden="1">
      <c r="A199" s="996">
        <v>1</v>
      </c>
      <c r="B199" s="996" t="s">
        <v>890</v>
      </c>
      <c r="C199" s="996" t="s">
        <v>873</v>
      </c>
      <c r="D199" s="996" t="s">
        <v>425</v>
      </c>
      <c r="E199" s="996" t="s">
        <v>816</v>
      </c>
      <c r="F199" s="996" t="s">
        <v>945</v>
      </c>
      <c r="G199" s="1116">
        <v>11279000</v>
      </c>
      <c r="H199" s="74" t="s">
        <v>1330</v>
      </c>
      <c r="I199" s="74" t="s">
        <v>1340</v>
      </c>
      <c r="J199" s="74" t="s">
        <v>1328</v>
      </c>
      <c r="M199" s="989"/>
      <c r="R199" s="989"/>
    </row>
    <row r="200" spans="1:18" s="915" customFormat="1" hidden="1">
      <c r="A200" s="996">
        <v>1</v>
      </c>
      <c r="B200" s="996" t="s">
        <v>890</v>
      </c>
      <c r="C200" s="996" t="s">
        <v>873</v>
      </c>
      <c r="D200" s="996" t="s">
        <v>89</v>
      </c>
      <c r="E200" s="996" t="s">
        <v>817</v>
      </c>
      <c r="F200" s="996" t="s">
        <v>409</v>
      </c>
      <c r="G200" s="1116">
        <v>6243000</v>
      </c>
      <c r="H200" s="74" t="s">
        <v>1330</v>
      </c>
      <c r="I200" s="74" t="s">
        <v>1340</v>
      </c>
      <c r="J200" s="74" t="s">
        <v>1328</v>
      </c>
      <c r="M200" s="989"/>
      <c r="R200" s="989"/>
    </row>
    <row r="201" spans="1:18" s="915" customFormat="1" hidden="1">
      <c r="A201" s="996">
        <v>1</v>
      </c>
      <c r="B201" s="996" t="s">
        <v>890</v>
      </c>
      <c r="C201" s="996" t="s">
        <v>873</v>
      </c>
      <c r="D201" s="996" t="s">
        <v>90</v>
      </c>
      <c r="E201" s="996" t="s">
        <v>818</v>
      </c>
      <c r="F201" s="996" t="s">
        <v>714</v>
      </c>
      <c r="G201" s="1116">
        <v>3122000</v>
      </c>
      <c r="H201" s="74" t="s">
        <v>1330</v>
      </c>
      <c r="I201" s="74" t="s">
        <v>1340</v>
      </c>
      <c r="J201" s="74" t="s">
        <v>1328</v>
      </c>
      <c r="M201" s="989"/>
      <c r="R201" s="989"/>
    </row>
    <row r="202" spans="1:18" s="915" customFormat="1" hidden="1">
      <c r="A202" s="996">
        <v>1</v>
      </c>
      <c r="B202" s="996" t="s">
        <v>890</v>
      </c>
      <c r="C202" s="996" t="s">
        <v>874</v>
      </c>
      <c r="D202" s="996" t="s">
        <v>94</v>
      </c>
      <c r="E202" s="996" t="s">
        <v>819</v>
      </c>
      <c r="F202" s="996" t="s">
        <v>977</v>
      </c>
      <c r="G202" s="997">
        <v>10516000</v>
      </c>
      <c r="H202" s="74" t="s">
        <v>448</v>
      </c>
      <c r="I202" s="74" t="s">
        <v>1339</v>
      </c>
      <c r="J202" s="74" t="s">
        <v>1328</v>
      </c>
      <c r="M202" s="989"/>
      <c r="R202" s="989"/>
    </row>
    <row r="203" spans="1:18" s="915" customFormat="1" hidden="1">
      <c r="A203" s="996">
        <v>1</v>
      </c>
      <c r="B203" s="996" t="s">
        <v>890</v>
      </c>
      <c r="C203" s="996" t="s">
        <v>874</v>
      </c>
      <c r="D203" s="996" t="s">
        <v>103</v>
      </c>
      <c r="E203" s="996" t="s">
        <v>821</v>
      </c>
      <c r="F203" s="996" t="s">
        <v>978</v>
      </c>
      <c r="G203" s="997">
        <v>454000</v>
      </c>
      <c r="H203" s="74" t="s">
        <v>448</v>
      </c>
      <c r="I203" s="74" t="s">
        <v>1339</v>
      </c>
      <c r="J203" s="74" t="s">
        <v>1328</v>
      </c>
      <c r="M203" s="989"/>
      <c r="R203" s="989"/>
    </row>
    <row r="204" spans="1:18" s="915" customFormat="1" hidden="1">
      <c r="A204" s="996">
        <v>1</v>
      </c>
      <c r="B204" s="996" t="s">
        <v>890</v>
      </c>
      <c r="C204" s="996" t="s">
        <v>874</v>
      </c>
      <c r="D204" s="996" t="s">
        <v>105</v>
      </c>
      <c r="E204" s="996" t="s">
        <v>822</v>
      </c>
      <c r="F204" s="996" t="s">
        <v>979</v>
      </c>
      <c r="G204" s="997">
        <v>1422000</v>
      </c>
      <c r="H204" s="74" t="s">
        <v>448</v>
      </c>
      <c r="I204" s="74" t="s">
        <v>1339</v>
      </c>
      <c r="J204" s="74" t="s">
        <v>1328</v>
      </c>
      <c r="M204" s="989"/>
      <c r="R204" s="989"/>
    </row>
    <row r="205" spans="1:18" hidden="1">
      <c r="A205" s="996">
        <v>1</v>
      </c>
      <c r="B205" s="996" t="s">
        <v>890</v>
      </c>
      <c r="C205" s="996" t="s">
        <v>874</v>
      </c>
      <c r="D205" s="996" t="s">
        <v>286</v>
      </c>
      <c r="E205" s="996" t="s">
        <v>980</v>
      </c>
      <c r="F205" s="996" t="s">
        <v>1033</v>
      </c>
      <c r="G205" s="997">
        <v>738000</v>
      </c>
      <c r="H205" s="74" t="s">
        <v>448</v>
      </c>
      <c r="I205" s="74" t="s">
        <v>1339</v>
      </c>
      <c r="J205" s="74" t="s">
        <v>1328</v>
      </c>
    </row>
    <row r="206" spans="1:18" hidden="1">
      <c r="A206" s="996">
        <v>1</v>
      </c>
      <c r="B206" s="996" t="s">
        <v>890</v>
      </c>
      <c r="C206" s="996" t="s">
        <v>874</v>
      </c>
      <c r="D206" s="996" t="s">
        <v>125</v>
      </c>
      <c r="E206" s="996" t="s">
        <v>833</v>
      </c>
      <c r="F206" s="996" t="s">
        <v>1037</v>
      </c>
      <c r="G206" s="997">
        <v>3478000</v>
      </c>
      <c r="H206" s="74" t="s">
        <v>448</v>
      </c>
      <c r="I206" s="74" t="s">
        <v>1339</v>
      </c>
      <c r="J206" s="74" t="s">
        <v>1328</v>
      </c>
    </row>
    <row r="207" spans="1:18" hidden="1">
      <c r="A207" s="996">
        <v>1</v>
      </c>
      <c r="B207" s="996" t="s">
        <v>882</v>
      </c>
      <c r="C207" s="996" t="s">
        <v>874</v>
      </c>
      <c r="D207" s="996" t="s">
        <v>127</v>
      </c>
      <c r="E207" s="996" t="s">
        <v>834</v>
      </c>
      <c r="F207" s="996" t="s">
        <v>1414</v>
      </c>
      <c r="G207" s="997">
        <v>20000000</v>
      </c>
      <c r="H207" s="74" t="s">
        <v>448</v>
      </c>
      <c r="I207" s="74" t="s">
        <v>1339</v>
      </c>
      <c r="J207" s="74" t="s">
        <v>1328</v>
      </c>
    </row>
    <row r="208" spans="1:18" hidden="1">
      <c r="A208" s="996">
        <v>1</v>
      </c>
      <c r="B208" s="996" t="s">
        <v>882</v>
      </c>
      <c r="C208" s="996" t="s">
        <v>874</v>
      </c>
      <c r="D208" s="996" t="s">
        <v>127</v>
      </c>
      <c r="E208" s="996" t="s">
        <v>834</v>
      </c>
      <c r="F208" s="996" t="s">
        <v>1415</v>
      </c>
      <c r="G208" s="997">
        <v>31000000</v>
      </c>
      <c r="H208" s="74" t="s">
        <v>448</v>
      </c>
      <c r="I208" s="74" t="s">
        <v>1339</v>
      </c>
      <c r="J208" s="74" t="s">
        <v>1328</v>
      </c>
    </row>
    <row r="209" spans="1:10" hidden="1">
      <c r="A209" s="996">
        <v>1</v>
      </c>
      <c r="B209" s="996" t="s">
        <v>890</v>
      </c>
      <c r="C209" s="996" t="s">
        <v>874</v>
      </c>
      <c r="D209" s="996" t="s">
        <v>127</v>
      </c>
      <c r="E209" s="996" t="s">
        <v>834</v>
      </c>
      <c r="F209" s="996" t="s">
        <v>1038</v>
      </c>
      <c r="G209" s="997">
        <v>31500000</v>
      </c>
      <c r="H209" s="74" t="s">
        <v>448</v>
      </c>
      <c r="I209" s="74" t="s">
        <v>1339</v>
      </c>
      <c r="J209" s="74" t="s">
        <v>1328</v>
      </c>
    </row>
    <row r="210" spans="1:10" hidden="1">
      <c r="A210" s="996">
        <v>1</v>
      </c>
      <c r="B210" s="996" t="s">
        <v>890</v>
      </c>
      <c r="C210" s="996" t="s">
        <v>874</v>
      </c>
      <c r="D210" s="996" t="s">
        <v>138</v>
      </c>
      <c r="E210" s="996" t="s">
        <v>985</v>
      </c>
      <c r="F210" s="996" t="s">
        <v>1039</v>
      </c>
      <c r="G210" s="997">
        <v>1500000</v>
      </c>
      <c r="H210" s="74" t="s">
        <v>448</v>
      </c>
      <c r="I210" s="74" t="s">
        <v>1339</v>
      </c>
      <c r="J210" s="74" t="s">
        <v>1328</v>
      </c>
    </row>
    <row r="211" spans="1:10" hidden="1">
      <c r="A211" s="996">
        <v>1</v>
      </c>
      <c r="B211" s="996" t="s">
        <v>890</v>
      </c>
      <c r="C211" s="996" t="s">
        <v>874</v>
      </c>
      <c r="D211" s="996" t="s">
        <v>142</v>
      </c>
      <c r="E211" s="996" t="s">
        <v>839</v>
      </c>
      <c r="F211" s="996" t="s">
        <v>1040</v>
      </c>
      <c r="G211" s="997">
        <v>80000000</v>
      </c>
      <c r="H211" s="74" t="s">
        <v>448</v>
      </c>
      <c r="I211" s="74" t="s">
        <v>1339</v>
      </c>
      <c r="J211" s="74" t="s">
        <v>1328</v>
      </c>
    </row>
    <row r="212" spans="1:10" hidden="1">
      <c r="A212" s="996">
        <v>1</v>
      </c>
      <c r="B212" s="996" t="s">
        <v>890</v>
      </c>
      <c r="C212" s="996" t="s">
        <v>874</v>
      </c>
      <c r="D212" s="996" t="s">
        <v>142</v>
      </c>
      <c r="E212" s="996" t="s">
        <v>839</v>
      </c>
      <c r="F212" s="996" t="s">
        <v>1041</v>
      </c>
      <c r="G212" s="997">
        <v>20000000</v>
      </c>
      <c r="H212" s="74" t="s">
        <v>448</v>
      </c>
      <c r="I212" s="74" t="s">
        <v>1339</v>
      </c>
      <c r="J212" s="74" t="s">
        <v>1328</v>
      </c>
    </row>
    <row r="213" spans="1:10" hidden="1">
      <c r="A213" s="996">
        <v>1</v>
      </c>
      <c r="B213" s="996" t="s">
        <v>890</v>
      </c>
      <c r="C213" s="996" t="s">
        <v>874</v>
      </c>
      <c r="D213" s="996" t="s">
        <v>144</v>
      </c>
      <c r="E213" s="996" t="s">
        <v>1042</v>
      </c>
      <c r="F213" s="996" t="s">
        <v>1043</v>
      </c>
      <c r="G213" s="997">
        <v>1000000</v>
      </c>
      <c r="H213" s="74" t="s">
        <v>448</v>
      </c>
      <c r="I213" s="74" t="s">
        <v>1339</v>
      </c>
      <c r="J213" s="74" t="s">
        <v>1328</v>
      </c>
    </row>
    <row r="214" spans="1:10" hidden="1">
      <c r="A214" s="996">
        <v>1</v>
      </c>
      <c r="B214" s="996" t="s">
        <v>890</v>
      </c>
      <c r="C214" s="996" t="s">
        <v>874</v>
      </c>
      <c r="D214" s="996" t="s">
        <v>155</v>
      </c>
      <c r="E214" s="996" t="s">
        <v>844</v>
      </c>
      <c r="F214" s="996" t="s">
        <v>1044</v>
      </c>
      <c r="G214" s="997">
        <v>100000</v>
      </c>
      <c r="H214" s="74" t="s">
        <v>448</v>
      </c>
      <c r="I214" s="74" t="s">
        <v>1339</v>
      </c>
      <c r="J214" s="74" t="s">
        <v>1328</v>
      </c>
    </row>
    <row r="215" spans="1:10" hidden="1">
      <c r="A215" s="996">
        <v>1</v>
      </c>
      <c r="B215" s="996" t="s">
        <v>890</v>
      </c>
      <c r="C215" s="996" t="s">
        <v>891</v>
      </c>
      <c r="D215" s="996" t="s">
        <v>197</v>
      </c>
      <c r="E215" s="996" t="s">
        <v>859</v>
      </c>
      <c r="F215" s="996" t="s">
        <v>1045</v>
      </c>
      <c r="G215" s="997">
        <v>459900</v>
      </c>
      <c r="H215" s="74" t="s">
        <v>448</v>
      </c>
      <c r="I215" s="74" t="s">
        <v>1339</v>
      </c>
      <c r="J215" s="74" t="s">
        <v>1328</v>
      </c>
    </row>
    <row r="216" spans="1:10" hidden="1">
      <c r="A216" s="996">
        <v>1</v>
      </c>
      <c r="B216" s="996" t="s">
        <v>890</v>
      </c>
      <c r="C216" s="996" t="s">
        <v>891</v>
      </c>
      <c r="D216" s="996" t="s">
        <v>203</v>
      </c>
      <c r="E216" s="996" t="s">
        <v>862</v>
      </c>
      <c r="F216" s="996" t="s">
        <v>1046</v>
      </c>
      <c r="G216" s="997">
        <v>1055100</v>
      </c>
      <c r="H216" s="74" t="s">
        <v>448</v>
      </c>
      <c r="I216" s="74" t="s">
        <v>1339</v>
      </c>
      <c r="J216" s="74" t="s">
        <v>1328</v>
      </c>
    </row>
    <row r="217" spans="1:10" hidden="1">
      <c r="A217" s="996">
        <v>1</v>
      </c>
      <c r="B217" s="996" t="s">
        <v>890</v>
      </c>
      <c r="C217" s="996" t="s">
        <v>891</v>
      </c>
      <c r="D217" s="996" t="s">
        <v>189</v>
      </c>
      <c r="E217" s="996" t="s">
        <v>855</v>
      </c>
      <c r="F217" s="996" t="s">
        <v>1047</v>
      </c>
      <c r="G217" s="997">
        <v>95000</v>
      </c>
      <c r="H217" s="74" t="s">
        <v>448</v>
      </c>
      <c r="I217" s="74" t="s">
        <v>1339</v>
      </c>
      <c r="J217" s="74" t="s">
        <v>1328</v>
      </c>
    </row>
    <row r="218" spans="1:10" hidden="1">
      <c r="A218" s="996">
        <v>1</v>
      </c>
      <c r="B218" s="996" t="s">
        <v>890</v>
      </c>
      <c r="C218" s="996" t="s">
        <v>888</v>
      </c>
      <c r="D218" s="996" t="s">
        <v>614</v>
      </c>
      <c r="E218" s="996" t="s">
        <v>892</v>
      </c>
      <c r="F218" s="996" t="s">
        <v>1048</v>
      </c>
      <c r="G218" s="997">
        <v>7000000</v>
      </c>
      <c r="H218" s="74" t="s">
        <v>448</v>
      </c>
      <c r="I218" s="74" t="s">
        <v>1339</v>
      </c>
      <c r="J218" s="74" t="s">
        <v>1328</v>
      </c>
    </row>
    <row r="219" spans="1:10" hidden="1">
      <c r="A219" s="996">
        <v>1</v>
      </c>
      <c r="B219" s="996" t="s">
        <v>890</v>
      </c>
      <c r="C219" s="996" t="s">
        <v>888</v>
      </c>
      <c r="D219" s="996" t="s">
        <v>294</v>
      </c>
      <c r="E219" s="996" t="s">
        <v>866</v>
      </c>
      <c r="F219" s="996" t="s">
        <v>1049</v>
      </c>
      <c r="G219" s="997">
        <v>70000000</v>
      </c>
      <c r="H219" s="74" t="s">
        <v>448</v>
      </c>
      <c r="I219" s="74" t="s">
        <v>1339</v>
      </c>
      <c r="J219" s="74" t="s">
        <v>1328</v>
      </c>
    </row>
    <row r="220" spans="1:10" hidden="1">
      <c r="A220" s="996">
        <v>1</v>
      </c>
      <c r="B220" s="996" t="s">
        <v>900</v>
      </c>
      <c r="C220" s="996" t="s">
        <v>873</v>
      </c>
      <c r="D220" s="996" t="s">
        <v>67</v>
      </c>
      <c r="E220" s="996" t="s">
        <v>803</v>
      </c>
      <c r="F220" s="996" t="s">
        <v>991</v>
      </c>
      <c r="G220" s="1116">
        <v>28343000</v>
      </c>
      <c r="H220" s="74" t="s">
        <v>1330</v>
      </c>
      <c r="I220" s="74" t="s">
        <v>1340</v>
      </c>
      <c r="J220" s="74" t="s">
        <v>1328</v>
      </c>
    </row>
    <row r="221" spans="1:10" hidden="1">
      <c r="A221" s="996">
        <v>1</v>
      </c>
      <c r="B221" s="996" t="s">
        <v>900</v>
      </c>
      <c r="C221" s="996" t="s">
        <v>873</v>
      </c>
      <c r="D221" s="996" t="s">
        <v>75</v>
      </c>
      <c r="E221" s="996" t="s">
        <v>799</v>
      </c>
      <c r="F221" s="996" t="s">
        <v>399</v>
      </c>
      <c r="G221" s="1116">
        <v>1650000</v>
      </c>
      <c r="H221" s="74" t="s">
        <v>1330</v>
      </c>
      <c r="I221" s="74" t="s">
        <v>1340</v>
      </c>
      <c r="J221" s="74" t="s">
        <v>1328</v>
      </c>
    </row>
    <row r="222" spans="1:10" hidden="1">
      <c r="A222" s="996">
        <v>1</v>
      </c>
      <c r="B222" s="996" t="s">
        <v>900</v>
      </c>
      <c r="C222" s="996" t="s">
        <v>873</v>
      </c>
      <c r="D222" s="996" t="s">
        <v>77</v>
      </c>
      <c r="E222" s="996" t="s">
        <v>809</v>
      </c>
      <c r="F222" s="996" t="s">
        <v>401</v>
      </c>
      <c r="G222" s="1116">
        <v>2708000</v>
      </c>
      <c r="H222" s="74" t="s">
        <v>1330</v>
      </c>
      <c r="I222" s="74" t="s">
        <v>1340</v>
      </c>
      <c r="J222" s="74" t="s">
        <v>1328</v>
      </c>
    </row>
    <row r="223" spans="1:10" hidden="1">
      <c r="A223" s="996">
        <v>1</v>
      </c>
      <c r="B223" s="996" t="s">
        <v>900</v>
      </c>
      <c r="C223" s="996" t="s">
        <v>873</v>
      </c>
      <c r="D223" s="996" t="s">
        <v>78</v>
      </c>
      <c r="E223" s="996" t="s">
        <v>810</v>
      </c>
      <c r="F223" s="996" t="s">
        <v>402</v>
      </c>
      <c r="G223" s="1116">
        <v>2549000</v>
      </c>
      <c r="H223" s="74" t="s">
        <v>1330</v>
      </c>
      <c r="I223" s="74" t="s">
        <v>1340</v>
      </c>
      <c r="J223" s="74" t="s">
        <v>1328</v>
      </c>
    </row>
    <row r="224" spans="1:10" hidden="1">
      <c r="A224" s="996">
        <v>1</v>
      </c>
      <c r="B224" s="996" t="s">
        <v>900</v>
      </c>
      <c r="C224" s="996" t="s">
        <v>873</v>
      </c>
      <c r="D224" s="996" t="s">
        <v>82</v>
      </c>
      <c r="E224" s="996" t="s">
        <v>811</v>
      </c>
      <c r="F224" s="996" t="s">
        <v>404</v>
      </c>
      <c r="G224" s="1116">
        <v>3010000</v>
      </c>
      <c r="H224" s="74" t="s">
        <v>1330</v>
      </c>
      <c r="I224" s="74" t="s">
        <v>1340</v>
      </c>
      <c r="J224" s="74" t="s">
        <v>1328</v>
      </c>
    </row>
    <row r="225" spans="1:10" hidden="1">
      <c r="A225" s="996">
        <v>1</v>
      </c>
      <c r="B225" s="996" t="s">
        <v>900</v>
      </c>
      <c r="C225" s="996" t="s">
        <v>873</v>
      </c>
      <c r="D225" s="996" t="s">
        <v>83</v>
      </c>
      <c r="E225" s="996" t="s">
        <v>812</v>
      </c>
      <c r="F225" s="996" t="s">
        <v>405</v>
      </c>
      <c r="G225" s="1116">
        <v>163000</v>
      </c>
      <c r="H225" s="74" t="s">
        <v>1330</v>
      </c>
      <c r="I225" s="74" t="s">
        <v>1340</v>
      </c>
      <c r="J225" s="74" t="s">
        <v>1328</v>
      </c>
    </row>
    <row r="226" spans="1:10" hidden="1">
      <c r="A226" s="996">
        <v>1</v>
      </c>
      <c r="B226" s="996" t="s">
        <v>900</v>
      </c>
      <c r="C226" s="996" t="s">
        <v>873</v>
      </c>
      <c r="D226" s="996" t="s">
        <v>84</v>
      </c>
      <c r="E226" s="996" t="s">
        <v>813</v>
      </c>
      <c r="F226" s="996" t="s">
        <v>406</v>
      </c>
      <c r="G226" s="1116">
        <v>488000</v>
      </c>
      <c r="H226" s="74" t="s">
        <v>1330</v>
      </c>
      <c r="I226" s="74" t="s">
        <v>1340</v>
      </c>
      <c r="J226" s="74" t="s">
        <v>1328</v>
      </c>
    </row>
    <row r="227" spans="1:10" hidden="1">
      <c r="A227" s="996">
        <v>1</v>
      </c>
      <c r="B227" s="996" t="s">
        <v>900</v>
      </c>
      <c r="C227" s="996" t="s">
        <v>873</v>
      </c>
      <c r="D227" s="996" t="s">
        <v>85</v>
      </c>
      <c r="E227" s="996" t="s">
        <v>814</v>
      </c>
      <c r="F227" s="996" t="s">
        <v>407</v>
      </c>
      <c r="G227" s="1116">
        <v>1627000</v>
      </c>
      <c r="H227" s="74" t="s">
        <v>1330</v>
      </c>
      <c r="I227" s="74" t="s">
        <v>1340</v>
      </c>
      <c r="J227" s="74" t="s">
        <v>1328</v>
      </c>
    </row>
    <row r="228" spans="1:10" hidden="1">
      <c r="A228" s="996">
        <v>1</v>
      </c>
      <c r="B228" s="996" t="s">
        <v>900</v>
      </c>
      <c r="C228" s="996" t="s">
        <v>873</v>
      </c>
      <c r="D228" s="996" t="s">
        <v>86</v>
      </c>
      <c r="E228" s="996" t="s">
        <v>815</v>
      </c>
      <c r="F228" s="996" t="s">
        <v>408</v>
      </c>
      <c r="G228" s="1116">
        <v>163000</v>
      </c>
      <c r="H228" s="74" t="s">
        <v>1330</v>
      </c>
      <c r="I228" s="74" t="s">
        <v>1340</v>
      </c>
      <c r="J228" s="74" t="s">
        <v>1328</v>
      </c>
    </row>
    <row r="229" spans="1:10" hidden="1">
      <c r="A229" s="996">
        <v>1</v>
      </c>
      <c r="B229" s="996" t="s">
        <v>900</v>
      </c>
      <c r="C229" s="996" t="s">
        <v>873</v>
      </c>
      <c r="D229" s="996" t="s">
        <v>425</v>
      </c>
      <c r="E229" s="996" t="s">
        <v>816</v>
      </c>
      <c r="F229" s="996" t="s">
        <v>945</v>
      </c>
      <c r="G229" s="1116">
        <v>1764000</v>
      </c>
      <c r="H229" s="74" t="s">
        <v>1330</v>
      </c>
      <c r="I229" s="74" t="s">
        <v>1340</v>
      </c>
      <c r="J229" s="74" t="s">
        <v>1328</v>
      </c>
    </row>
    <row r="230" spans="1:10" hidden="1">
      <c r="A230" s="996">
        <v>1</v>
      </c>
      <c r="B230" s="996" t="s">
        <v>900</v>
      </c>
      <c r="C230" s="996" t="s">
        <v>873</v>
      </c>
      <c r="D230" s="996" t="s">
        <v>89</v>
      </c>
      <c r="E230" s="996" t="s">
        <v>817</v>
      </c>
      <c r="F230" s="996" t="s">
        <v>409</v>
      </c>
      <c r="G230" s="1116">
        <v>976000</v>
      </c>
      <c r="H230" s="74" t="s">
        <v>1330</v>
      </c>
      <c r="I230" s="74" t="s">
        <v>1340</v>
      </c>
      <c r="J230" s="74" t="s">
        <v>1328</v>
      </c>
    </row>
    <row r="231" spans="1:10" hidden="1">
      <c r="A231" s="996">
        <v>1</v>
      </c>
      <c r="B231" s="996" t="s">
        <v>900</v>
      </c>
      <c r="C231" s="996" t="s">
        <v>873</v>
      </c>
      <c r="D231" s="996" t="s">
        <v>90</v>
      </c>
      <c r="E231" s="996" t="s">
        <v>818</v>
      </c>
      <c r="F231" s="996" t="s">
        <v>714</v>
      </c>
      <c r="G231" s="1116">
        <v>488000</v>
      </c>
      <c r="H231" s="74" t="s">
        <v>1330</v>
      </c>
      <c r="I231" s="74" t="s">
        <v>1340</v>
      </c>
      <c r="J231" s="74" t="s">
        <v>1328</v>
      </c>
    </row>
    <row r="232" spans="1:10" hidden="1">
      <c r="A232" s="996">
        <v>1</v>
      </c>
      <c r="B232" s="996" t="s">
        <v>900</v>
      </c>
      <c r="C232" s="996" t="s">
        <v>874</v>
      </c>
      <c r="D232" s="996" t="s">
        <v>94</v>
      </c>
      <c r="E232" s="996" t="s">
        <v>819</v>
      </c>
      <c r="F232" s="996" t="s">
        <v>977</v>
      </c>
      <c r="G232" s="997">
        <v>5736000</v>
      </c>
      <c r="H232" s="74" t="s">
        <v>448</v>
      </c>
      <c r="I232" s="74" t="s">
        <v>1339</v>
      </c>
      <c r="J232" s="74" t="s">
        <v>1328</v>
      </c>
    </row>
    <row r="233" spans="1:10" hidden="1">
      <c r="A233" s="996">
        <v>1</v>
      </c>
      <c r="B233" s="996" t="s">
        <v>900</v>
      </c>
      <c r="C233" s="996" t="s">
        <v>874</v>
      </c>
      <c r="D233" s="996" t="s">
        <v>103</v>
      </c>
      <c r="E233" s="996" t="s">
        <v>821</v>
      </c>
      <c r="F233" s="996" t="s">
        <v>978</v>
      </c>
      <c r="G233" s="997">
        <v>248000</v>
      </c>
      <c r="H233" s="74" t="s">
        <v>448</v>
      </c>
      <c r="I233" s="74" t="s">
        <v>1339</v>
      </c>
      <c r="J233" s="74" t="s">
        <v>1328</v>
      </c>
    </row>
    <row r="234" spans="1:10" hidden="1">
      <c r="A234" s="996">
        <v>1</v>
      </c>
      <c r="B234" s="996" t="s">
        <v>900</v>
      </c>
      <c r="C234" s="996" t="s">
        <v>874</v>
      </c>
      <c r="D234" s="996" t="s">
        <v>105</v>
      </c>
      <c r="E234" s="996" t="s">
        <v>822</v>
      </c>
      <c r="F234" s="996" t="s">
        <v>979</v>
      </c>
      <c r="G234" s="997">
        <v>776000</v>
      </c>
      <c r="H234" s="74" t="s">
        <v>448</v>
      </c>
      <c r="I234" s="74" t="s">
        <v>1339</v>
      </c>
      <c r="J234" s="74" t="s">
        <v>1328</v>
      </c>
    </row>
    <row r="235" spans="1:10" hidden="1">
      <c r="A235" s="996">
        <v>1</v>
      </c>
      <c r="B235" s="996" t="s">
        <v>900</v>
      </c>
      <c r="C235" s="996" t="s">
        <v>874</v>
      </c>
      <c r="D235" s="996" t="s">
        <v>286</v>
      </c>
      <c r="E235" s="996" t="s">
        <v>980</v>
      </c>
      <c r="F235" s="996" t="s">
        <v>981</v>
      </c>
      <c r="G235" s="997">
        <v>402000</v>
      </c>
      <c r="H235" s="74" t="s">
        <v>448</v>
      </c>
      <c r="I235" s="74" t="s">
        <v>1339</v>
      </c>
      <c r="J235" s="74" t="s">
        <v>1328</v>
      </c>
    </row>
    <row r="236" spans="1:10" hidden="1">
      <c r="A236" s="996">
        <v>1</v>
      </c>
      <c r="B236" s="996" t="s">
        <v>900</v>
      </c>
      <c r="C236" s="996" t="s">
        <v>874</v>
      </c>
      <c r="D236" s="996" t="s">
        <v>339</v>
      </c>
      <c r="E236" s="996" t="s">
        <v>830</v>
      </c>
      <c r="F236" s="996" t="s">
        <v>1050</v>
      </c>
      <c r="G236" s="997">
        <v>1000000</v>
      </c>
      <c r="H236" s="74" t="s">
        <v>448</v>
      </c>
      <c r="I236" s="74" t="s">
        <v>1339</v>
      </c>
      <c r="J236" s="74" t="s">
        <v>1328</v>
      </c>
    </row>
    <row r="237" spans="1:10" hidden="1">
      <c r="A237" s="996">
        <v>1</v>
      </c>
      <c r="B237" s="996" t="s">
        <v>900</v>
      </c>
      <c r="C237" s="996" t="s">
        <v>874</v>
      </c>
      <c r="D237" s="996" t="s">
        <v>125</v>
      </c>
      <c r="E237" s="996" t="s">
        <v>833</v>
      </c>
      <c r="F237" s="996" t="s">
        <v>1051</v>
      </c>
      <c r="G237" s="997">
        <v>1898000</v>
      </c>
      <c r="H237" s="74" t="s">
        <v>448</v>
      </c>
      <c r="I237" s="74" t="s">
        <v>1339</v>
      </c>
      <c r="J237" s="74" t="s">
        <v>1328</v>
      </c>
    </row>
    <row r="238" spans="1:10" hidden="1">
      <c r="A238" s="996">
        <v>1</v>
      </c>
      <c r="B238" s="996" t="s">
        <v>900</v>
      </c>
      <c r="C238" s="996" t="s">
        <v>874</v>
      </c>
      <c r="D238" s="996" t="s">
        <v>125</v>
      </c>
      <c r="E238" s="996" t="s">
        <v>833</v>
      </c>
      <c r="F238" s="996" t="s">
        <v>1052</v>
      </c>
      <c r="G238" s="997">
        <v>400000</v>
      </c>
      <c r="H238" s="74" t="s">
        <v>448</v>
      </c>
      <c r="I238" s="74" t="s">
        <v>1339</v>
      </c>
      <c r="J238" s="74" t="s">
        <v>1328</v>
      </c>
    </row>
    <row r="239" spans="1:10" hidden="1">
      <c r="A239" s="996">
        <v>1</v>
      </c>
      <c r="B239" s="996" t="s">
        <v>890</v>
      </c>
      <c r="C239" s="996" t="s">
        <v>874</v>
      </c>
      <c r="D239" s="996" t="s">
        <v>138</v>
      </c>
      <c r="E239" s="996" t="s">
        <v>985</v>
      </c>
      <c r="F239" s="996" t="s">
        <v>1053</v>
      </c>
      <c r="G239" s="997">
        <v>1937000</v>
      </c>
      <c r="H239" s="74" t="s">
        <v>448</v>
      </c>
      <c r="I239" s="74" t="s">
        <v>1339</v>
      </c>
      <c r="J239" s="74" t="s">
        <v>1328</v>
      </c>
    </row>
    <row r="240" spans="1:10" hidden="1">
      <c r="A240" s="996">
        <v>1</v>
      </c>
      <c r="B240" s="996" t="s">
        <v>900</v>
      </c>
      <c r="C240" s="996" t="s">
        <v>874</v>
      </c>
      <c r="D240" s="996" t="s">
        <v>138</v>
      </c>
      <c r="E240" s="996" t="s">
        <v>985</v>
      </c>
      <c r="F240" s="996" t="s">
        <v>1054</v>
      </c>
      <c r="G240" s="997">
        <v>303000</v>
      </c>
      <c r="H240" s="74" t="s">
        <v>448</v>
      </c>
      <c r="I240" s="74" t="s">
        <v>1339</v>
      </c>
      <c r="J240" s="74" t="s">
        <v>1328</v>
      </c>
    </row>
    <row r="241" spans="1:10" hidden="1">
      <c r="A241" s="996">
        <v>1</v>
      </c>
      <c r="B241" s="996" t="s">
        <v>900</v>
      </c>
      <c r="C241" s="996" t="s">
        <v>874</v>
      </c>
      <c r="D241" s="996" t="s">
        <v>155</v>
      </c>
      <c r="E241" s="996" t="s">
        <v>844</v>
      </c>
      <c r="F241" s="996" t="s">
        <v>901</v>
      </c>
      <c r="G241" s="997">
        <v>1000000</v>
      </c>
      <c r="H241" s="74" t="s">
        <v>448</v>
      </c>
      <c r="I241" s="74" t="s">
        <v>1339</v>
      </c>
      <c r="J241" s="74" t="s">
        <v>1328</v>
      </c>
    </row>
    <row r="242" spans="1:10" hidden="1">
      <c r="A242" s="996">
        <v>1</v>
      </c>
      <c r="B242" s="996" t="s">
        <v>900</v>
      </c>
      <c r="C242" s="996" t="s">
        <v>891</v>
      </c>
      <c r="D242" s="996" t="s">
        <v>194</v>
      </c>
      <c r="E242" s="996" t="s">
        <v>857</v>
      </c>
      <c r="F242" s="996" t="s">
        <v>1055</v>
      </c>
      <c r="G242" s="997">
        <v>7800</v>
      </c>
      <c r="H242" s="74" t="s">
        <v>448</v>
      </c>
      <c r="I242" s="74" t="s">
        <v>1339</v>
      </c>
      <c r="J242" s="74" t="s">
        <v>1328</v>
      </c>
    </row>
    <row r="243" spans="1:10" hidden="1">
      <c r="A243" s="996">
        <v>1</v>
      </c>
      <c r="B243" s="996" t="s">
        <v>900</v>
      </c>
      <c r="C243" s="996" t="s">
        <v>891</v>
      </c>
      <c r="D243" s="996" t="s">
        <v>195</v>
      </c>
      <c r="E243" s="996" t="s">
        <v>858</v>
      </c>
      <c r="F243" s="996" t="s">
        <v>1056</v>
      </c>
      <c r="G243" s="997">
        <v>62000</v>
      </c>
      <c r="H243" s="74" t="s">
        <v>448</v>
      </c>
      <c r="I243" s="74" t="s">
        <v>1339</v>
      </c>
      <c r="J243" s="74" t="s">
        <v>1328</v>
      </c>
    </row>
    <row r="244" spans="1:10" hidden="1">
      <c r="A244" s="996">
        <v>1</v>
      </c>
      <c r="B244" s="996" t="s">
        <v>900</v>
      </c>
      <c r="C244" s="996" t="s">
        <v>891</v>
      </c>
      <c r="D244" s="996" t="s">
        <v>197</v>
      </c>
      <c r="E244" s="996" t="s">
        <v>859</v>
      </c>
      <c r="F244" s="996" t="s">
        <v>1057</v>
      </c>
      <c r="G244" s="997">
        <v>51000</v>
      </c>
      <c r="H244" s="74" t="s">
        <v>448</v>
      </c>
      <c r="I244" s="74" t="s">
        <v>1339</v>
      </c>
      <c r="J244" s="74" t="s">
        <v>1328</v>
      </c>
    </row>
    <row r="245" spans="1:10" hidden="1">
      <c r="A245" s="996">
        <v>1</v>
      </c>
      <c r="B245" s="996" t="s">
        <v>902</v>
      </c>
      <c r="C245" s="996" t="s">
        <v>873</v>
      </c>
      <c r="D245" s="996" t="s">
        <v>67</v>
      </c>
      <c r="E245" s="996" t="s">
        <v>803</v>
      </c>
      <c r="F245" s="996" t="s">
        <v>991</v>
      </c>
      <c r="G245" s="1116">
        <v>11154000</v>
      </c>
      <c r="H245" s="74" t="s">
        <v>1330</v>
      </c>
      <c r="I245" s="74" t="s">
        <v>1340</v>
      </c>
      <c r="J245" s="74" t="s">
        <v>1328</v>
      </c>
    </row>
    <row r="246" spans="1:10" hidden="1">
      <c r="A246" s="996">
        <v>1</v>
      </c>
      <c r="B246" s="996" t="s">
        <v>902</v>
      </c>
      <c r="C246" s="996" t="s">
        <v>873</v>
      </c>
      <c r="D246" s="996" t="s">
        <v>75</v>
      </c>
      <c r="E246" s="996" t="s">
        <v>799</v>
      </c>
      <c r="F246" s="996" t="s">
        <v>399</v>
      </c>
      <c r="G246" s="1116">
        <v>4131000</v>
      </c>
      <c r="H246" s="74" t="s">
        <v>1330</v>
      </c>
      <c r="I246" s="74" t="s">
        <v>1340</v>
      </c>
      <c r="J246" s="74" t="s">
        <v>1328</v>
      </c>
    </row>
    <row r="247" spans="1:10" hidden="1">
      <c r="A247" s="996">
        <v>1</v>
      </c>
      <c r="B247" s="996" t="s">
        <v>902</v>
      </c>
      <c r="C247" s="996" t="s">
        <v>873</v>
      </c>
      <c r="D247" s="996" t="s">
        <v>76</v>
      </c>
      <c r="E247" s="996" t="s">
        <v>800</v>
      </c>
      <c r="F247" s="996" t="s">
        <v>400</v>
      </c>
      <c r="G247" s="1116">
        <v>6135000</v>
      </c>
      <c r="H247" s="74" t="s">
        <v>1330</v>
      </c>
      <c r="I247" s="74" t="s">
        <v>1340</v>
      </c>
      <c r="J247" s="74" t="s">
        <v>1328</v>
      </c>
    </row>
    <row r="248" spans="1:10" hidden="1">
      <c r="A248" s="996">
        <v>1</v>
      </c>
      <c r="B248" s="996" t="s">
        <v>902</v>
      </c>
      <c r="C248" s="996" t="s">
        <v>873</v>
      </c>
      <c r="D248" s="996" t="s">
        <v>77</v>
      </c>
      <c r="E248" s="996" t="s">
        <v>809</v>
      </c>
      <c r="F248" s="996" t="s">
        <v>401</v>
      </c>
      <c r="G248" s="1116">
        <v>2651000</v>
      </c>
      <c r="H248" s="74" t="s">
        <v>1330</v>
      </c>
      <c r="I248" s="74" t="s">
        <v>1340</v>
      </c>
      <c r="J248" s="74" t="s">
        <v>1328</v>
      </c>
    </row>
    <row r="249" spans="1:10" hidden="1">
      <c r="A249" s="996">
        <v>1</v>
      </c>
      <c r="B249" s="996" t="s">
        <v>902</v>
      </c>
      <c r="C249" s="996" t="s">
        <v>873</v>
      </c>
      <c r="D249" s="996" t="s">
        <v>78</v>
      </c>
      <c r="E249" s="996" t="s">
        <v>810</v>
      </c>
      <c r="F249" s="996" t="s">
        <v>402</v>
      </c>
      <c r="G249" s="1116">
        <v>2447000</v>
      </c>
      <c r="H249" s="74" t="s">
        <v>1330</v>
      </c>
      <c r="I249" s="74" t="s">
        <v>1340</v>
      </c>
      <c r="J249" s="74" t="s">
        <v>1328</v>
      </c>
    </row>
    <row r="250" spans="1:10" hidden="1">
      <c r="A250" s="996">
        <v>1</v>
      </c>
      <c r="B250" s="996" t="s">
        <v>902</v>
      </c>
      <c r="C250" s="996" t="s">
        <v>873</v>
      </c>
      <c r="D250" s="996" t="s">
        <v>79</v>
      </c>
      <c r="E250" s="996" t="s">
        <v>801</v>
      </c>
      <c r="F250" s="996" t="s">
        <v>403</v>
      </c>
      <c r="G250" s="1116">
        <v>7952000</v>
      </c>
      <c r="H250" s="74" t="s">
        <v>1330</v>
      </c>
      <c r="I250" s="74" t="s">
        <v>1340</v>
      </c>
      <c r="J250" s="74" t="s">
        <v>1328</v>
      </c>
    </row>
    <row r="251" spans="1:10" hidden="1">
      <c r="A251" s="996">
        <v>1</v>
      </c>
      <c r="B251" s="996" t="s">
        <v>902</v>
      </c>
      <c r="C251" s="996" t="s">
        <v>873</v>
      </c>
      <c r="D251" s="996" t="s">
        <v>82</v>
      </c>
      <c r="E251" s="996" t="s">
        <v>811</v>
      </c>
      <c r="F251" s="996" t="s">
        <v>404</v>
      </c>
      <c r="G251" s="1116">
        <v>2943000</v>
      </c>
      <c r="H251" s="74" t="s">
        <v>1330</v>
      </c>
      <c r="I251" s="74" t="s">
        <v>1340</v>
      </c>
      <c r="J251" s="74" t="s">
        <v>1328</v>
      </c>
    </row>
    <row r="252" spans="1:10" hidden="1">
      <c r="A252" s="996">
        <v>1</v>
      </c>
      <c r="B252" s="996" t="s">
        <v>902</v>
      </c>
      <c r="C252" s="996" t="s">
        <v>873</v>
      </c>
      <c r="D252" s="996" t="s">
        <v>83</v>
      </c>
      <c r="E252" s="996" t="s">
        <v>812</v>
      </c>
      <c r="F252" s="996" t="s">
        <v>405</v>
      </c>
      <c r="G252" s="1116">
        <v>159000</v>
      </c>
      <c r="H252" s="74" t="s">
        <v>1330</v>
      </c>
      <c r="I252" s="74" t="s">
        <v>1340</v>
      </c>
      <c r="J252" s="74" t="s">
        <v>1328</v>
      </c>
    </row>
    <row r="253" spans="1:10" hidden="1">
      <c r="A253" s="996">
        <v>1</v>
      </c>
      <c r="B253" s="996" t="s">
        <v>902</v>
      </c>
      <c r="C253" s="996" t="s">
        <v>873</v>
      </c>
      <c r="D253" s="996" t="s">
        <v>84</v>
      </c>
      <c r="E253" s="996" t="s">
        <v>813</v>
      </c>
      <c r="F253" s="996" t="s">
        <v>406</v>
      </c>
      <c r="G253" s="1116">
        <v>477000</v>
      </c>
      <c r="H253" s="74" t="s">
        <v>1330</v>
      </c>
      <c r="I253" s="74" t="s">
        <v>1340</v>
      </c>
      <c r="J253" s="74" t="s">
        <v>1328</v>
      </c>
    </row>
    <row r="254" spans="1:10" hidden="1">
      <c r="A254" s="996">
        <v>1</v>
      </c>
      <c r="B254" s="996" t="s">
        <v>902</v>
      </c>
      <c r="C254" s="996" t="s">
        <v>873</v>
      </c>
      <c r="D254" s="996" t="s">
        <v>85</v>
      </c>
      <c r="E254" s="996" t="s">
        <v>814</v>
      </c>
      <c r="F254" s="996" t="s">
        <v>407</v>
      </c>
      <c r="G254" s="1116">
        <v>1591000</v>
      </c>
      <c r="H254" s="74" t="s">
        <v>1330</v>
      </c>
      <c r="I254" s="74" t="s">
        <v>1340</v>
      </c>
      <c r="J254" s="74" t="s">
        <v>1328</v>
      </c>
    </row>
    <row r="255" spans="1:10" hidden="1">
      <c r="A255" s="996">
        <v>1</v>
      </c>
      <c r="B255" s="996" t="s">
        <v>902</v>
      </c>
      <c r="C255" s="996" t="s">
        <v>873</v>
      </c>
      <c r="D255" s="996" t="s">
        <v>86</v>
      </c>
      <c r="E255" s="996" t="s">
        <v>815</v>
      </c>
      <c r="F255" s="996" t="s">
        <v>408</v>
      </c>
      <c r="G255" s="1116">
        <v>159000</v>
      </c>
      <c r="H255" s="74" t="s">
        <v>1330</v>
      </c>
      <c r="I255" s="74" t="s">
        <v>1340</v>
      </c>
      <c r="J255" s="74" t="s">
        <v>1328</v>
      </c>
    </row>
    <row r="256" spans="1:10" hidden="1">
      <c r="A256" s="996">
        <v>1</v>
      </c>
      <c r="B256" s="996" t="s">
        <v>902</v>
      </c>
      <c r="C256" s="996" t="s">
        <v>873</v>
      </c>
      <c r="D256" s="996" t="s">
        <v>425</v>
      </c>
      <c r="E256" s="996" t="s">
        <v>816</v>
      </c>
      <c r="F256" s="996" t="s">
        <v>945</v>
      </c>
      <c r="G256" s="1116">
        <v>1725000</v>
      </c>
      <c r="H256" s="74" t="s">
        <v>1330</v>
      </c>
      <c r="I256" s="74" t="s">
        <v>1340</v>
      </c>
      <c r="J256" s="74" t="s">
        <v>1328</v>
      </c>
    </row>
    <row r="257" spans="1:18" hidden="1">
      <c r="A257" s="996">
        <v>1</v>
      </c>
      <c r="B257" s="996" t="s">
        <v>902</v>
      </c>
      <c r="C257" s="996" t="s">
        <v>873</v>
      </c>
      <c r="D257" s="996" t="s">
        <v>89</v>
      </c>
      <c r="E257" s="996" t="s">
        <v>817</v>
      </c>
      <c r="F257" s="996" t="s">
        <v>409</v>
      </c>
      <c r="G257" s="1116">
        <v>954000</v>
      </c>
      <c r="H257" s="74" t="s">
        <v>1330</v>
      </c>
      <c r="I257" s="74" t="s">
        <v>1340</v>
      </c>
      <c r="J257" s="74" t="s">
        <v>1328</v>
      </c>
    </row>
    <row r="258" spans="1:18" hidden="1">
      <c r="A258" s="996">
        <v>1</v>
      </c>
      <c r="B258" s="996" t="s">
        <v>902</v>
      </c>
      <c r="C258" s="996" t="s">
        <v>873</v>
      </c>
      <c r="D258" s="996" t="s">
        <v>90</v>
      </c>
      <c r="E258" s="996" t="s">
        <v>818</v>
      </c>
      <c r="F258" s="996" t="s">
        <v>714</v>
      </c>
      <c r="G258" s="1116">
        <v>477000</v>
      </c>
      <c r="H258" s="74" t="s">
        <v>1330</v>
      </c>
      <c r="I258" s="74" t="s">
        <v>1340</v>
      </c>
      <c r="J258" s="74" t="s">
        <v>1328</v>
      </c>
    </row>
    <row r="259" spans="1:18" hidden="1">
      <c r="A259" s="996">
        <v>1</v>
      </c>
      <c r="B259" s="996" t="s">
        <v>902</v>
      </c>
      <c r="C259" s="996" t="s">
        <v>874</v>
      </c>
      <c r="D259" s="996" t="s">
        <v>94</v>
      </c>
      <c r="E259" s="996" t="s">
        <v>819</v>
      </c>
      <c r="F259" s="996" t="s">
        <v>977</v>
      </c>
      <c r="G259" s="997">
        <v>2712000</v>
      </c>
      <c r="H259" s="74" t="s">
        <v>448</v>
      </c>
      <c r="I259" s="74" t="s">
        <v>1339</v>
      </c>
      <c r="J259" s="74" t="s">
        <v>1328</v>
      </c>
    </row>
    <row r="260" spans="1:18" s="915" customFormat="1" hidden="1">
      <c r="A260" s="996">
        <v>1</v>
      </c>
      <c r="B260" s="996" t="s">
        <v>902</v>
      </c>
      <c r="C260" s="996" t="s">
        <v>874</v>
      </c>
      <c r="D260" s="996" t="s">
        <v>103</v>
      </c>
      <c r="E260" s="996" t="s">
        <v>821</v>
      </c>
      <c r="F260" s="996" t="s">
        <v>978</v>
      </c>
      <c r="G260" s="997">
        <v>118000</v>
      </c>
      <c r="H260" s="74" t="s">
        <v>448</v>
      </c>
      <c r="I260" s="74" t="s">
        <v>1339</v>
      </c>
      <c r="J260" s="74" t="s">
        <v>1328</v>
      </c>
      <c r="M260" s="989"/>
      <c r="R260" s="989"/>
    </row>
    <row r="261" spans="1:18" s="915" customFormat="1" hidden="1">
      <c r="A261" s="996">
        <v>1</v>
      </c>
      <c r="B261" s="996" t="s">
        <v>902</v>
      </c>
      <c r="C261" s="996" t="s">
        <v>874</v>
      </c>
      <c r="D261" s="996" t="s">
        <v>105</v>
      </c>
      <c r="E261" s="996" t="s">
        <v>822</v>
      </c>
      <c r="F261" s="996" t="s">
        <v>979</v>
      </c>
      <c r="G261" s="997">
        <v>366000</v>
      </c>
      <c r="H261" s="74" t="s">
        <v>448</v>
      </c>
      <c r="I261" s="74" t="s">
        <v>1339</v>
      </c>
      <c r="J261" s="74" t="s">
        <v>1328</v>
      </c>
      <c r="M261" s="989"/>
      <c r="R261" s="989"/>
    </row>
    <row r="262" spans="1:18" s="915" customFormat="1" hidden="1">
      <c r="A262" s="996">
        <v>1</v>
      </c>
      <c r="B262" s="996" t="s">
        <v>902</v>
      </c>
      <c r="C262" s="996" t="s">
        <v>874</v>
      </c>
      <c r="D262" s="996" t="s">
        <v>286</v>
      </c>
      <c r="E262" s="996" t="s">
        <v>980</v>
      </c>
      <c r="F262" s="996" t="s">
        <v>981</v>
      </c>
      <c r="G262" s="997">
        <v>190000</v>
      </c>
      <c r="H262" s="74" t="s">
        <v>448</v>
      </c>
      <c r="I262" s="74" t="s">
        <v>1339</v>
      </c>
      <c r="J262" s="74" t="s">
        <v>1328</v>
      </c>
      <c r="M262" s="989"/>
      <c r="R262" s="989"/>
    </row>
    <row r="263" spans="1:18" s="915" customFormat="1" hidden="1">
      <c r="A263" s="996">
        <v>1</v>
      </c>
      <c r="B263" s="996" t="s">
        <v>902</v>
      </c>
      <c r="C263" s="996" t="s">
        <v>874</v>
      </c>
      <c r="D263" s="996" t="s">
        <v>109</v>
      </c>
      <c r="E263" s="996" t="s">
        <v>824</v>
      </c>
      <c r="F263" s="996" t="s">
        <v>1058</v>
      </c>
      <c r="G263" s="997">
        <v>481380</v>
      </c>
      <c r="H263" s="74" t="s">
        <v>448</v>
      </c>
      <c r="I263" s="74" t="s">
        <v>1339</v>
      </c>
      <c r="J263" s="74" t="s">
        <v>1328</v>
      </c>
      <c r="M263" s="989"/>
      <c r="R263" s="989"/>
    </row>
    <row r="264" spans="1:18" s="915" customFormat="1" hidden="1">
      <c r="A264" s="996">
        <v>1</v>
      </c>
      <c r="B264" s="996" t="s">
        <v>902</v>
      </c>
      <c r="C264" s="996" t="s">
        <v>874</v>
      </c>
      <c r="D264" s="996" t="s">
        <v>125</v>
      </c>
      <c r="E264" s="996" t="s">
        <v>833</v>
      </c>
      <c r="F264" s="996" t="s">
        <v>1051</v>
      </c>
      <c r="G264" s="997">
        <v>898000</v>
      </c>
      <c r="H264" s="74" t="s">
        <v>448</v>
      </c>
      <c r="I264" s="74" t="s">
        <v>1339</v>
      </c>
      <c r="J264" s="74" t="s">
        <v>1328</v>
      </c>
      <c r="M264" s="989"/>
      <c r="R264" s="989"/>
    </row>
    <row r="265" spans="1:18" s="915" customFormat="1">
      <c r="A265" s="996">
        <v>1</v>
      </c>
      <c r="B265" s="996" t="s">
        <v>902</v>
      </c>
      <c r="C265" s="996" t="s">
        <v>874</v>
      </c>
      <c r="D265" s="996" t="s">
        <v>133</v>
      </c>
      <c r="E265" s="996" t="s">
        <v>836</v>
      </c>
      <c r="F265" s="996" t="s">
        <v>1059</v>
      </c>
      <c r="G265" s="997">
        <v>1500000</v>
      </c>
      <c r="H265" s="74" t="s">
        <v>448</v>
      </c>
      <c r="I265" s="74" t="s">
        <v>1339</v>
      </c>
      <c r="J265" s="74" t="s">
        <v>1328</v>
      </c>
      <c r="M265" s="989"/>
      <c r="R265" s="989"/>
    </row>
    <row r="266" spans="1:18" s="915" customFormat="1" hidden="1">
      <c r="A266" s="996">
        <v>1</v>
      </c>
      <c r="B266" s="996" t="s">
        <v>902</v>
      </c>
      <c r="C266" s="996" t="s">
        <v>874</v>
      </c>
      <c r="D266" s="996" t="s">
        <v>138</v>
      </c>
      <c r="E266" s="996" t="s">
        <v>985</v>
      </c>
      <c r="F266" s="996" t="s">
        <v>1060</v>
      </c>
      <c r="G266" s="997">
        <v>296000</v>
      </c>
      <c r="H266" s="74" t="s">
        <v>448</v>
      </c>
      <c r="I266" s="74" t="s">
        <v>1339</v>
      </c>
      <c r="J266" s="74" t="s">
        <v>1328</v>
      </c>
      <c r="M266" s="989"/>
      <c r="R266" s="989"/>
    </row>
    <row r="267" spans="1:18" s="915" customFormat="1" hidden="1">
      <c r="A267" s="996">
        <v>1</v>
      </c>
      <c r="B267" s="996" t="s">
        <v>902</v>
      </c>
      <c r="C267" s="996" t="s">
        <v>891</v>
      </c>
      <c r="D267" s="996" t="s">
        <v>168</v>
      </c>
      <c r="E267" s="996" t="s">
        <v>852</v>
      </c>
      <c r="F267" s="996"/>
      <c r="G267" s="997">
        <v>249850</v>
      </c>
      <c r="H267" s="74" t="s">
        <v>448</v>
      </c>
      <c r="I267" s="74" t="s">
        <v>1339</v>
      </c>
      <c r="J267" s="74" t="s">
        <v>1328</v>
      </c>
      <c r="M267" s="989"/>
      <c r="R267" s="989"/>
    </row>
    <row r="268" spans="1:18" s="915" customFormat="1" hidden="1">
      <c r="A268" s="996">
        <v>1</v>
      </c>
      <c r="B268" s="996" t="s">
        <v>902</v>
      </c>
      <c r="C268" s="996" t="s">
        <v>891</v>
      </c>
      <c r="D268" s="996" t="s">
        <v>189</v>
      </c>
      <c r="E268" s="996" t="s">
        <v>855</v>
      </c>
      <c r="F268" s="996"/>
      <c r="G268" s="997">
        <v>32000</v>
      </c>
      <c r="H268" s="74" t="s">
        <v>448</v>
      </c>
      <c r="I268" s="74" t="s">
        <v>1339</v>
      </c>
      <c r="J268" s="74" t="s">
        <v>1328</v>
      </c>
      <c r="M268" s="989"/>
      <c r="R268" s="989"/>
    </row>
    <row r="269" spans="1:18" s="915" customFormat="1" hidden="1">
      <c r="A269" s="996">
        <v>1</v>
      </c>
      <c r="B269" s="996" t="s">
        <v>902</v>
      </c>
      <c r="C269" s="996" t="s">
        <v>891</v>
      </c>
      <c r="D269" s="996" t="s">
        <v>194</v>
      </c>
      <c r="E269" s="996" t="s">
        <v>857</v>
      </c>
      <c r="F269" s="996"/>
      <c r="G269" s="997">
        <v>869500</v>
      </c>
      <c r="H269" s="74" t="s">
        <v>448</v>
      </c>
      <c r="I269" s="74" t="s">
        <v>1339</v>
      </c>
      <c r="J269" s="74" t="s">
        <v>1328</v>
      </c>
      <c r="M269" s="989"/>
      <c r="R269" s="989"/>
    </row>
    <row r="270" spans="1:18" s="915" customFormat="1" hidden="1">
      <c r="A270" s="996">
        <v>1</v>
      </c>
      <c r="B270" s="996" t="s">
        <v>903</v>
      </c>
      <c r="C270" s="996" t="s">
        <v>873</v>
      </c>
      <c r="D270" s="996" t="s">
        <v>67</v>
      </c>
      <c r="E270" s="996" t="s">
        <v>803</v>
      </c>
      <c r="F270" s="996" t="s">
        <v>991</v>
      </c>
      <c r="G270" s="1116">
        <v>303738000</v>
      </c>
      <c r="H270" s="74" t="s">
        <v>1330</v>
      </c>
      <c r="I270" s="74" t="s">
        <v>1340</v>
      </c>
      <c r="J270" s="74" t="s">
        <v>1328</v>
      </c>
      <c r="M270" s="989"/>
      <c r="R270" s="989"/>
    </row>
    <row r="271" spans="1:18" s="915" customFormat="1" hidden="1">
      <c r="A271" s="996">
        <v>1</v>
      </c>
      <c r="B271" s="996" t="s">
        <v>903</v>
      </c>
      <c r="C271" s="996" t="s">
        <v>873</v>
      </c>
      <c r="D271" s="996" t="s">
        <v>71</v>
      </c>
      <c r="E271" s="996" t="s">
        <v>806</v>
      </c>
      <c r="F271" s="996" t="s">
        <v>992</v>
      </c>
      <c r="G271" s="1116">
        <v>1602000</v>
      </c>
      <c r="H271" s="74" t="s">
        <v>1330</v>
      </c>
      <c r="I271" s="74" t="s">
        <v>1340</v>
      </c>
      <c r="J271" s="74" t="s">
        <v>1328</v>
      </c>
      <c r="M271" s="989"/>
      <c r="R271" s="989"/>
    </row>
    <row r="272" spans="1:18" s="915" customFormat="1" hidden="1">
      <c r="A272" s="996">
        <v>1</v>
      </c>
      <c r="B272" s="996" t="s">
        <v>903</v>
      </c>
      <c r="C272" s="996" t="s">
        <v>873</v>
      </c>
      <c r="D272" s="996" t="s">
        <v>75</v>
      </c>
      <c r="E272" s="996" t="s">
        <v>799</v>
      </c>
      <c r="F272" s="996" t="s">
        <v>399</v>
      </c>
      <c r="G272" s="1116">
        <v>50490000</v>
      </c>
      <c r="H272" s="74" t="s">
        <v>1330</v>
      </c>
      <c r="I272" s="74" t="s">
        <v>1340</v>
      </c>
      <c r="J272" s="74" t="s">
        <v>1328</v>
      </c>
      <c r="M272" s="989"/>
      <c r="R272" s="989"/>
    </row>
    <row r="273" spans="1:18" s="915" customFormat="1" hidden="1">
      <c r="A273" s="996">
        <v>1</v>
      </c>
      <c r="B273" s="996" t="s">
        <v>903</v>
      </c>
      <c r="C273" s="996" t="s">
        <v>873</v>
      </c>
      <c r="D273" s="996" t="s">
        <v>76</v>
      </c>
      <c r="E273" s="996" t="s">
        <v>800</v>
      </c>
      <c r="F273" s="996" t="s">
        <v>400</v>
      </c>
      <c r="G273" s="1116">
        <v>70758000</v>
      </c>
      <c r="H273" s="74" t="s">
        <v>1330</v>
      </c>
      <c r="I273" s="74" t="s">
        <v>1340</v>
      </c>
      <c r="J273" s="74" t="s">
        <v>1328</v>
      </c>
      <c r="M273" s="989"/>
      <c r="R273" s="989"/>
    </row>
    <row r="274" spans="1:18" hidden="1">
      <c r="A274" s="996">
        <v>1</v>
      </c>
      <c r="B274" s="996" t="s">
        <v>903</v>
      </c>
      <c r="C274" s="996" t="s">
        <v>873</v>
      </c>
      <c r="D274" s="996" t="s">
        <v>77</v>
      </c>
      <c r="E274" s="996" t="s">
        <v>809</v>
      </c>
      <c r="F274" s="996" t="s">
        <v>401</v>
      </c>
      <c r="G274" s="1116">
        <v>39686000</v>
      </c>
      <c r="H274" s="74" t="s">
        <v>1330</v>
      </c>
      <c r="I274" s="74" t="s">
        <v>1340</v>
      </c>
      <c r="J274" s="74" t="s">
        <v>1328</v>
      </c>
    </row>
    <row r="275" spans="1:18" hidden="1">
      <c r="A275" s="996">
        <v>1</v>
      </c>
      <c r="B275" s="996" t="s">
        <v>903</v>
      </c>
      <c r="C275" s="996" t="s">
        <v>873</v>
      </c>
      <c r="D275" s="996" t="s">
        <v>78</v>
      </c>
      <c r="E275" s="996" t="s">
        <v>810</v>
      </c>
      <c r="F275" s="996" t="s">
        <v>402</v>
      </c>
      <c r="G275" s="1116">
        <v>37284000</v>
      </c>
      <c r="H275" s="74" t="s">
        <v>1330</v>
      </c>
      <c r="I275" s="74" t="s">
        <v>1340</v>
      </c>
      <c r="J275" s="74" t="s">
        <v>1328</v>
      </c>
    </row>
    <row r="276" spans="1:18" hidden="1">
      <c r="A276" s="996">
        <v>1</v>
      </c>
      <c r="B276" s="996" t="s">
        <v>903</v>
      </c>
      <c r="C276" s="996" t="s">
        <v>873</v>
      </c>
      <c r="D276" s="996" t="s">
        <v>79</v>
      </c>
      <c r="E276" s="996" t="s">
        <v>801</v>
      </c>
      <c r="F276" s="996" t="s">
        <v>403</v>
      </c>
      <c r="G276" s="1116">
        <v>13024000</v>
      </c>
      <c r="H276" s="74" t="s">
        <v>1330</v>
      </c>
      <c r="I276" s="74" t="s">
        <v>1340</v>
      </c>
      <c r="J276" s="74" t="s">
        <v>1328</v>
      </c>
    </row>
    <row r="277" spans="1:18" hidden="1">
      <c r="A277" s="996">
        <v>1</v>
      </c>
      <c r="B277" s="996" t="s">
        <v>903</v>
      </c>
      <c r="C277" s="996" t="s">
        <v>873</v>
      </c>
      <c r="D277" s="996" t="s">
        <v>82</v>
      </c>
      <c r="E277" s="996" t="s">
        <v>811</v>
      </c>
      <c r="F277" s="996" t="s">
        <v>404</v>
      </c>
      <c r="G277" s="1116">
        <v>44113000</v>
      </c>
      <c r="H277" s="74" t="s">
        <v>1330</v>
      </c>
      <c r="I277" s="74" t="s">
        <v>1340</v>
      </c>
      <c r="J277" s="74" t="s">
        <v>1328</v>
      </c>
    </row>
    <row r="278" spans="1:18" hidden="1">
      <c r="A278" s="996">
        <v>1</v>
      </c>
      <c r="B278" s="996" t="s">
        <v>903</v>
      </c>
      <c r="C278" s="996" t="s">
        <v>873</v>
      </c>
      <c r="D278" s="996" t="s">
        <v>83</v>
      </c>
      <c r="E278" s="996" t="s">
        <v>812</v>
      </c>
      <c r="F278" s="996" t="s">
        <v>405</v>
      </c>
      <c r="G278" s="1116">
        <v>2384000</v>
      </c>
      <c r="H278" s="74" t="s">
        <v>1330</v>
      </c>
      <c r="I278" s="74" t="s">
        <v>1340</v>
      </c>
      <c r="J278" s="74" t="s">
        <v>1328</v>
      </c>
    </row>
    <row r="279" spans="1:18" hidden="1">
      <c r="A279" s="996">
        <v>1</v>
      </c>
      <c r="B279" s="996" t="s">
        <v>903</v>
      </c>
      <c r="C279" s="996" t="s">
        <v>873</v>
      </c>
      <c r="D279" s="996" t="s">
        <v>84</v>
      </c>
      <c r="E279" s="996" t="s">
        <v>813</v>
      </c>
      <c r="F279" s="996" t="s">
        <v>406</v>
      </c>
      <c r="G279" s="1116">
        <v>7153000</v>
      </c>
      <c r="H279" s="74" t="s">
        <v>1330</v>
      </c>
      <c r="I279" s="74" t="s">
        <v>1340</v>
      </c>
      <c r="J279" s="74" t="s">
        <v>1328</v>
      </c>
    </row>
    <row r="280" spans="1:18" hidden="1">
      <c r="A280" s="996">
        <v>1</v>
      </c>
      <c r="B280" s="996" t="s">
        <v>903</v>
      </c>
      <c r="C280" s="996" t="s">
        <v>873</v>
      </c>
      <c r="D280" s="996" t="s">
        <v>85</v>
      </c>
      <c r="E280" s="996" t="s">
        <v>814</v>
      </c>
      <c r="F280" s="996" t="s">
        <v>407</v>
      </c>
      <c r="G280" s="1116">
        <v>23845000</v>
      </c>
      <c r="H280" s="74" t="s">
        <v>1330</v>
      </c>
      <c r="I280" s="74" t="s">
        <v>1340</v>
      </c>
      <c r="J280" s="74" t="s">
        <v>1328</v>
      </c>
    </row>
    <row r="281" spans="1:18" hidden="1">
      <c r="A281" s="996">
        <v>1</v>
      </c>
      <c r="B281" s="996" t="s">
        <v>903</v>
      </c>
      <c r="C281" s="996" t="s">
        <v>873</v>
      </c>
      <c r="D281" s="996" t="s">
        <v>86</v>
      </c>
      <c r="E281" s="996" t="s">
        <v>815</v>
      </c>
      <c r="F281" s="996" t="s">
        <v>408</v>
      </c>
      <c r="G281" s="1116">
        <v>2384000</v>
      </c>
      <c r="H281" s="74" t="s">
        <v>1330</v>
      </c>
      <c r="I281" s="74" t="s">
        <v>1340</v>
      </c>
      <c r="J281" s="74" t="s">
        <v>1328</v>
      </c>
    </row>
    <row r="282" spans="1:18" hidden="1">
      <c r="A282" s="996">
        <v>1</v>
      </c>
      <c r="B282" s="996" t="s">
        <v>903</v>
      </c>
      <c r="C282" s="996" t="s">
        <v>873</v>
      </c>
      <c r="D282" s="996" t="s">
        <v>425</v>
      </c>
      <c r="E282" s="996" t="s">
        <v>816</v>
      </c>
      <c r="F282" s="996" t="s">
        <v>945</v>
      </c>
      <c r="G282" s="1116">
        <v>25848000</v>
      </c>
      <c r="H282" s="74" t="s">
        <v>1330</v>
      </c>
      <c r="I282" s="74" t="s">
        <v>1340</v>
      </c>
      <c r="J282" s="74" t="s">
        <v>1328</v>
      </c>
    </row>
    <row r="283" spans="1:18" hidden="1">
      <c r="A283" s="996">
        <v>1</v>
      </c>
      <c r="B283" s="996" t="s">
        <v>903</v>
      </c>
      <c r="C283" s="996" t="s">
        <v>873</v>
      </c>
      <c r="D283" s="996" t="s">
        <v>89</v>
      </c>
      <c r="E283" s="996" t="s">
        <v>817</v>
      </c>
      <c r="F283" s="996" t="s">
        <v>409</v>
      </c>
      <c r="G283" s="1116">
        <v>14307000</v>
      </c>
      <c r="H283" s="74" t="s">
        <v>1330</v>
      </c>
      <c r="I283" s="74" t="s">
        <v>1340</v>
      </c>
      <c r="J283" s="74" t="s">
        <v>1328</v>
      </c>
    </row>
    <row r="284" spans="1:18" hidden="1">
      <c r="A284" s="996">
        <v>1</v>
      </c>
      <c r="B284" s="996" t="s">
        <v>903</v>
      </c>
      <c r="C284" s="996" t="s">
        <v>873</v>
      </c>
      <c r="D284" s="996" t="s">
        <v>90</v>
      </c>
      <c r="E284" s="996" t="s">
        <v>818</v>
      </c>
      <c r="F284" s="996" t="s">
        <v>714</v>
      </c>
      <c r="G284" s="1116">
        <v>7153000</v>
      </c>
      <c r="H284" s="74" t="s">
        <v>1330</v>
      </c>
      <c r="I284" s="74" t="s">
        <v>1340</v>
      </c>
      <c r="J284" s="74" t="s">
        <v>1328</v>
      </c>
    </row>
    <row r="285" spans="1:18" hidden="1">
      <c r="A285" s="996">
        <v>1</v>
      </c>
      <c r="B285" s="996" t="s">
        <v>903</v>
      </c>
      <c r="C285" s="996" t="s">
        <v>874</v>
      </c>
      <c r="D285" s="996" t="s">
        <v>94</v>
      </c>
      <c r="E285" s="996" t="s">
        <v>819</v>
      </c>
      <c r="F285" s="996" t="s">
        <v>1061</v>
      </c>
      <c r="G285" s="997">
        <v>18028000</v>
      </c>
      <c r="H285" s="74" t="s">
        <v>448</v>
      </c>
      <c r="I285" s="74" t="s">
        <v>1339</v>
      </c>
      <c r="J285" s="74" t="s">
        <v>1328</v>
      </c>
    </row>
    <row r="286" spans="1:18" ht="409.6" hidden="1">
      <c r="A286" s="996">
        <v>1</v>
      </c>
      <c r="B286" s="996" t="s">
        <v>903</v>
      </c>
      <c r="C286" s="996" t="s">
        <v>874</v>
      </c>
      <c r="D286" s="996" t="s">
        <v>99</v>
      </c>
      <c r="E286" s="996" t="s">
        <v>1062</v>
      </c>
      <c r="F286" s="998" t="s">
        <v>1416</v>
      </c>
      <c r="G286" s="997">
        <v>53555000</v>
      </c>
      <c r="H286" s="74" t="s">
        <v>448</v>
      </c>
      <c r="I286" s="74" t="s">
        <v>1339</v>
      </c>
      <c r="J286" s="74" t="s">
        <v>1328</v>
      </c>
    </row>
    <row r="287" spans="1:18" hidden="1">
      <c r="A287" s="996">
        <v>1</v>
      </c>
      <c r="B287" s="996" t="s">
        <v>903</v>
      </c>
      <c r="C287" s="996" t="s">
        <v>874</v>
      </c>
      <c r="D287" s="996" t="s">
        <v>103</v>
      </c>
      <c r="E287" s="996" t="s">
        <v>821</v>
      </c>
      <c r="F287" s="996" t="s">
        <v>1063</v>
      </c>
      <c r="G287" s="997">
        <v>778000</v>
      </c>
      <c r="H287" s="74" t="s">
        <v>448</v>
      </c>
      <c r="I287" s="74" t="s">
        <v>1339</v>
      </c>
      <c r="J287" s="74" t="s">
        <v>1328</v>
      </c>
    </row>
    <row r="288" spans="1:18" hidden="1">
      <c r="A288" s="996">
        <v>1</v>
      </c>
      <c r="B288" s="996" t="s">
        <v>903</v>
      </c>
      <c r="C288" s="996" t="s">
        <v>874</v>
      </c>
      <c r="D288" s="996" t="s">
        <v>105</v>
      </c>
      <c r="E288" s="996" t="s">
        <v>822</v>
      </c>
      <c r="F288" s="996" t="s">
        <v>1064</v>
      </c>
      <c r="G288" s="997">
        <v>2436000</v>
      </c>
      <c r="H288" s="74" t="s">
        <v>448</v>
      </c>
      <c r="I288" s="74" t="s">
        <v>1339</v>
      </c>
      <c r="J288" s="74" t="s">
        <v>1328</v>
      </c>
    </row>
    <row r="289" spans="1:18" hidden="1">
      <c r="A289" s="996">
        <v>1</v>
      </c>
      <c r="B289" s="996" t="s">
        <v>903</v>
      </c>
      <c r="C289" s="996" t="s">
        <v>874</v>
      </c>
      <c r="D289" s="996" t="s">
        <v>286</v>
      </c>
      <c r="E289" s="996" t="s">
        <v>980</v>
      </c>
      <c r="F289" s="996" t="s">
        <v>1065</v>
      </c>
      <c r="G289" s="997">
        <v>1266000</v>
      </c>
      <c r="H289" s="74" t="s">
        <v>448</v>
      </c>
      <c r="I289" s="74" t="s">
        <v>1339</v>
      </c>
      <c r="J289" s="74" t="s">
        <v>1328</v>
      </c>
    </row>
    <row r="290" spans="1:18" hidden="1">
      <c r="A290" s="996">
        <v>1</v>
      </c>
      <c r="B290" s="996" t="s">
        <v>903</v>
      </c>
      <c r="C290" s="996" t="s">
        <v>874</v>
      </c>
      <c r="D290" s="996" t="s">
        <v>286</v>
      </c>
      <c r="E290" s="996" t="s">
        <v>980</v>
      </c>
      <c r="F290" s="996" t="s">
        <v>1066</v>
      </c>
      <c r="G290" s="997">
        <v>25200000</v>
      </c>
      <c r="H290" s="74" t="s">
        <v>448</v>
      </c>
      <c r="I290" s="74" t="s">
        <v>1339</v>
      </c>
      <c r="J290" s="74" t="s">
        <v>1328</v>
      </c>
    </row>
    <row r="291" spans="1:18" hidden="1">
      <c r="A291" s="996">
        <v>1</v>
      </c>
      <c r="B291" s="996" t="s">
        <v>900</v>
      </c>
      <c r="C291" s="996" t="s">
        <v>874</v>
      </c>
      <c r="D291" s="996" t="s">
        <v>339</v>
      </c>
      <c r="E291" s="996" t="s">
        <v>830</v>
      </c>
      <c r="F291" s="996" t="s">
        <v>1067</v>
      </c>
      <c r="G291" s="997">
        <v>7000000</v>
      </c>
      <c r="H291" s="74" t="s">
        <v>448</v>
      </c>
      <c r="I291" s="74" t="s">
        <v>1339</v>
      </c>
      <c r="J291" s="74" t="s">
        <v>1328</v>
      </c>
    </row>
    <row r="292" spans="1:18" hidden="1">
      <c r="A292" s="996">
        <v>1</v>
      </c>
      <c r="B292" s="996" t="s">
        <v>903</v>
      </c>
      <c r="C292" s="996" t="s">
        <v>874</v>
      </c>
      <c r="D292" s="996" t="s">
        <v>339</v>
      </c>
      <c r="E292" s="996" t="s">
        <v>830</v>
      </c>
      <c r="F292" s="996" t="s">
        <v>1068</v>
      </c>
      <c r="G292" s="997">
        <v>70180908</v>
      </c>
      <c r="H292" s="74" t="s">
        <v>448</v>
      </c>
      <c r="I292" s="74" t="s">
        <v>1339</v>
      </c>
      <c r="J292" s="74" t="s">
        <v>1328</v>
      </c>
    </row>
    <row r="293" spans="1:18" hidden="1">
      <c r="A293" s="996">
        <v>1</v>
      </c>
      <c r="B293" s="996" t="s">
        <v>903</v>
      </c>
      <c r="C293" s="996" t="s">
        <v>874</v>
      </c>
      <c r="D293" s="996" t="s">
        <v>123</v>
      </c>
      <c r="E293" s="996" t="s">
        <v>1069</v>
      </c>
      <c r="F293" s="996" t="s">
        <v>1070</v>
      </c>
      <c r="G293" s="997">
        <v>7000000</v>
      </c>
      <c r="H293" s="74" t="s">
        <v>448</v>
      </c>
      <c r="I293" s="74" t="s">
        <v>1339</v>
      </c>
      <c r="J293" s="74" t="s">
        <v>1328</v>
      </c>
    </row>
    <row r="294" spans="1:18" hidden="1">
      <c r="A294" s="996">
        <v>1</v>
      </c>
      <c r="B294" s="996" t="s">
        <v>903</v>
      </c>
      <c r="C294" s="996" t="s">
        <v>874</v>
      </c>
      <c r="D294" s="996" t="s">
        <v>125</v>
      </c>
      <c r="E294" s="996" t="s">
        <v>833</v>
      </c>
      <c r="F294" s="996" t="s">
        <v>1071</v>
      </c>
      <c r="G294" s="997">
        <v>5962000</v>
      </c>
      <c r="H294" s="74" t="s">
        <v>448</v>
      </c>
      <c r="I294" s="74" t="s">
        <v>1339</v>
      </c>
      <c r="J294" s="74" t="s">
        <v>1328</v>
      </c>
    </row>
    <row r="295" spans="1:18" hidden="1">
      <c r="A295" s="996">
        <v>1</v>
      </c>
      <c r="B295" s="996" t="s">
        <v>890</v>
      </c>
      <c r="C295" s="996" t="s">
        <v>874</v>
      </c>
      <c r="D295" s="996" t="s">
        <v>127</v>
      </c>
      <c r="E295" s="996" t="s">
        <v>834</v>
      </c>
      <c r="F295" s="996" t="s">
        <v>1072</v>
      </c>
      <c r="G295" s="997">
        <v>3500000</v>
      </c>
      <c r="H295" s="74" t="s">
        <v>448</v>
      </c>
      <c r="I295" s="74" t="s">
        <v>1339</v>
      </c>
      <c r="J295" s="74" t="s">
        <v>1328</v>
      </c>
    </row>
    <row r="296" spans="1:18" hidden="1">
      <c r="A296" s="996">
        <v>1</v>
      </c>
      <c r="B296" s="996" t="s">
        <v>890</v>
      </c>
      <c r="C296" s="996" t="s">
        <v>874</v>
      </c>
      <c r="D296" s="996" t="s">
        <v>127</v>
      </c>
      <c r="E296" s="996" t="s">
        <v>834</v>
      </c>
      <c r="F296" s="996" t="s">
        <v>1073</v>
      </c>
      <c r="G296" s="997">
        <v>40000000</v>
      </c>
      <c r="H296" s="74" t="s">
        <v>448</v>
      </c>
      <c r="I296" s="74" t="s">
        <v>1339</v>
      </c>
      <c r="J296" s="74" t="s">
        <v>1328</v>
      </c>
    </row>
    <row r="297" spans="1:18" hidden="1">
      <c r="A297" s="996">
        <v>1</v>
      </c>
      <c r="B297" s="996" t="s">
        <v>903</v>
      </c>
      <c r="C297" s="996" t="s">
        <v>874</v>
      </c>
      <c r="D297" s="996" t="s">
        <v>127</v>
      </c>
      <c r="E297" s="996" t="s">
        <v>834</v>
      </c>
      <c r="F297" s="996" t="s">
        <v>1074</v>
      </c>
      <c r="G297" s="997">
        <v>40000000</v>
      </c>
      <c r="H297" s="74" t="s">
        <v>448</v>
      </c>
      <c r="I297" s="74" t="s">
        <v>1339</v>
      </c>
      <c r="J297" s="74" t="s">
        <v>1328</v>
      </c>
    </row>
    <row r="298" spans="1:18" hidden="1">
      <c r="A298" s="996">
        <v>1</v>
      </c>
      <c r="B298" s="996" t="s">
        <v>903</v>
      </c>
      <c r="C298" s="996" t="s">
        <v>874</v>
      </c>
      <c r="D298" s="996" t="s">
        <v>138</v>
      </c>
      <c r="E298" s="996" t="s">
        <v>985</v>
      </c>
      <c r="F298" s="996" t="s">
        <v>1075</v>
      </c>
      <c r="G298" s="997">
        <v>4441000</v>
      </c>
      <c r="H298" s="74" t="s">
        <v>448</v>
      </c>
      <c r="I298" s="74" t="s">
        <v>1339</v>
      </c>
      <c r="J298" s="74" t="s">
        <v>1328</v>
      </c>
    </row>
    <row r="299" spans="1:18" s="915" customFormat="1" hidden="1">
      <c r="A299" s="996">
        <v>1</v>
      </c>
      <c r="B299" s="996" t="s">
        <v>903</v>
      </c>
      <c r="C299" s="996" t="s">
        <v>874</v>
      </c>
      <c r="D299" s="996" t="s">
        <v>156</v>
      </c>
      <c r="E299" s="996" t="s">
        <v>845</v>
      </c>
      <c r="F299" s="996" t="s">
        <v>1076</v>
      </c>
      <c r="G299" s="997">
        <v>35000000</v>
      </c>
      <c r="H299" s="74" t="s">
        <v>448</v>
      </c>
      <c r="I299" s="74" t="s">
        <v>1339</v>
      </c>
      <c r="J299" s="74" t="s">
        <v>1328</v>
      </c>
      <c r="M299" s="989"/>
      <c r="R299" s="989"/>
    </row>
    <row r="300" spans="1:18" s="915" customFormat="1" hidden="1">
      <c r="A300" s="996">
        <v>1</v>
      </c>
      <c r="B300" s="996" t="s">
        <v>903</v>
      </c>
      <c r="C300" s="996" t="s">
        <v>895</v>
      </c>
      <c r="D300" s="996" t="s">
        <v>208</v>
      </c>
      <c r="E300" s="996" t="s">
        <v>863</v>
      </c>
      <c r="F300" s="996"/>
      <c r="G300" s="997">
        <v>5643999.6600000001</v>
      </c>
      <c r="H300" s="74" t="s">
        <v>448</v>
      </c>
      <c r="I300" s="74" t="s">
        <v>1339</v>
      </c>
      <c r="J300" s="74" t="s">
        <v>1328</v>
      </c>
      <c r="M300" s="989"/>
      <c r="R300" s="989"/>
    </row>
    <row r="301" spans="1:18" s="915" customFormat="1" hidden="1">
      <c r="A301" s="996">
        <v>1</v>
      </c>
      <c r="B301" s="996" t="s">
        <v>903</v>
      </c>
      <c r="C301" s="996" t="s">
        <v>895</v>
      </c>
      <c r="D301" s="996" t="s">
        <v>212</v>
      </c>
      <c r="E301" s="996" t="s">
        <v>864</v>
      </c>
      <c r="F301" s="996"/>
      <c r="G301" s="997">
        <v>90361718.75</v>
      </c>
      <c r="H301" s="74" t="s">
        <v>448</v>
      </c>
      <c r="I301" s="74" t="s">
        <v>1339</v>
      </c>
      <c r="J301" s="74" t="s">
        <v>1328</v>
      </c>
      <c r="M301" s="989"/>
      <c r="R301" s="989"/>
    </row>
    <row r="302" spans="1:18" s="915" customFormat="1" hidden="1">
      <c r="A302" s="996">
        <v>1</v>
      </c>
      <c r="B302" s="996" t="s">
        <v>903</v>
      </c>
      <c r="C302" s="996" t="s">
        <v>895</v>
      </c>
      <c r="D302" s="996" t="s">
        <v>352</v>
      </c>
      <c r="E302" s="996" t="s">
        <v>1077</v>
      </c>
      <c r="F302" s="996" t="s">
        <v>1078</v>
      </c>
      <c r="G302" s="997">
        <v>100000000</v>
      </c>
      <c r="H302" s="74" t="s">
        <v>448</v>
      </c>
      <c r="I302" s="74" t="s">
        <v>1339</v>
      </c>
      <c r="J302" s="74" t="s">
        <v>1328</v>
      </c>
      <c r="M302" s="989"/>
      <c r="R302" s="989"/>
    </row>
    <row r="303" spans="1:18" s="915" customFormat="1" hidden="1">
      <c r="A303" s="996">
        <v>1</v>
      </c>
      <c r="B303" s="996" t="s">
        <v>903</v>
      </c>
      <c r="C303" s="996" t="s">
        <v>895</v>
      </c>
      <c r="D303" s="996" t="s">
        <v>352</v>
      </c>
      <c r="E303" s="996" t="s">
        <v>1077</v>
      </c>
      <c r="F303" s="996"/>
      <c r="G303" s="997">
        <v>397144880.05000001</v>
      </c>
      <c r="H303" s="74" t="s">
        <v>448</v>
      </c>
      <c r="I303" s="74" t="s">
        <v>1339</v>
      </c>
      <c r="J303" s="74" t="s">
        <v>1328</v>
      </c>
      <c r="M303" s="989"/>
      <c r="R303" s="989"/>
    </row>
    <row r="304" spans="1:18" s="915" customFormat="1" hidden="1">
      <c r="A304" s="996">
        <v>1</v>
      </c>
      <c r="B304" s="996" t="s">
        <v>904</v>
      </c>
      <c r="C304" s="996" t="s">
        <v>874</v>
      </c>
      <c r="D304" s="996" t="s">
        <v>113</v>
      </c>
      <c r="E304" s="996" t="s">
        <v>825</v>
      </c>
      <c r="F304" s="996" t="s">
        <v>1079</v>
      </c>
      <c r="G304" s="997">
        <v>500000</v>
      </c>
      <c r="H304" s="74" t="s">
        <v>448</v>
      </c>
      <c r="I304" s="74" t="s">
        <v>1339</v>
      </c>
      <c r="J304" s="74" t="s">
        <v>1328</v>
      </c>
      <c r="M304" s="989"/>
      <c r="R304" s="989"/>
    </row>
    <row r="305" spans="1:18" s="915" customFormat="1" hidden="1">
      <c r="A305" s="996">
        <v>1</v>
      </c>
      <c r="B305" s="996" t="s">
        <v>904</v>
      </c>
      <c r="C305" s="996" t="s">
        <v>874</v>
      </c>
      <c r="D305" s="996" t="s">
        <v>118</v>
      </c>
      <c r="E305" s="996" t="s">
        <v>829</v>
      </c>
      <c r="F305" s="996" t="s">
        <v>1080</v>
      </c>
      <c r="G305" s="997">
        <v>22000000</v>
      </c>
      <c r="H305" s="74" t="s">
        <v>448</v>
      </c>
      <c r="I305" s="74" t="s">
        <v>1339</v>
      </c>
      <c r="J305" s="74" t="s">
        <v>1328</v>
      </c>
      <c r="M305" s="989"/>
      <c r="R305" s="989"/>
    </row>
    <row r="306" spans="1:18" s="915" customFormat="1" hidden="1">
      <c r="A306" s="996">
        <v>1</v>
      </c>
      <c r="B306" s="996" t="s">
        <v>904</v>
      </c>
      <c r="C306" s="996" t="s">
        <v>891</v>
      </c>
      <c r="D306" s="996" t="s">
        <v>170</v>
      </c>
      <c r="E306" s="996" t="s">
        <v>853</v>
      </c>
      <c r="F306" s="996"/>
      <c r="G306" s="997">
        <v>5238100</v>
      </c>
      <c r="H306" s="74" t="s">
        <v>448</v>
      </c>
      <c r="I306" s="74" t="s">
        <v>1339</v>
      </c>
      <c r="J306" s="74" t="s">
        <v>1328</v>
      </c>
      <c r="M306" s="989"/>
      <c r="R306" s="989"/>
    </row>
    <row r="307" spans="1:18" s="915" customFormat="1" hidden="1">
      <c r="A307" s="996">
        <v>1</v>
      </c>
      <c r="B307" s="996" t="s">
        <v>904</v>
      </c>
      <c r="C307" s="996" t="s">
        <v>891</v>
      </c>
      <c r="D307" s="996" t="s">
        <v>189</v>
      </c>
      <c r="E307" s="996" t="s">
        <v>855</v>
      </c>
      <c r="F307" s="996"/>
      <c r="G307" s="997">
        <v>552100</v>
      </c>
      <c r="H307" s="74" t="s">
        <v>448</v>
      </c>
      <c r="I307" s="74" t="s">
        <v>1339</v>
      </c>
      <c r="J307" s="74" t="s">
        <v>1328</v>
      </c>
      <c r="M307" s="989"/>
      <c r="R307" s="989"/>
    </row>
    <row r="308" spans="1:18" s="915" customFormat="1" hidden="1">
      <c r="A308" s="996">
        <v>1</v>
      </c>
      <c r="B308" s="996" t="s">
        <v>904</v>
      </c>
      <c r="C308" s="996" t="s">
        <v>891</v>
      </c>
      <c r="D308" s="996" t="s">
        <v>192</v>
      </c>
      <c r="E308" s="996" t="s">
        <v>856</v>
      </c>
      <c r="F308" s="996"/>
      <c r="G308" s="997">
        <v>2137268</v>
      </c>
      <c r="H308" s="74" t="s">
        <v>448</v>
      </c>
      <c r="I308" s="74" t="s">
        <v>1339</v>
      </c>
      <c r="J308" s="74" t="s">
        <v>1328</v>
      </c>
      <c r="M308" s="989"/>
      <c r="R308" s="989"/>
    </row>
    <row r="309" spans="1:18" s="915" customFormat="1" hidden="1">
      <c r="A309" s="996">
        <v>1</v>
      </c>
      <c r="B309" s="996" t="s">
        <v>904</v>
      </c>
      <c r="C309" s="996" t="s">
        <v>891</v>
      </c>
      <c r="D309" s="996" t="s">
        <v>195</v>
      </c>
      <c r="E309" s="996" t="s">
        <v>858</v>
      </c>
      <c r="F309" s="996"/>
      <c r="G309" s="997">
        <v>1692310</v>
      </c>
      <c r="H309" s="74" t="s">
        <v>448</v>
      </c>
      <c r="I309" s="74" t="s">
        <v>1339</v>
      </c>
      <c r="J309" s="74" t="s">
        <v>1328</v>
      </c>
      <c r="M309" s="989"/>
      <c r="R309" s="989"/>
    </row>
    <row r="310" spans="1:18" s="915" customFormat="1" hidden="1">
      <c r="A310" s="996">
        <v>1</v>
      </c>
      <c r="B310" s="996" t="s">
        <v>904</v>
      </c>
      <c r="C310" s="996" t="s">
        <v>1331</v>
      </c>
      <c r="D310" s="996" t="s">
        <v>648</v>
      </c>
      <c r="E310" s="996" t="s">
        <v>1332</v>
      </c>
      <c r="F310" s="996" t="s">
        <v>1333</v>
      </c>
      <c r="G310" s="997">
        <v>2196631825.3100014</v>
      </c>
      <c r="H310" s="74" t="s">
        <v>448</v>
      </c>
      <c r="I310" s="74" t="s">
        <v>1339</v>
      </c>
      <c r="J310" s="74" t="s">
        <v>1328</v>
      </c>
      <c r="M310" s="989"/>
      <c r="R310" s="989"/>
    </row>
    <row r="311" spans="1:18" s="915" customFormat="1" hidden="1">
      <c r="A311" s="996">
        <v>1</v>
      </c>
      <c r="B311" s="996" t="s">
        <v>1081</v>
      </c>
      <c r="C311" s="996" t="s">
        <v>873</v>
      </c>
      <c r="D311" s="996" t="s">
        <v>67</v>
      </c>
      <c r="E311" s="996" t="s">
        <v>803</v>
      </c>
      <c r="F311" s="996" t="s">
        <v>951</v>
      </c>
      <c r="G311" s="1116">
        <v>77202000</v>
      </c>
      <c r="H311" s="74" t="s">
        <v>1330</v>
      </c>
      <c r="I311" s="74" t="s">
        <v>1340</v>
      </c>
      <c r="J311" s="74" t="s">
        <v>1328</v>
      </c>
      <c r="M311" s="989"/>
      <c r="R311" s="989"/>
    </row>
    <row r="312" spans="1:18" s="915" customFormat="1" hidden="1">
      <c r="A312" s="996">
        <v>1</v>
      </c>
      <c r="B312" s="996" t="s">
        <v>1081</v>
      </c>
      <c r="C312" s="996" t="s">
        <v>873</v>
      </c>
      <c r="D312" s="996" t="s">
        <v>75</v>
      </c>
      <c r="E312" s="996" t="s">
        <v>799</v>
      </c>
      <c r="F312" s="996" t="s">
        <v>399</v>
      </c>
      <c r="G312" s="1116">
        <v>11064000</v>
      </c>
      <c r="H312" s="74" t="s">
        <v>1330</v>
      </c>
      <c r="I312" s="74" t="s">
        <v>1340</v>
      </c>
      <c r="J312" s="74" t="s">
        <v>1328</v>
      </c>
      <c r="M312" s="989"/>
      <c r="R312" s="989"/>
    </row>
    <row r="313" spans="1:18" hidden="1">
      <c r="A313" s="996">
        <v>1</v>
      </c>
      <c r="B313" s="996" t="s">
        <v>1081</v>
      </c>
      <c r="C313" s="996" t="s">
        <v>873</v>
      </c>
      <c r="D313" s="996" t="s">
        <v>76</v>
      </c>
      <c r="E313" s="996" t="s">
        <v>800</v>
      </c>
      <c r="F313" s="996" t="s">
        <v>400</v>
      </c>
      <c r="G313" s="1116">
        <v>7049000</v>
      </c>
      <c r="H313" s="74" t="s">
        <v>1330</v>
      </c>
      <c r="I313" s="74" t="s">
        <v>1340</v>
      </c>
      <c r="J313" s="74" t="s">
        <v>1328</v>
      </c>
    </row>
    <row r="314" spans="1:18" hidden="1">
      <c r="A314" s="996">
        <v>1</v>
      </c>
      <c r="B314" s="996" t="s">
        <v>1081</v>
      </c>
      <c r="C314" s="996" t="s">
        <v>873</v>
      </c>
      <c r="D314" s="996" t="s">
        <v>77</v>
      </c>
      <c r="E314" s="996" t="s">
        <v>809</v>
      </c>
      <c r="F314" s="996" t="s">
        <v>401</v>
      </c>
      <c r="G314" s="1116">
        <v>8772000</v>
      </c>
      <c r="H314" s="74" t="s">
        <v>1330</v>
      </c>
      <c r="I314" s="74" t="s">
        <v>1340</v>
      </c>
      <c r="J314" s="74" t="s">
        <v>1328</v>
      </c>
    </row>
    <row r="315" spans="1:18" hidden="1">
      <c r="A315" s="996">
        <v>1</v>
      </c>
      <c r="B315" s="996" t="s">
        <v>1081</v>
      </c>
      <c r="C315" s="996" t="s">
        <v>873</v>
      </c>
      <c r="D315" s="996" t="s">
        <v>78</v>
      </c>
      <c r="E315" s="996" t="s">
        <v>810</v>
      </c>
      <c r="F315" s="996" t="s">
        <v>402</v>
      </c>
      <c r="G315" s="1116">
        <v>8285000</v>
      </c>
      <c r="H315" s="74" t="s">
        <v>1330</v>
      </c>
      <c r="I315" s="74" t="s">
        <v>1340</v>
      </c>
      <c r="J315" s="74" t="s">
        <v>1328</v>
      </c>
    </row>
    <row r="316" spans="1:18" hidden="1">
      <c r="A316" s="996">
        <v>1</v>
      </c>
      <c r="B316" s="996" t="s">
        <v>1081</v>
      </c>
      <c r="C316" s="996" t="s">
        <v>873</v>
      </c>
      <c r="D316" s="996" t="s">
        <v>79</v>
      </c>
      <c r="E316" s="996" t="s">
        <v>801</v>
      </c>
      <c r="F316" s="996" t="s">
        <v>403</v>
      </c>
      <c r="G316" s="1116">
        <v>1855000</v>
      </c>
      <c r="H316" s="74" t="s">
        <v>1330</v>
      </c>
      <c r="I316" s="74" t="s">
        <v>1340</v>
      </c>
      <c r="J316" s="74" t="s">
        <v>1328</v>
      </c>
    </row>
    <row r="317" spans="1:18" hidden="1">
      <c r="A317" s="996">
        <v>1</v>
      </c>
      <c r="B317" s="996" t="s">
        <v>1081</v>
      </c>
      <c r="C317" s="996" t="s">
        <v>873</v>
      </c>
      <c r="D317" s="996" t="s">
        <v>82</v>
      </c>
      <c r="E317" s="996" t="s">
        <v>811</v>
      </c>
      <c r="F317" s="996" t="s">
        <v>404</v>
      </c>
      <c r="G317" s="1116">
        <v>9755000</v>
      </c>
      <c r="H317" s="74" t="s">
        <v>1330</v>
      </c>
      <c r="I317" s="74" t="s">
        <v>1340</v>
      </c>
      <c r="J317" s="74" t="s">
        <v>1328</v>
      </c>
    </row>
    <row r="318" spans="1:18" hidden="1">
      <c r="A318" s="996">
        <v>1</v>
      </c>
      <c r="B318" s="996" t="s">
        <v>1081</v>
      </c>
      <c r="C318" s="996" t="s">
        <v>873</v>
      </c>
      <c r="D318" s="996" t="s">
        <v>83</v>
      </c>
      <c r="E318" s="996" t="s">
        <v>812</v>
      </c>
      <c r="F318" s="996" t="s">
        <v>405</v>
      </c>
      <c r="G318" s="1116">
        <v>527000</v>
      </c>
      <c r="H318" s="74" t="s">
        <v>1330</v>
      </c>
      <c r="I318" s="74" t="s">
        <v>1340</v>
      </c>
      <c r="J318" s="74" t="s">
        <v>1328</v>
      </c>
    </row>
    <row r="319" spans="1:18" hidden="1">
      <c r="A319" s="996">
        <v>1</v>
      </c>
      <c r="B319" s="996" t="s">
        <v>1081</v>
      </c>
      <c r="C319" s="996" t="s">
        <v>873</v>
      </c>
      <c r="D319" s="996" t="s">
        <v>84</v>
      </c>
      <c r="E319" s="996" t="s">
        <v>813</v>
      </c>
      <c r="F319" s="996" t="s">
        <v>406</v>
      </c>
      <c r="G319" s="1116">
        <v>1582000</v>
      </c>
      <c r="H319" s="74" t="s">
        <v>1330</v>
      </c>
      <c r="I319" s="74" t="s">
        <v>1340</v>
      </c>
      <c r="J319" s="74" t="s">
        <v>1328</v>
      </c>
    </row>
    <row r="320" spans="1:18" hidden="1">
      <c r="A320" s="996">
        <v>1</v>
      </c>
      <c r="B320" s="996" t="s">
        <v>1081</v>
      </c>
      <c r="C320" s="996" t="s">
        <v>873</v>
      </c>
      <c r="D320" s="996" t="s">
        <v>85</v>
      </c>
      <c r="E320" s="996" t="s">
        <v>814</v>
      </c>
      <c r="F320" s="996" t="s">
        <v>407</v>
      </c>
      <c r="G320" s="1116">
        <v>5273000</v>
      </c>
      <c r="H320" s="74" t="s">
        <v>1330</v>
      </c>
      <c r="I320" s="74" t="s">
        <v>1340</v>
      </c>
      <c r="J320" s="74" t="s">
        <v>1328</v>
      </c>
    </row>
    <row r="321" spans="1:18" hidden="1">
      <c r="A321" s="996">
        <v>1</v>
      </c>
      <c r="B321" s="996" t="s">
        <v>1081</v>
      </c>
      <c r="C321" s="996" t="s">
        <v>873</v>
      </c>
      <c r="D321" s="996" t="s">
        <v>86</v>
      </c>
      <c r="E321" s="996" t="s">
        <v>815</v>
      </c>
      <c r="F321" s="996" t="s">
        <v>408</v>
      </c>
      <c r="G321" s="1116">
        <v>527000</v>
      </c>
      <c r="H321" s="74" t="s">
        <v>1330</v>
      </c>
      <c r="I321" s="74" t="s">
        <v>1340</v>
      </c>
      <c r="J321" s="74" t="s">
        <v>1328</v>
      </c>
    </row>
    <row r="322" spans="1:18" hidden="1">
      <c r="A322" s="996">
        <v>1</v>
      </c>
      <c r="B322" s="996" t="s">
        <v>1081</v>
      </c>
      <c r="C322" s="996" t="s">
        <v>873</v>
      </c>
      <c r="D322" s="996" t="s">
        <v>425</v>
      </c>
      <c r="E322" s="996" t="s">
        <v>816</v>
      </c>
      <c r="F322" s="996" t="s">
        <v>945</v>
      </c>
      <c r="G322" s="1116">
        <v>5716000</v>
      </c>
      <c r="H322" s="74" t="s">
        <v>1330</v>
      </c>
      <c r="I322" s="74" t="s">
        <v>1340</v>
      </c>
      <c r="J322" s="74" t="s">
        <v>1328</v>
      </c>
    </row>
    <row r="323" spans="1:18" hidden="1">
      <c r="A323" s="996">
        <v>1</v>
      </c>
      <c r="B323" s="996" t="s">
        <v>1081</v>
      </c>
      <c r="C323" s="996" t="s">
        <v>873</v>
      </c>
      <c r="D323" s="996" t="s">
        <v>89</v>
      </c>
      <c r="E323" s="996" t="s">
        <v>817</v>
      </c>
      <c r="F323" s="996" t="s">
        <v>409</v>
      </c>
      <c r="G323" s="1116">
        <v>3164000</v>
      </c>
      <c r="H323" s="74" t="s">
        <v>1330</v>
      </c>
      <c r="I323" s="74" t="s">
        <v>1340</v>
      </c>
      <c r="J323" s="74" t="s">
        <v>1328</v>
      </c>
    </row>
    <row r="324" spans="1:18" hidden="1">
      <c r="A324" s="996">
        <v>1</v>
      </c>
      <c r="B324" s="996" t="s">
        <v>1081</v>
      </c>
      <c r="C324" s="996" t="s">
        <v>873</v>
      </c>
      <c r="D324" s="996" t="s">
        <v>90</v>
      </c>
      <c r="E324" s="996" t="s">
        <v>818</v>
      </c>
      <c r="F324" s="996" t="s">
        <v>714</v>
      </c>
      <c r="G324" s="1116">
        <v>1582000</v>
      </c>
      <c r="H324" s="74" t="s">
        <v>1330</v>
      </c>
      <c r="I324" s="74" t="s">
        <v>1340</v>
      </c>
      <c r="J324" s="74" t="s">
        <v>1328</v>
      </c>
    </row>
    <row r="325" spans="1:18" hidden="1">
      <c r="A325" s="996">
        <v>1</v>
      </c>
      <c r="B325" s="996" t="s">
        <v>1081</v>
      </c>
      <c r="C325" s="996" t="s">
        <v>874</v>
      </c>
      <c r="D325" s="996" t="s">
        <v>94</v>
      </c>
      <c r="E325" s="996" t="s">
        <v>819</v>
      </c>
      <c r="F325" s="996" t="s">
        <v>1082</v>
      </c>
      <c r="G325" s="997">
        <v>17000000</v>
      </c>
      <c r="H325" s="74" t="s">
        <v>448</v>
      </c>
      <c r="I325" s="74" t="s">
        <v>1339</v>
      </c>
      <c r="J325" s="74" t="s">
        <v>1328</v>
      </c>
    </row>
    <row r="326" spans="1:18" hidden="1">
      <c r="A326" s="996">
        <v>1</v>
      </c>
      <c r="B326" s="996" t="s">
        <v>1081</v>
      </c>
      <c r="C326" s="996" t="s">
        <v>874</v>
      </c>
      <c r="D326" s="996" t="s">
        <v>94</v>
      </c>
      <c r="E326" s="996" t="s">
        <v>819</v>
      </c>
      <c r="F326" s="996" t="s">
        <v>977</v>
      </c>
      <c r="G326" s="997">
        <v>6808000</v>
      </c>
      <c r="H326" s="74" t="s">
        <v>448</v>
      </c>
      <c r="I326" s="74" t="s">
        <v>1339</v>
      </c>
      <c r="J326" s="74" t="s">
        <v>1328</v>
      </c>
    </row>
    <row r="327" spans="1:18" hidden="1">
      <c r="A327" s="996">
        <v>1</v>
      </c>
      <c r="B327" s="996" t="s">
        <v>1081</v>
      </c>
      <c r="C327" s="996" t="s">
        <v>874</v>
      </c>
      <c r="D327" s="996" t="s">
        <v>95</v>
      </c>
      <c r="E327" s="996" t="s">
        <v>820</v>
      </c>
      <c r="F327" s="996" t="s">
        <v>1083</v>
      </c>
      <c r="G327" s="997">
        <v>50000000</v>
      </c>
      <c r="H327" s="74" t="s">
        <v>448</v>
      </c>
      <c r="I327" s="74" t="s">
        <v>1339</v>
      </c>
      <c r="J327" s="74" t="s">
        <v>1328</v>
      </c>
    </row>
    <row r="328" spans="1:18" hidden="1">
      <c r="A328" s="996">
        <v>1</v>
      </c>
      <c r="B328" s="996" t="s">
        <v>1081</v>
      </c>
      <c r="C328" s="996" t="s">
        <v>874</v>
      </c>
      <c r="D328" s="996" t="s">
        <v>103</v>
      </c>
      <c r="E328" s="996" t="s">
        <v>821</v>
      </c>
      <c r="F328" s="996" t="s">
        <v>978</v>
      </c>
      <c r="G328" s="997">
        <v>294000</v>
      </c>
      <c r="H328" s="74" t="s">
        <v>448</v>
      </c>
      <c r="I328" s="74" t="s">
        <v>1339</v>
      </c>
      <c r="J328" s="74" t="s">
        <v>1328</v>
      </c>
    </row>
    <row r="329" spans="1:18" hidden="1">
      <c r="A329" s="996">
        <v>1</v>
      </c>
      <c r="B329" s="996" t="s">
        <v>1081</v>
      </c>
      <c r="C329" s="996" t="s">
        <v>874</v>
      </c>
      <c r="D329" s="996" t="s">
        <v>105</v>
      </c>
      <c r="E329" s="996" t="s">
        <v>822</v>
      </c>
      <c r="F329" s="996" t="s">
        <v>979</v>
      </c>
      <c r="G329" s="997">
        <v>920000</v>
      </c>
      <c r="H329" s="74" t="s">
        <v>448</v>
      </c>
      <c r="I329" s="74" t="s">
        <v>1339</v>
      </c>
      <c r="J329" s="74" t="s">
        <v>1328</v>
      </c>
    </row>
    <row r="330" spans="1:18" hidden="1">
      <c r="A330" s="996">
        <v>1</v>
      </c>
      <c r="B330" s="996" t="s">
        <v>1081</v>
      </c>
      <c r="C330" s="996" t="s">
        <v>874</v>
      </c>
      <c r="D330" s="996" t="s">
        <v>107</v>
      </c>
      <c r="E330" s="996" t="s">
        <v>823</v>
      </c>
      <c r="F330" s="996" t="s">
        <v>1084</v>
      </c>
      <c r="G330" s="997">
        <v>3500000</v>
      </c>
      <c r="H330" s="74" t="s">
        <v>448</v>
      </c>
      <c r="I330" s="74" t="s">
        <v>1339</v>
      </c>
      <c r="J330" s="74" t="s">
        <v>1328</v>
      </c>
    </row>
    <row r="331" spans="1:18" hidden="1">
      <c r="A331" s="996">
        <v>1</v>
      </c>
      <c r="B331" s="996" t="s">
        <v>1081</v>
      </c>
      <c r="C331" s="996" t="s">
        <v>874</v>
      </c>
      <c r="D331" s="996" t="s">
        <v>286</v>
      </c>
      <c r="E331" s="996" t="s">
        <v>980</v>
      </c>
      <c r="F331" s="996" t="s">
        <v>981</v>
      </c>
      <c r="G331" s="997">
        <v>478000</v>
      </c>
      <c r="H331" s="74" t="s">
        <v>448</v>
      </c>
      <c r="I331" s="74" t="s">
        <v>1339</v>
      </c>
      <c r="J331" s="74" t="s">
        <v>1328</v>
      </c>
    </row>
    <row r="332" spans="1:18" hidden="1">
      <c r="A332" s="996">
        <v>1</v>
      </c>
      <c r="B332" s="996" t="s">
        <v>1081</v>
      </c>
      <c r="C332" s="996" t="s">
        <v>874</v>
      </c>
      <c r="D332" s="996" t="s">
        <v>109</v>
      </c>
      <c r="E332" s="996" t="s">
        <v>824</v>
      </c>
      <c r="F332" s="996" t="s">
        <v>1417</v>
      </c>
      <c r="G332" s="997">
        <v>300000</v>
      </c>
      <c r="H332" s="74" t="s">
        <v>448</v>
      </c>
      <c r="I332" s="74" t="s">
        <v>1339</v>
      </c>
      <c r="J332" s="74" t="s">
        <v>1328</v>
      </c>
    </row>
    <row r="333" spans="1:18" hidden="1">
      <c r="A333" s="996">
        <v>1</v>
      </c>
      <c r="B333" s="996" t="s">
        <v>1081</v>
      </c>
      <c r="C333" s="996" t="s">
        <v>874</v>
      </c>
      <c r="D333" s="996" t="s">
        <v>116</v>
      </c>
      <c r="E333" s="996" t="s">
        <v>828</v>
      </c>
      <c r="F333" s="996" t="s">
        <v>1085</v>
      </c>
      <c r="G333" s="997">
        <v>250000</v>
      </c>
      <c r="H333" s="74" t="s">
        <v>448</v>
      </c>
      <c r="I333" s="74" t="s">
        <v>1339</v>
      </c>
      <c r="J333" s="74" t="s">
        <v>1328</v>
      </c>
    </row>
    <row r="334" spans="1:18" hidden="1">
      <c r="A334" s="996">
        <v>1</v>
      </c>
      <c r="B334" s="996" t="s">
        <v>1081</v>
      </c>
      <c r="C334" s="996" t="s">
        <v>874</v>
      </c>
      <c r="D334" s="996" t="s">
        <v>125</v>
      </c>
      <c r="E334" s="996" t="s">
        <v>833</v>
      </c>
      <c r="F334" s="996" t="s">
        <v>1086</v>
      </c>
      <c r="G334" s="997">
        <v>1200000</v>
      </c>
      <c r="H334" s="74" t="s">
        <v>448</v>
      </c>
      <c r="I334" s="74" t="s">
        <v>1339</v>
      </c>
      <c r="J334" s="74" t="s">
        <v>1328</v>
      </c>
    </row>
    <row r="335" spans="1:18" s="915" customFormat="1" hidden="1">
      <c r="A335" s="996">
        <v>1</v>
      </c>
      <c r="B335" s="996" t="s">
        <v>1081</v>
      </c>
      <c r="C335" s="996" t="s">
        <v>874</v>
      </c>
      <c r="D335" s="996" t="s">
        <v>125</v>
      </c>
      <c r="E335" s="996" t="s">
        <v>833</v>
      </c>
      <c r="F335" s="996" t="s">
        <v>1345</v>
      </c>
      <c r="G335" s="997">
        <v>200000</v>
      </c>
      <c r="H335" s="74" t="s">
        <v>448</v>
      </c>
      <c r="I335" s="74" t="s">
        <v>1339</v>
      </c>
      <c r="J335" s="74" t="s">
        <v>1328</v>
      </c>
      <c r="M335" s="989"/>
      <c r="R335" s="989"/>
    </row>
    <row r="336" spans="1:18" s="915" customFormat="1" hidden="1">
      <c r="A336" s="996">
        <v>1</v>
      </c>
      <c r="B336" s="996" t="s">
        <v>1081</v>
      </c>
      <c r="C336" s="996" t="s">
        <v>874</v>
      </c>
      <c r="D336" s="996" t="s">
        <v>125</v>
      </c>
      <c r="E336" s="996" t="s">
        <v>833</v>
      </c>
      <c r="F336" s="996" t="s">
        <v>1087</v>
      </c>
      <c r="G336" s="997">
        <v>4000000</v>
      </c>
      <c r="H336" s="74" t="s">
        <v>448</v>
      </c>
      <c r="I336" s="74" t="s">
        <v>1339</v>
      </c>
      <c r="J336" s="74" t="s">
        <v>1328</v>
      </c>
      <c r="M336" s="989"/>
      <c r="R336" s="989"/>
    </row>
    <row r="337" spans="1:18" s="915" customFormat="1" hidden="1">
      <c r="A337" s="996">
        <v>1</v>
      </c>
      <c r="B337" s="996" t="s">
        <v>1081</v>
      </c>
      <c r="C337" s="996" t="s">
        <v>874</v>
      </c>
      <c r="D337" s="996" t="s">
        <v>125</v>
      </c>
      <c r="E337" s="996" t="s">
        <v>833</v>
      </c>
      <c r="F337" s="996" t="s">
        <v>1088</v>
      </c>
      <c r="G337" s="997">
        <v>390000</v>
      </c>
      <c r="H337" s="74" t="s">
        <v>448</v>
      </c>
      <c r="I337" s="74" t="s">
        <v>1339</v>
      </c>
      <c r="J337" s="74" t="s">
        <v>1328</v>
      </c>
      <c r="M337" s="989"/>
      <c r="R337" s="989"/>
    </row>
    <row r="338" spans="1:18" s="915" customFormat="1" hidden="1">
      <c r="A338" s="996">
        <v>1</v>
      </c>
      <c r="B338" s="996" t="s">
        <v>1081</v>
      </c>
      <c r="C338" s="996" t="s">
        <v>874</v>
      </c>
      <c r="D338" s="996" t="s">
        <v>125</v>
      </c>
      <c r="E338" s="996" t="s">
        <v>833</v>
      </c>
      <c r="F338" s="996" t="s">
        <v>1089</v>
      </c>
      <c r="G338" s="997">
        <v>400000</v>
      </c>
      <c r="H338" s="74" t="s">
        <v>448</v>
      </c>
      <c r="I338" s="74" t="s">
        <v>1339</v>
      </c>
      <c r="J338" s="74" t="s">
        <v>1328</v>
      </c>
      <c r="M338" s="989"/>
      <c r="R338" s="989"/>
    </row>
    <row r="339" spans="1:18" s="915" customFormat="1" hidden="1">
      <c r="A339" s="996">
        <v>1</v>
      </c>
      <c r="B339" s="996" t="s">
        <v>1081</v>
      </c>
      <c r="C339" s="996" t="s">
        <v>874</v>
      </c>
      <c r="D339" s="996" t="s">
        <v>125</v>
      </c>
      <c r="E339" s="996" t="s">
        <v>833</v>
      </c>
      <c r="F339" s="996" t="s">
        <v>1090</v>
      </c>
      <c r="G339" s="997">
        <v>1080000</v>
      </c>
      <c r="H339" s="74" t="s">
        <v>448</v>
      </c>
      <c r="I339" s="74" t="s">
        <v>1339</v>
      </c>
      <c r="J339" s="74" t="s">
        <v>1328</v>
      </c>
      <c r="M339" s="989"/>
      <c r="R339" s="989"/>
    </row>
    <row r="340" spans="1:18" s="915" customFormat="1" hidden="1">
      <c r="A340" s="996">
        <v>1</v>
      </c>
      <c r="B340" s="996" t="s">
        <v>1081</v>
      </c>
      <c r="C340" s="996" t="s">
        <v>874</v>
      </c>
      <c r="D340" s="996" t="s">
        <v>125</v>
      </c>
      <c r="E340" s="996" t="s">
        <v>833</v>
      </c>
      <c r="F340" s="996" t="s">
        <v>1091</v>
      </c>
      <c r="G340" s="997">
        <v>2252000</v>
      </c>
      <c r="H340" s="74" t="s">
        <v>448</v>
      </c>
      <c r="I340" s="74" t="s">
        <v>1339</v>
      </c>
      <c r="J340" s="74" t="s">
        <v>1328</v>
      </c>
      <c r="M340" s="989"/>
      <c r="R340" s="989"/>
    </row>
    <row r="341" spans="1:18" s="915" customFormat="1" hidden="1">
      <c r="A341" s="996">
        <v>1</v>
      </c>
      <c r="B341" s="996" t="s">
        <v>1081</v>
      </c>
      <c r="C341" s="996" t="s">
        <v>874</v>
      </c>
      <c r="D341" s="996" t="s">
        <v>125</v>
      </c>
      <c r="E341" s="996" t="s">
        <v>833</v>
      </c>
      <c r="F341" s="996" t="s">
        <v>1092</v>
      </c>
      <c r="G341" s="997">
        <v>3100000</v>
      </c>
      <c r="H341" s="74" t="s">
        <v>448</v>
      </c>
      <c r="I341" s="74" t="s">
        <v>1339</v>
      </c>
      <c r="J341" s="74" t="s">
        <v>1328</v>
      </c>
      <c r="M341" s="989"/>
      <c r="R341" s="989"/>
    </row>
    <row r="342" spans="1:18" s="915" customFormat="1" hidden="1">
      <c r="A342" s="996">
        <v>1</v>
      </c>
      <c r="B342" s="996" t="s">
        <v>1081</v>
      </c>
      <c r="C342" s="996" t="s">
        <v>874</v>
      </c>
      <c r="D342" s="996" t="s">
        <v>125</v>
      </c>
      <c r="E342" s="996" t="s">
        <v>833</v>
      </c>
      <c r="F342" s="996" t="s">
        <v>1093</v>
      </c>
      <c r="G342" s="997">
        <v>400000</v>
      </c>
      <c r="H342" s="74" t="s">
        <v>448</v>
      </c>
      <c r="I342" s="74" t="s">
        <v>1339</v>
      </c>
      <c r="J342" s="74" t="s">
        <v>1328</v>
      </c>
      <c r="M342" s="989"/>
      <c r="R342" s="989"/>
    </row>
    <row r="343" spans="1:18" s="915" customFormat="1" hidden="1">
      <c r="A343" s="996">
        <v>1</v>
      </c>
      <c r="B343" s="996" t="s">
        <v>1081</v>
      </c>
      <c r="C343" s="996" t="s">
        <v>874</v>
      </c>
      <c r="D343" s="996" t="s">
        <v>125</v>
      </c>
      <c r="E343" s="996" t="s">
        <v>833</v>
      </c>
      <c r="F343" s="996" t="s">
        <v>1094</v>
      </c>
      <c r="G343" s="997">
        <v>250000</v>
      </c>
      <c r="H343" s="74" t="s">
        <v>448</v>
      </c>
      <c r="I343" s="74" t="s">
        <v>1339</v>
      </c>
      <c r="J343" s="74" t="s">
        <v>1328</v>
      </c>
      <c r="M343" s="989"/>
      <c r="R343" s="989"/>
    </row>
    <row r="344" spans="1:18" s="915" customFormat="1" hidden="1">
      <c r="A344" s="996">
        <v>1</v>
      </c>
      <c r="B344" s="996" t="s">
        <v>903</v>
      </c>
      <c r="C344" s="996" t="s">
        <v>874</v>
      </c>
      <c r="D344" s="996" t="s">
        <v>127</v>
      </c>
      <c r="E344" s="996" t="s">
        <v>834</v>
      </c>
      <c r="F344" s="996" t="s">
        <v>1095</v>
      </c>
      <c r="G344" s="997">
        <v>30000000</v>
      </c>
      <c r="H344" s="74" t="s">
        <v>448</v>
      </c>
      <c r="I344" s="74" t="s">
        <v>1339</v>
      </c>
      <c r="J344" s="74" t="s">
        <v>1328</v>
      </c>
      <c r="M344" s="989"/>
      <c r="R344" s="989"/>
    </row>
    <row r="345" spans="1:18" s="915" customFormat="1" hidden="1">
      <c r="A345" s="996">
        <v>1</v>
      </c>
      <c r="B345" s="996" t="s">
        <v>903</v>
      </c>
      <c r="C345" s="996" t="s">
        <v>874</v>
      </c>
      <c r="D345" s="996" t="s">
        <v>127</v>
      </c>
      <c r="E345" s="996" t="s">
        <v>834</v>
      </c>
      <c r="F345" s="996" t="s">
        <v>1096</v>
      </c>
      <c r="G345" s="997">
        <v>50000000</v>
      </c>
      <c r="H345" s="74" t="s">
        <v>448</v>
      </c>
      <c r="I345" s="74" t="s">
        <v>1339</v>
      </c>
      <c r="J345" s="74" t="s">
        <v>1328</v>
      </c>
      <c r="M345" s="989"/>
      <c r="R345" s="989"/>
    </row>
    <row r="346" spans="1:18" s="915" customFormat="1" hidden="1">
      <c r="A346" s="996">
        <v>1</v>
      </c>
      <c r="B346" s="996" t="s">
        <v>1081</v>
      </c>
      <c r="C346" s="996" t="s">
        <v>874</v>
      </c>
      <c r="D346" s="996" t="s">
        <v>127</v>
      </c>
      <c r="E346" s="996" t="s">
        <v>834</v>
      </c>
      <c r="F346" s="996" t="s">
        <v>1097</v>
      </c>
      <c r="G346" s="997">
        <v>500000</v>
      </c>
      <c r="H346" s="74" t="s">
        <v>448</v>
      </c>
      <c r="I346" s="74" t="s">
        <v>1339</v>
      </c>
      <c r="J346" s="74" t="s">
        <v>1328</v>
      </c>
      <c r="M346" s="989"/>
      <c r="R346" s="989"/>
    </row>
    <row r="347" spans="1:18" s="915" customFormat="1" hidden="1">
      <c r="A347" s="996">
        <v>1</v>
      </c>
      <c r="B347" s="996" t="s">
        <v>1081</v>
      </c>
      <c r="C347" s="996" t="s">
        <v>874</v>
      </c>
      <c r="D347" s="996" t="s">
        <v>131</v>
      </c>
      <c r="E347" s="996" t="s">
        <v>835</v>
      </c>
      <c r="F347" s="996" t="s">
        <v>1098</v>
      </c>
      <c r="G347" s="997">
        <v>750000</v>
      </c>
      <c r="H347" s="74" t="s">
        <v>448</v>
      </c>
      <c r="I347" s="74" t="s">
        <v>1339</v>
      </c>
      <c r="J347" s="74" t="s">
        <v>1328</v>
      </c>
      <c r="M347" s="989"/>
      <c r="R347" s="989"/>
    </row>
    <row r="348" spans="1:18" s="915" customFormat="1">
      <c r="A348" s="996">
        <v>1</v>
      </c>
      <c r="B348" s="996" t="s">
        <v>1081</v>
      </c>
      <c r="C348" s="996" t="s">
        <v>874</v>
      </c>
      <c r="D348" s="996" t="s">
        <v>133</v>
      </c>
      <c r="E348" s="996" t="s">
        <v>836</v>
      </c>
      <c r="F348" s="996" t="s">
        <v>1099</v>
      </c>
      <c r="G348" s="997">
        <v>3000000</v>
      </c>
      <c r="H348" s="74" t="s">
        <v>448</v>
      </c>
      <c r="I348" s="74" t="s">
        <v>1339</v>
      </c>
      <c r="J348" s="74" t="s">
        <v>1328</v>
      </c>
      <c r="M348" s="989"/>
      <c r="R348" s="989"/>
    </row>
    <row r="349" spans="1:18" s="915" customFormat="1" hidden="1">
      <c r="A349" s="996">
        <v>1</v>
      </c>
      <c r="B349" s="996" t="s">
        <v>903</v>
      </c>
      <c r="C349" s="996" t="s">
        <v>874</v>
      </c>
      <c r="D349" s="996" t="s">
        <v>138</v>
      </c>
      <c r="E349" s="996" t="s">
        <v>985</v>
      </c>
      <c r="F349" s="996" t="s">
        <v>1100</v>
      </c>
      <c r="G349" s="997">
        <v>1250000</v>
      </c>
      <c r="H349" s="74" t="s">
        <v>448</v>
      </c>
      <c r="I349" s="74" t="s">
        <v>1339</v>
      </c>
      <c r="J349" s="74" t="s">
        <v>1328</v>
      </c>
      <c r="M349" s="989"/>
      <c r="R349" s="989"/>
    </row>
    <row r="350" spans="1:18" hidden="1">
      <c r="A350" s="996">
        <v>1</v>
      </c>
      <c r="B350" s="996" t="s">
        <v>1081</v>
      </c>
      <c r="C350" s="996" t="s">
        <v>874</v>
      </c>
      <c r="D350" s="996" t="s">
        <v>138</v>
      </c>
      <c r="E350" s="996" t="s">
        <v>985</v>
      </c>
      <c r="F350" s="996" t="s">
        <v>1101</v>
      </c>
      <c r="G350" s="997">
        <v>2690476.19</v>
      </c>
      <c r="H350" s="74" t="s">
        <v>448</v>
      </c>
      <c r="I350" s="74" t="s">
        <v>1339</v>
      </c>
      <c r="J350" s="74" t="s">
        <v>1328</v>
      </c>
    </row>
    <row r="351" spans="1:18" hidden="1">
      <c r="A351" s="996">
        <v>1</v>
      </c>
      <c r="B351" s="996" t="s">
        <v>1081</v>
      </c>
      <c r="C351" s="996" t="s">
        <v>874</v>
      </c>
      <c r="D351" s="996" t="s">
        <v>153</v>
      </c>
      <c r="E351" s="996" t="s">
        <v>842</v>
      </c>
      <c r="F351" s="996" t="s">
        <v>893</v>
      </c>
      <c r="G351" s="997">
        <v>5000000</v>
      </c>
      <c r="H351" s="74" t="s">
        <v>448</v>
      </c>
      <c r="I351" s="74" t="s">
        <v>1339</v>
      </c>
      <c r="J351" s="74" t="s">
        <v>1328</v>
      </c>
    </row>
    <row r="352" spans="1:18" hidden="1">
      <c r="A352" s="996">
        <v>1</v>
      </c>
      <c r="B352" s="996" t="s">
        <v>1081</v>
      </c>
      <c r="C352" s="996" t="s">
        <v>874</v>
      </c>
      <c r="D352" s="996" t="s">
        <v>154</v>
      </c>
      <c r="E352" s="996" t="s">
        <v>843</v>
      </c>
      <c r="F352" s="996" t="s">
        <v>1102</v>
      </c>
      <c r="G352" s="997">
        <v>1900000</v>
      </c>
      <c r="H352" s="74" t="s">
        <v>448</v>
      </c>
      <c r="I352" s="74" t="s">
        <v>1339</v>
      </c>
      <c r="J352" s="74" t="s">
        <v>1328</v>
      </c>
    </row>
    <row r="353" spans="1:10" hidden="1">
      <c r="A353" s="996">
        <v>1</v>
      </c>
      <c r="B353" s="996" t="s">
        <v>1081</v>
      </c>
      <c r="C353" s="996" t="s">
        <v>874</v>
      </c>
      <c r="D353" s="996" t="s">
        <v>155</v>
      </c>
      <c r="E353" s="996" t="s">
        <v>844</v>
      </c>
      <c r="F353" s="996" t="s">
        <v>1103</v>
      </c>
      <c r="G353" s="997">
        <v>3000000</v>
      </c>
      <c r="H353" s="74" t="s">
        <v>448</v>
      </c>
      <c r="I353" s="74" t="s">
        <v>1339</v>
      </c>
      <c r="J353" s="74" t="s">
        <v>1328</v>
      </c>
    </row>
    <row r="354" spans="1:10" hidden="1">
      <c r="A354" s="996">
        <v>1</v>
      </c>
      <c r="B354" s="996" t="s">
        <v>1081</v>
      </c>
      <c r="C354" s="996" t="s">
        <v>874</v>
      </c>
      <c r="D354" s="996" t="s">
        <v>157</v>
      </c>
      <c r="E354" s="996" t="s">
        <v>846</v>
      </c>
      <c r="F354" s="996" t="s">
        <v>897</v>
      </c>
      <c r="G354" s="997">
        <v>300000</v>
      </c>
      <c r="H354" s="74" t="s">
        <v>448</v>
      </c>
      <c r="I354" s="74" t="s">
        <v>1339</v>
      </c>
      <c r="J354" s="74" t="s">
        <v>1328</v>
      </c>
    </row>
    <row r="355" spans="1:10" hidden="1">
      <c r="A355" s="996">
        <v>1</v>
      </c>
      <c r="B355" s="996" t="s">
        <v>1081</v>
      </c>
      <c r="C355" s="996" t="s">
        <v>874</v>
      </c>
      <c r="D355" s="996" t="s">
        <v>347</v>
      </c>
      <c r="E355" s="996" t="s">
        <v>847</v>
      </c>
      <c r="F355" s="996" t="s">
        <v>1104</v>
      </c>
      <c r="G355" s="997">
        <v>1960000</v>
      </c>
      <c r="H355" s="74" t="s">
        <v>448</v>
      </c>
      <c r="I355" s="74" t="s">
        <v>1339</v>
      </c>
      <c r="J355" s="74" t="s">
        <v>1328</v>
      </c>
    </row>
    <row r="356" spans="1:10" hidden="1">
      <c r="A356" s="996">
        <v>1</v>
      </c>
      <c r="B356" s="996" t="s">
        <v>1081</v>
      </c>
      <c r="C356" s="996" t="s">
        <v>874</v>
      </c>
      <c r="D356" s="996" t="s">
        <v>160</v>
      </c>
      <c r="E356" s="996" t="s">
        <v>849</v>
      </c>
      <c r="F356" s="996" t="s">
        <v>894</v>
      </c>
      <c r="G356" s="997">
        <v>3600000</v>
      </c>
      <c r="H356" s="74" t="s">
        <v>448</v>
      </c>
      <c r="I356" s="74" t="s">
        <v>1339</v>
      </c>
      <c r="J356" s="74" t="s">
        <v>1328</v>
      </c>
    </row>
    <row r="357" spans="1:10" hidden="1">
      <c r="A357" s="996">
        <v>1</v>
      </c>
      <c r="B357" s="996" t="s">
        <v>1081</v>
      </c>
      <c r="C357" s="996" t="s">
        <v>874</v>
      </c>
      <c r="D357" s="996" t="s">
        <v>162</v>
      </c>
      <c r="E357" s="996" t="s">
        <v>850</v>
      </c>
      <c r="F357" s="996" t="s">
        <v>1105</v>
      </c>
      <c r="G357" s="997">
        <v>200000</v>
      </c>
      <c r="H357" s="74" t="s">
        <v>448</v>
      </c>
      <c r="I357" s="74" t="s">
        <v>1339</v>
      </c>
      <c r="J357" s="74" t="s">
        <v>1328</v>
      </c>
    </row>
    <row r="358" spans="1:10" hidden="1">
      <c r="A358" s="996">
        <v>1</v>
      </c>
      <c r="B358" s="996" t="s">
        <v>1081</v>
      </c>
      <c r="C358" s="996" t="s">
        <v>891</v>
      </c>
      <c r="D358" s="996" t="s">
        <v>166</v>
      </c>
      <c r="E358" s="996" t="s">
        <v>851</v>
      </c>
      <c r="F358" s="996" t="s">
        <v>1106</v>
      </c>
      <c r="G358" s="997">
        <v>53005686</v>
      </c>
      <c r="H358" s="74" t="s">
        <v>448</v>
      </c>
      <c r="I358" s="74" t="s">
        <v>1339</v>
      </c>
      <c r="J358" s="74" t="s">
        <v>1328</v>
      </c>
    </row>
    <row r="359" spans="1:10" hidden="1">
      <c r="A359" s="996">
        <v>1</v>
      </c>
      <c r="B359" s="996" t="s">
        <v>1081</v>
      </c>
      <c r="C359" s="996" t="s">
        <v>891</v>
      </c>
      <c r="D359" s="996" t="s">
        <v>168</v>
      </c>
      <c r="E359" s="996" t="s">
        <v>852</v>
      </c>
      <c r="F359" s="996"/>
      <c r="G359" s="997">
        <v>301290</v>
      </c>
      <c r="H359" s="74" t="s">
        <v>448</v>
      </c>
      <c r="I359" s="74" t="s">
        <v>1339</v>
      </c>
      <c r="J359" s="74" t="s">
        <v>1328</v>
      </c>
    </row>
    <row r="360" spans="1:10" hidden="1">
      <c r="A360" s="996">
        <v>1</v>
      </c>
      <c r="B360" s="996" t="s">
        <v>1081</v>
      </c>
      <c r="C360" s="996" t="s">
        <v>891</v>
      </c>
      <c r="D360" s="996" t="s">
        <v>178</v>
      </c>
      <c r="E360" s="996" t="s">
        <v>854</v>
      </c>
      <c r="F360" s="996" t="s">
        <v>1107</v>
      </c>
      <c r="G360" s="997">
        <v>571000</v>
      </c>
      <c r="H360" s="74" t="s">
        <v>448</v>
      </c>
      <c r="I360" s="74" t="s">
        <v>1339</v>
      </c>
      <c r="J360" s="74" t="s">
        <v>1328</v>
      </c>
    </row>
    <row r="361" spans="1:10" hidden="1">
      <c r="A361" s="996">
        <v>1</v>
      </c>
      <c r="B361" s="996" t="s">
        <v>1081</v>
      </c>
      <c r="C361" s="996" t="s">
        <v>891</v>
      </c>
      <c r="D361" s="996" t="s">
        <v>189</v>
      </c>
      <c r="E361" s="996" t="s">
        <v>855</v>
      </c>
      <c r="F361" s="996" t="s">
        <v>1418</v>
      </c>
      <c r="G361" s="997">
        <v>3982955</v>
      </c>
      <c r="H361" s="74" t="s">
        <v>448</v>
      </c>
      <c r="I361" s="74" t="s">
        <v>1339</v>
      </c>
      <c r="J361" s="74" t="s">
        <v>1328</v>
      </c>
    </row>
    <row r="362" spans="1:10" hidden="1">
      <c r="A362" s="996">
        <v>1</v>
      </c>
      <c r="B362" s="996" t="s">
        <v>1081</v>
      </c>
      <c r="C362" s="996" t="s">
        <v>891</v>
      </c>
      <c r="D362" s="996" t="s">
        <v>192</v>
      </c>
      <c r="E362" s="996" t="s">
        <v>856</v>
      </c>
      <c r="F362" s="996" t="s">
        <v>1419</v>
      </c>
      <c r="G362" s="997">
        <v>21600</v>
      </c>
      <c r="H362" s="74" t="s">
        <v>448</v>
      </c>
      <c r="I362" s="74" t="s">
        <v>1339</v>
      </c>
      <c r="J362" s="74" t="s">
        <v>1328</v>
      </c>
    </row>
    <row r="363" spans="1:10" hidden="1">
      <c r="A363" s="996">
        <v>1</v>
      </c>
      <c r="B363" s="996" t="s">
        <v>1081</v>
      </c>
      <c r="C363" s="996" t="s">
        <v>891</v>
      </c>
      <c r="D363" s="996" t="s">
        <v>195</v>
      </c>
      <c r="E363" s="996" t="s">
        <v>858</v>
      </c>
      <c r="F363" s="996" t="s">
        <v>898</v>
      </c>
      <c r="G363" s="997">
        <v>2048138</v>
      </c>
      <c r="H363" s="74" t="s">
        <v>448</v>
      </c>
      <c r="I363" s="74" t="s">
        <v>1339</v>
      </c>
      <c r="J363" s="74" t="s">
        <v>1328</v>
      </c>
    </row>
    <row r="364" spans="1:10" hidden="1">
      <c r="A364" s="996">
        <v>1</v>
      </c>
      <c r="B364" s="996" t="s">
        <v>1081</v>
      </c>
      <c r="C364" s="996" t="s">
        <v>891</v>
      </c>
      <c r="D364" s="996" t="s">
        <v>197</v>
      </c>
      <c r="E364" s="996" t="s">
        <v>859</v>
      </c>
      <c r="F364" s="996" t="s">
        <v>1420</v>
      </c>
      <c r="G364" s="997">
        <v>3593728</v>
      </c>
      <c r="H364" s="74" t="s">
        <v>448</v>
      </c>
      <c r="I364" s="74" t="s">
        <v>1339</v>
      </c>
      <c r="J364" s="74" t="s">
        <v>1328</v>
      </c>
    </row>
    <row r="365" spans="1:10" hidden="1">
      <c r="A365" s="996">
        <v>1</v>
      </c>
      <c r="B365" s="996" t="s">
        <v>1081</v>
      </c>
      <c r="C365" s="996" t="s">
        <v>891</v>
      </c>
      <c r="D365" s="996" t="s">
        <v>199</v>
      </c>
      <c r="E365" s="996" t="s">
        <v>860</v>
      </c>
      <c r="F365" s="996" t="s">
        <v>1421</v>
      </c>
      <c r="G365" s="997">
        <v>3579856</v>
      </c>
      <c r="H365" s="74" t="s">
        <v>448</v>
      </c>
      <c r="I365" s="74" t="s">
        <v>1339</v>
      </c>
      <c r="J365" s="74" t="s">
        <v>1328</v>
      </c>
    </row>
    <row r="366" spans="1:10" hidden="1">
      <c r="A366" s="996">
        <v>1</v>
      </c>
      <c r="B366" s="996" t="s">
        <v>1081</v>
      </c>
      <c r="C366" s="996" t="s">
        <v>891</v>
      </c>
      <c r="D366" s="996" t="s">
        <v>201</v>
      </c>
      <c r="E366" s="996" t="s">
        <v>861</v>
      </c>
      <c r="F366" s="996" t="s">
        <v>1108</v>
      </c>
      <c r="G366" s="997">
        <v>82000</v>
      </c>
      <c r="H366" s="74" t="s">
        <v>448</v>
      </c>
      <c r="I366" s="74" t="s">
        <v>1339</v>
      </c>
      <c r="J366" s="74" t="s">
        <v>1328</v>
      </c>
    </row>
    <row r="367" spans="1:10" hidden="1">
      <c r="A367" s="996">
        <v>1</v>
      </c>
      <c r="B367" s="996" t="s">
        <v>1081</v>
      </c>
      <c r="C367" s="996" t="s">
        <v>891</v>
      </c>
      <c r="D367" s="996" t="s">
        <v>203</v>
      </c>
      <c r="E367" s="996" t="s">
        <v>862</v>
      </c>
      <c r="F367" s="996" t="s">
        <v>899</v>
      </c>
      <c r="G367" s="997">
        <v>35600</v>
      </c>
      <c r="H367" s="74" t="s">
        <v>448</v>
      </c>
      <c r="I367" s="74" t="s">
        <v>1339</v>
      </c>
      <c r="J367" s="74" t="s">
        <v>1328</v>
      </c>
    </row>
    <row r="368" spans="1:10" hidden="1">
      <c r="A368" s="996">
        <v>2</v>
      </c>
      <c r="B368" s="996" t="s">
        <v>905</v>
      </c>
      <c r="C368" s="996" t="s">
        <v>873</v>
      </c>
      <c r="D368" s="996" t="s">
        <v>67</v>
      </c>
      <c r="E368" s="996" t="s">
        <v>803</v>
      </c>
      <c r="F368" s="996" t="s">
        <v>991</v>
      </c>
      <c r="G368" s="1116">
        <v>237020000</v>
      </c>
      <c r="H368" s="74" t="s">
        <v>1330</v>
      </c>
      <c r="I368" s="74" t="s">
        <v>1340</v>
      </c>
      <c r="J368" s="74" t="s">
        <v>1328</v>
      </c>
    </row>
    <row r="369" spans="1:18" hidden="1">
      <c r="A369" s="996">
        <v>2</v>
      </c>
      <c r="B369" s="996" t="s">
        <v>905</v>
      </c>
      <c r="C369" s="996" t="s">
        <v>873</v>
      </c>
      <c r="D369" s="996" t="s">
        <v>71</v>
      </c>
      <c r="E369" s="996" t="s">
        <v>806</v>
      </c>
      <c r="F369" s="996" t="s">
        <v>992</v>
      </c>
      <c r="G369" s="1116">
        <v>718000</v>
      </c>
      <c r="H369" s="74" t="s">
        <v>1330</v>
      </c>
      <c r="I369" s="74" t="s">
        <v>1340</v>
      </c>
      <c r="J369" s="74" t="s">
        <v>1328</v>
      </c>
    </row>
    <row r="370" spans="1:18" hidden="1">
      <c r="A370" s="996">
        <v>2</v>
      </c>
      <c r="B370" s="996" t="s">
        <v>905</v>
      </c>
      <c r="C370" s="996" t="s">
        <v>873</v>
      </c>
      <c r="D370" s="996" t="s">
        <v>75</v>
      </c>
      <c r="E370" s="996" t="s">
        <v>799</v>
      </c>
      <c r="F370" s="996" t="s">
        <v>399</v>
      </c>
      <c r="G370" s="1116">
        <v>36608000</v>
      </c>
      <c r="H370" s="74" t="s">
        <v>1330</v>
      </c>
      <c r="I370" s="74" t="s">
        <v>1340</v>
      </c>
      <c r="J370" s="74" t="s">
        <v>1328</v>
      </c>
    </row>
    <row r="371" spans="1:18" hidden="1">
      <c r="A371" s="996">
        <v>2</v>
      </c>
      <c r="B371" s="996" t="s">
        <v>905</v>
      </c>
      <c r="C371" s="996" t="s">
        <v>873</v>
      </c>
      <c r="D371" s="996" t="s">
        <v>76</v>
      </c>
      <c r="E371" s="996" t="s">
        <v>800</v>
      </c>
      <c r="F371" s="996" t="s">
        <v>400</v>
      </c>
      <c r="G371" s="1116">
        <v>52035000</v>
      </c>
      <c r="H371" s="74" t="s">
        <v>1330</v>
      </c>
      <c r="I371" s="74" t="s">
        <v>1340</v>
      </c>
      <c r="J371" s="74" t="s">
        <v>1328</v>
      </c>
    </row>
    <row r="372" spans="1:18" hidden="1">
      <c r="A372" s="996">
        <v>2</v>
      </c>
      <c r="B372" s="996" t="s">
        <v>905</v>
      </c>
      <c r="C372" s="996" t="s">
        <v>873</v>
      </c>
      <c r="D372" s="996" t="s">
        <v>77</v>
      </c>
      <c r="E372" s="996" t="s">
        <v>809</v>
      </c>
      <c r="F372" s="996" t="s">
        <v>401</v>
      </c>
      <c r="G372" s="1116">
        <v>30697000</v>
      </c>
      <c r="H372" s="74" t="s">
        <v>1330</v>
      </c>
      <c r="I372" s="74" t="s">
        <v>1340</v>
      </c>
      <c r="J372" s="74" t="s">
        <v>1328</v>
      </c>
    </row>
    <row r="373" spans="1:18" hidden="1">
      <c r="A373" s="996">
        <v>2</v>
      </c>
      <c r="B373" s="996" t="s">
        <v>905</v>
      </c>
      <c r="C373" s="996" t="s">
        <v>873</v>
      </c>
      <c r="D373" s="996" t="s">
        <v>78</v>
      </c>
      <c r="E373" s="996" t="s">
        <v>810</v>
      </c>
      <c r="F373" s="996" t="s">
        <v>402</v>
      </c>
      <c r="G373" s="1116">
        <v>29034000</v>
      </c>
      <c r="H373" s="74" t="s">
        <v>1330</v>
      </c>
      <c r="I373" s="74" t="s">
        <v>1340</v>
      </c>
      <c r="J373" s="74" t="s">
        <v>1328</v>
      </c>
    </row>
    <row r="374" spans="1:18" hidden="1">
      <c r="A374" s="996">
        <v>2</v>
      </c>
      <c r="B374" s="996" t="s">
        <v>905</v>
      </c>
      <c r="C374" s="996" t="s">
        <v>873</v>
      </c>
      <c r="D374" s="996" t="s">
        <v>79</v>
      </c>
      <c r="E374" s="996" t="s">
        <v>801</v>
      </c>
      <c r="F374" s="996" t="s">
        <v>403</v>
      </c>
      <c r="G374" s="1116">
        <v>13656000</v>
      </c>
      <c r="H374" s="74" t="s">
        <v>1330</v>
      </c>
      <c r="I374" s="74" t="s">
        <v>1340</v>
      </c>
      <c r="J374" s="74" t="s">
        <v>1328</v>
      </c>
    </row>
    <row r="375" spans="1:18" hidden="1">
      <c r="A375" s="996">
        <v>2</v>
      </c>
      <c r="B375" s="996" t="s">
        <v>905</v>
      </c>
      <c r="C375" s="996" t="s">
        <v>873</v>
      </c>
      <c r="D375" s="996" t="s">
        <v>82</v>
      </c>
      <c r="E375" s="996" t="s">
        <v>811</v>
      </c>
      <c r="F375" s="996" t="s">
        <v>404</v>
      </c>
      <c r="G375" s="1116">
        <v>34139000</v>
      </c>
      <c r="H375" s="74" t="s">
        <v>1330</v>
      </c>
      <c r="I375" s="74" t="s">
        <v>1340</v>
      </c>
      <c r="J375" s="74" t="s">
        <v>1328</v>
      </c>
    </row>
    <row r="376" spans="1:18" hidden="1">
      <c r="A376" s="996">
        <v>2</v>
      </c>
      <c r="B376" s="996" t="s">
        <v>905</v>
      </c>
      <c r="C376" s="996" t="s">
        <v>873</v>
      </c>
      <c r="D376" s="996" t="s">
        <v>83</v>
      </c>
      <c r="E376" s="996" t="s">
        <v>812</v>
      </c>
      <c r="F376" s="996" t="s">
        <v>405</v>
      </c>
      <c r="G376" s="1116">
        <v>1845000</v>
      </c>
      <c r="H376" s="74" t="s">
        <v>1330</v>
      </c>
      <c r="I376" s="74" t="s">
        <v>1340</v>
      </c>
      <c r="J376" s="74" t="s">
        <v>1328</v>
      </c>
    </row>
    <row r="377" spans="1:18" hidden="1">
      <c r="A377" s="996">
        <v>2</v>
      </c>
      <c r="B377" s="996" t="s">
        <v>905</v>
      </c>
      <c r="C377" s="996" t="s">
        <v>873</v>
      </c>
      <c r="D377" s="996" t="s">
        <v>84</v>
      </c>
      <c r="E377" s="996" t="s">
        <v>813</v>
      </c>
      <c r="F377" s="996" t="s">
        <v>406</v>
      </c>
      <c r="G377" s="1116">
        <v>5536000</v>
      </c>
      <c r="H377" s="74" t="s">
        <v>1330</v>
      </c>
      <c r="I377" s="74" t="s">
        <v>1340</v>
      </c>
      <c r="J377" s="74" t="s">
        <v>1328</v>
      </c>
    </row>
    <row r="378" spans="1:18" hidden="1">
      <c r="A378" s="996">
        <v>2</v>
      </c>
      <c r="B378" s="996" t="s">
        <v>905</v>
      </c>
      <c r="C378" s="996" t="s">
        <v>873</v>
      </c>
      <c r="D378" s="996" t="s">
        <v>85</v>
      </c>
      <c r="E378" s="996" t="s">
        <v>814</v>
      </c>
      <c r="F378" s="996" t="s">
        <v>407</v>
      </c>
      <c r="G378" s="1116">
        <v>18454000</v>
      </c>
      <c r="H378" s="74" t="s">
        <v>1330</v>
      </c>
      <c r="I378" s="74" t="s">
        <v>1340</v>
      </c>
      <c r="J378" s="74" t="s">
        <v>1328</v>
      </c>
    </row>
    <row r="379" spans="1:18" s="915" customFormat="1" hidden="1">
      <c r="A379" s="996">
        <v>2</v>
      </c>
      <c r="B379" s="996" t="s">
        <v>905</v>
      </c>
      <c r="C379" s="996" t="s">
        <v>873</v>
      </c>
      <c r="D379" s="996" t="s">
        <v>86</v>
      </c>
      <c r="E379" s="996" t="s">
        <v>815</v>
      </c>
      <c r="F379" s="996" t="s">
        <v>408</v>
      </c>
      <c r="G379" s="1116">
        <v>1845000</v>
      </c>
      <c r="H379" s="74" t="s">
        <v>1330</v>
      </c>
      <c r="I379" s="74" t="s">
        <v>1340</v>
      </c>
      <c r="J379" s="74" t="s">
        <v>1328</v>
      </c>
      <c r="M379" s="989"/>
      <c r="R379" s="989"/>
    </row>
    <row r="380" spans="1:18" s="915" customFormat="1" hidden="1">
      <c r="A380" s="996">
        <v>2</v>
      </c>
      <c r="B380" s="996" t="s">
        <v>905</v>
      </c>
      <c r="C380" s="996" t="s">
        <v>873</v>
      </c>
      <c r="D380" s="996" t="s">
        <v>425</v>
      </c>
      <c r="E380" s="996" t="s">
        <v>816</v>
      </c>
      <c r="F380" s="996" t="s">
        <v>945</v>
      </c>
      <c r="G380" s="1116">
        <v>20004000</v>
      </c>
      <c r="H380" s="74" t="s">
        <v>1330</v>
      </c>
      <c r="I380" s="74" t="s">
        <v>1340</v>
      </c>
      <c r="J380" s="74" t="s">
        <v>1328</v>
      </c>
      <c r="M380" s="989"/>
      <c r="R380" s="989"/>
    </row>
    <row r="381" spans="1:18" s="915" customFormat="1" hidden="1">
      <c r="A381" s="996">
        <v>2</v>
      </c>
      <c r="B381" s="996" t="s">
        <v>905</v>
      </c>
      <c r="C381" s="996" t="s">
        <v>873</v>
      </c>
      <c r="D381" s="996" t="s">
        <v>89</v>
      </c>
      <c r="E381" s="996" t="s">
        <v>817</v>
      </c>
      <c r="F381" s="996" t="s">
        <v>409</v>
      </c>
      <c r="G381" s="1116">
        <v>11072000</v>
      </c>
      <c r="H381" s="74" t="s">
        <v>1330</v>
      </c>
      <c r="I381" s="74" t="s">
        <v>1340</v>
      </c>
      <c r="J381" s="74" t="s">
        <v>1328</v>
      </c>
      <c r="M381" s="989"/>
      <c r="R381" s="989"/>
    </row>
    <row r="382" spans="1:18" s="915" customFormat="1" hidden="1">
      <c r="A382" s="996">
        <v>2</v>
      </c>
      <c r="B382" s="996" t="s">
        <v>905</v>
      </c>
      <c r="C382" s="996" t="s">
        <v>873</v>
      </c>
      <c r="D382" s="996" t="s">
        <v>90</v>
      </c>
      <c r="E382" s="996" t="s">
        <v>818</v>
      </c>
      <c r="F382" s="996" t="s">
        <v>1109</v>
      </c>
      <c r="G382" s="1116">
        <v>5536000</v>
      </c>
      <c r="H382" s="74" t="s">
        <v>1330</v>
      </c>
      <c r="I382" s="74" t="s">
        <v>1340</v>
      </c>
      <c r="J382" s="74" t="s">
        <v>1328</v>
      </c>
      <c r="M382" s="989"/>
      <c r="R382" s="989"/>
    </row>
    <row r="383" spans="1:18" s="915" customFormat="1" hidden="1">
      <c r="A383" s="996">
        <v>2</v>
      </c>
      <c r="B383" s="996" t="s">
        <v>905</v>
      </c>
      <c r="C383" s="996" t="s">
        <v>874</v>
      </c>
      <c r="D383" s="996" t="s">
        <v>94</v>
      </c>
      <c r="E383" s="996" t="s">
        <v>819</v>
      </c>
      <c r="F383" s="996" t="s">
        <v>977</v>
      </c>
      <c r="G383" s="997">
        <v>7654000</v>
      </c>
      <c r="H383" s="74" t="s">
        <v>448</v>
      </c>
      <c r="I383" s="74" t="s">
        <v>1339</v>
      </c>
      <c r="J383" s="74" t="s">
        <v>1328</v>
      </c>
      <c r="M383" s="989"/>
      <c r="R383" s="989"/>
    </row>
    <row r="384" spans="1:18" s="915" customFormat="1" hidden="1">
      <c r="A384" s="996">
        <v>2</v>
      </c>
      <c r="B384" s="996" t="s">
        <v>905</v>
      </c>
      <c r="C384" s="996" t="s">
        <v>874</v>
      </c>
      <c r="D384" s="996" t="s">
        <v>103</v>
      </c>
      <c r="E384" s="996" t="s">
        <v>821</v>
      </c>
      <c r="F384" s="996" t="s">
        <v>978</v>
      </c>
      <c r="G384" s="997">
        <v>330000</v>
      </c>
      <c r="H384" s="74" t="s">
        <v>448</v>
      </c>
      <c r="I384" s="74" t="s">
        <v>1339</v>
      </c>
      <c r="J384" s="74" t="s">
        <v>1328</v>
      </c>
      <c r="M384" s="989"/>
      <c r="R384" s="989"/>
    </row>
    <row r="385" spans="1:18" s="915" customFormat="1" hidden="1">
      <c r="A385" s="996">
        <v>2</v>
      </c>
      <c r="B385" s="996" t="s">
        <v>905</v>
      </c>
      <c r="C385" s="996" t="s">
        <v>874</v>
      </c>
      <c r="D385" s="996" t="s">
        <v>105</v>
      </c>
      <c r="E385" s="996" t="s">
        <v>822</v>
      </c>
      <c r="F385" s="996" t="s">
        <v>979</v>
      </c>
      <c r="G385" s="997">
        <v>1034000</v>
      </c>
      <c r="H385" s="74" t="s">
        <v>448</v>
      </c>
      <c r="I385" s="74" t="s">
        <v>1339</v>
      </c>
      <c r="J385" s="74" t="s">
        <v>1328</v>
      </c>
      <c r="M385" s="989"/>
      <c r="R385" s="989"/>
    </row>
    <row r="386" spans="1:18" s="915" customFormat="1" hidden="1">
      <c r="A386" s="996">
        <v>2</v>
      </c>
      <c r="B386" s="996" t="s">
        <v>905</v>
      </c>
      <c r="C386" s="996" t="s">
        <v>874</v>
      </c>
      <c r="D386" s="996" t="s">
        <v>286</v>
      </c>
      <c r="E386" s="996" t="s">
        <v>980</v>
      </c>
      <c r="F386" s="996" t="s">
        <v>981</v>
      </c>
      <c r="G386" s="997">
        <v>538000</v>
      </c>
      <c r="H386" s="74" t="s">
        <v>448</v>
      </c>
      <c r="I386" s="74" t="s">
        <v>1339</v>
      </c>
      <c r="J386" s="74" t="s">
        <v>1328</v>
      </c>
      <c r="M386" s="989"/>
      <c r="R386" s="989"/>
    </row>
    <row r="387" spans="1:18" s="915" customFormat="1" ht="210" hidden="1">
      <c r="A387" s="996">
        <v>2</v>
      </c>
      <c r="B387" s="996" t="s">
        <v>905</v>
      </c>
      <c r="C387" s="996" t="s">
        <v>874</v>
      </c>
      <c r="D387" s="996" t="s">
        <v>125</v>
      </c>
      <c r="E387" s="996" t="s">
        <v>833</v>
      </c>
      <c r="F387" s="998" t="s">
        <v>1110</v>
      </c>
      <c r="G387" s="997">
        <v>2532000</v>
      </c>
      <c r="H387" s="74" t="s">
        <v>448</v>
      </c>
      <c r="I387" s="74" t="s">
        <v>1339</v>
      </c>
      <c r="J387" s="74" t="s">
        <v>1328</v>
      </c>
      <c r="M387" s="989"/>
      <c r="R387" s="989"/>
    </row>
    <row r="388" spans="1:18" s="915" customFormat="1" hidden="1">
      <c r="A388" s="996">
        <v>1</v>
      </c>
      <c r="B388" s="996" t="s">
        <v>1081</v>
      </c>
      <c r="C388" s="996" t="s">
        <v>874</v>
      </c>
      <c r="D388" s="996" t="s">
        <v>127</v>
      </c>
      <c r="E388" s="996" t="s">
        <v>834</v>
      </c>
      <c r="F388" s="996" t="s">
        <v>1111</v>
      </c>
      <c r="G388" s="997">
        <v>550000</v>
      </c>
      <c r="H388" s="74" t="s">
        <v>448</v>
      </c>
      <c r="I388" s="74" t="s">
        <v>1339</v>
      </c>
      <c r="J388" s="74" t="s">
        <v>1328</v>
      </c>
      <c r="M388" s="989"/>
      <c r="R388" s="989"/>
    </row>
    <row r="389" spans="1:18" s="915" customFormat="1" hidden="1">
      <c r="A389" s="996">
        <v>1</v>
      </c>
      <c r="B389" s="996" t="s">
        <v>1081</v>
      </c>
      <c r="C389" s="996" t="s">
        <v>874</v>
      </c>
      <c r="D389" s="996" t="s">
        <v>127</v>
      </c>
      <c r="E389" s="996" t="s">
        <v>834</v>
      </c>
      <c r="F389" s="996" t="s">
        <v>1112</v>
      </c>
      <c r="G389" s="997">
        <v>700000</v>
      </c>
      <c r="H389" s="74" t="s">
        <v>448</v>
      </c>
      <c r="I389" s="74" t="s">
        <v>1339</v>
      </c>
      <c r="J389" s="74" t="s">
        <v>1328</v>
      </c>
      <c r="M389" s="989"/>
      <c r="R389" s="989"/>
    </row>
    <row r="390" spans="1:18" s="915" customFormat="1" hidden="1">
      <c r="A390" s="996">
        <v>2</v>
      </c>
      <c r="B390" s="996" t="s">
        <v>905</v>
      </c>
      <c r="C390" s="996" t="s">
        <v>874</v>
      </c>
      <c r="D390" s="996" t="s">
        <v>127</v>
      </c>
      <c r="E390" s="996" t="s">
        <v>834</v>
      </c>
      <c r="F390" s="996" t="s">
        <v>1113</v>
      </c>
      <c r="G390" s="997">
        <v>10000000</v>
      </c>
      <c r="H390" s="74" t="s">
        <v>448</v>
      </c>
      <c r="I390" s="74" t="s">
        <v>1339</v>
      </c>
      <c r="J390" s="74" t="s">
        <v>1328</v>
      </c>
      <c r="M390" s="989"/>
      <c r="R390" s="989"/>
    </row>
    <row r="391" spans="1:18" s="915" customFormat="1" hidden="1">
      <c r="A391" s="996">
        <v>2</v>
      </c>
      <c r="B391" s="996" t="s">
        <v>905</v>
      </c>
      <c r="C391" s="996" t="s">
        <v>874</v>
      </c>
      <c r="D391" s="996" t="s">
        <v>134</v>
      </c>
      <c r="E391" s="996" t="s">
        <v>837</v>
      </c>
      <c r="F391" s="996" t="s">
        <v>1114</v>
      </c>
      <c r="G391" s="997">
        <v>500000</v>
      </c>
      <c r="H391" s="74" t="s">
        <v>448</v>
      </c>
      <c r="I391" s="74" t="s">
        <v>1339</v>
      </c>
      <c r="J391" s="74" t="s">
        <v>1328</v>
      </c>
      <c r="M391" s="989"/>
      <c r="R391" s="989"/>
    </row>
    <row r="392" spans="1:18" s="915" customFormat="1" hidden="1">
      <c r="A392" s="996">
        <v>2</v>
      </c>
      <c r="B392" s="996" t="s">
        <v>905</v>
      </c>
      <c r="C392" s="996" t="s">
        <v>874</v>
      </c>
      <c r="D392" s="996" t="s">
        <v>136</v>
      </c>
      <c r="E392" s="996" t="s">
        <v>838</v>
      </c>
      <c r="F392" s="996" t="s">
        <v>1114</v>
      </c>
      <c r="G392" s="997">
        <v>500000</v>
      </c>
      <c r="H392" s="74" t="s">
        <v>448</v>
      </c>
      <c r="I392" s="74" t="s">
        <v>1339</v>
      </c>
      <c r="J392" s="74" t="s">
        <v>1328</v>
      </c>
      <c r="M392" s="989"/>
      <c r="R392" s="989"/>
    </row>
    <row r="393" spans="1:18" s="915" customFormat="1" hidden="1">
      <c r="A393" s="996">
        <v>1</v>
      </c>
      <c r="B393" s="996" t="s">
        <v>1081</v>
      </c>
      <c r="C393" s="996" t="s">
        <v>874</v>
      </c>
      <c r="D393" s="996" t="s">
        <v>138</v>
      </c>
      <c r="E393" s="996" t="s">
        <v>985</v>
      </c>
      <c r="F393" s="996" t="s">
        <v>1115</v>
      </c>
      <c r="G393" s="997">
        <v>982000</v>
      </c>
      <c r="H393" s="74" t="s">
        <v>448</v>
      </c>
      <c r="I393" s="74" t="s">
        <v>1339</v>
      </c>
      <c r="J393" s="74" t="s">
        <v>1328</v>
      </c>
      <c r="M393" s="989"/>
      <c r="R393" s="989"/>
    </row>
    <row r="394" spans="1:18" hidden="1">
      <c r="A394" s="996">
        <v>1</v>
      </c>
      <c r="B394" s="996" t="s">
        <v>1081</v>
      </c>
      <c r="C394" s="996" t="s">
        <v>874</v>
      </c>
      <c r="D394" s="996" t="s">
        <v>138</v>
      </c>
      <c r="E394" s="996" t="s">
        <v>985</v>
      </c>
      <c r="F394" s="996" t="s">
        <v>1116</v>
      </c>
      <c r="G394" s="997">
        <v>400000</v>
      </c>
      <c r="H394" s="74" t="s">
        <v>448</v>
      </c>
      <c r="I394" s="74" t="s">
        <v>1339</v>
      </c>
      <c r="J394" s="74" t="s">
        <v>1328</v>
      </c>
    </row>
    <row r="395" spans="1:18" hidden="1">
      <c r="A395" s="996">
        <v>2</v>
      </c>
      <c r="B395" s="996" t="s">
        <v>905</v>
      </c>
      <c r="C395" s="996" t="s">
        <v>874</v>
      </c>
      <c r="D395" s="996" t="s">
        <v>138</v>
      </c>
      <c r="E395" s="996" t="s">
        <v>985</v>
      </c>
      <c r="F395" s="996" t="s">
        <v>1117</v>
      </c>
      <c r="G395" s="997">
        <v>3438000</v>
      </c>
      <c r="H395" s="74" t="s">
        <v>448</v>
      </c>
      <c r="I395" s="74" t="s">
        <v>1339</v>
      </c>
      <c r="J395" s="74" t="s">
        <v>1328</v>
      </c>
    </row>
    <row r="396" spans="1:18" hidden="1">
      <c r="A396" s="996">
        <v>2</v>
      </c>
      <c r="B396" s="996" t="s">
        <v>905</v>
      </c>
      <c r="C396" s="996" t="s">
        <v>874</v>
      </c>
      <c r="D396" s="996" t="s">
        <v>142</v>
      </c>
      <c r="E396" s="996" t="s">
        <v>839</v>
      </c>
      <c r="F396" s="996" t="s">
        <v>1118</v>
      </c>
      <c r="G396" s="997">
        <v>600000</v>
      </c>
      <c r="H396" s="74" t="s">
        <v>448</v>
      </c>
      <c r="I396" s="74" t="s">
        <v>1339</v>
      </c>
      <c r="J396" s="74" t="s">
        <v>1328</v>
      </c>
    </row>
    <row r="397" spans="1:18" hidden="1">
      <c r="A397" s="996">
        <v>3</v>
      </c>
      <c r="B397" s="996" t="s">
        <v>906</v>
      </c>
      <c r="C397" s="996" t="s">
        <v>873</v>
      </c>
      <c r="D397" s="996" t="s">
        <v>67</v>
      </c>
      <c r="E397" s="996" t="s">
        <v>803</v>
      </c>
      <c r="F397" s="996" t="s">
        <v>989</v>
      </c>
      <c r="G397" s="987">
        <v>101331000</v>
      </c>
      <c r="H397" s="74" t="s">
        <v>1340</v>
      </c>
      <c r="I397" s="74" t="s">
        <v>1340</v>
      </c>
      <c r="J397" s="74" t="s">
        <v>1328</v>
      </c>
    </row>
    <row r="398" spans="1:18" hidden="1">
      <c r="A398" s="996">
        <v>3</v>
      </c>
      <c r="B398" s="996" t="s">
        <v>906</v>
      </c>
      <c r="C398" s="996" t="s">
        <v>873</v>
      </c>
      <c r="D398" s="996" t="s">
        <v>71</v>
      </c>
      <c r="E398" s="996" t="s">
        <v>806</v>
      </c>
      <c r="F398" s="996" t="s">
        <v>663</v>
      </c>
      <c r="G398" s="987">
        <v>152000</v>
      </c>
      <c r="H398" s="74" t="s">
        <v>1340</v>
      </c>
      <c r="I398" s="74" t="s">
        <v>1340</v>
      </c>
      <c r="J398" s="74" t="s">
        <v>1328</v>
      </c>
    </row>
    <row r="399" spans="1:18" hidden="1">
      <c r="A399" s="996">
        <v>3</v>
      </c>
      <c r="B399" s="996" t="s">
        <v>906</v>
      </c>
      <c r="C399" s="996" t="s">
        <v>873</v>
      </c>
      <c r="D399" s="996" t="s">
        <v>75</v>
      </c>
      <c r="E399" s="996" t="s">
        <v>799</v>
      </c>
      <c r="F399" s="996" t="s">
        <v>399</v>
      </c>
      <c r="G399" s="987">
        <v>2095000</v>
      </c>
      <c r="H399" s="74" t="s">
        <v>1340</v>
      </c>
      <c r="I399" s="74" t="s">
        <v>1340</v>
      </c>
      <c r="J399" s="74" t="s">
        <v>1328</v>
      </c>
    </row>
    <row r="400" spans="1:18" hidden="1">
      <c r="A400" s="996">
        <v>3</v>
      </c>
      <c r="B400" s="996" t="s">
        <v>906</v>
      </c>
      <c r="C400" s="996" t="s">
        <v>873</v>
      </c>
      <c r="D400" s="996" t="s">
        <v>77</v>
      </c>
      <c r="E400" s="996" t="s">
        <v>809</v>
      </c>
      <c r="F400" s="996" t="s">
        <v>401</v>
      </c>
      <c r="G400" s="987">
        <v>9351000</v>
      </c>
      <c r="H400" s="74" t="s">
        <v>1340</v>
      </c>
      <c r="I400" s="74" t="s">
        <v>1340</v>
      </c>
      <c r="J400" s="74" t="s">
        <v>1328</v>
      </c>
    </row>
    <row r="401" spans="1:10" hidden="1">
      <c r="A401" s="996">
        <v>3</v>
      </c>
      <c r="B401" s="996" t="s">
        <v>906</v>
      </c>
      <c r="C401" s="996" t="s">
        <v>873</v>
      </c>
      <c r="D401" s="996" t="s">
        <v>78</v>
      </c>
      <c r="E401" s="996" t="s">
        <v>810</v>
      </c>
      <c r="F401" s="996" t="s">
        <v>402</v>
      </c>
      <c r="G401" s="987">
        <v>8739000</v>
      </c>
      <c r="H401" s="74" t="s">
        <v>1340</v>
      </c>
      <c r="I401" s="74" t="s">
        <v>1340</v>
      </c>
      <c r="J401" s="74" t="s">
        <v>1328</v>
      </c>
    </row>
    <row r="402" spans="1:10" hidden="1">
      <c r="A402" s="996">
        <v>3</v>
      </c>
      <c r="B402" s="996" t="s">
        <v>906</v>
      </c>
      <c r="C402" s="996" t="s">
        <v>873</v>
      </c>
      <c r="D402" s="996" t="s">
        <v>82</v>
      </c>
      <c r="E402" s="996" t="s">
        <v>811</v>
      </c>
      <c r="F402" s="996" t="s">
        <v>404</v>
      </c>
      <c r="G402" s="987">
        <v>10389000</v>
      </c>
      <c r="H402" s="74" t="s">
        <v>1340</v>
      </c>
      <c r="I402" s="74" t="s">
        <v>1340</v>
      </c>
      <c r="J402" s="74" t="s">
        <v>1328</v>
      </c>
    </row>
    <row r="403" spans="1:10" hidden="1">
      <c r="A403" s="996">
        <v>3</v>
      </c>
      <c r="B403" s="996" t="s">
        <v>906</v>
      </c>
      <c r="C403" s="996" t="s">
        <v>873</v>
      </c>
      <c r="D403" s="996" t="s">
        <v>83</v>
      </c>
      <c r="E403" s="996" t="s">
        <v>812</v>
      </c>
      <c r="F403" s="996" t="s">
        <v>405</v>
      </c>
      <c r="G403" s="987">
        <v>562000</v>
      </c>
      <c r="H403" s="74" t="s">
        <v>1340</v>
      </c>
      <c r="I403" s="74" t="s">
        <v>1340</v>
      </c>
      <c r="J403" s="74" t="s">
        <v>1328</v>
      </c>
    </row>
    <row r="404" spans="1:10" hidden="1">
      <c r="A404" s="996">
        <v>3</v>
      </c>
      <c r="B404" s="996" t="s">
        <v>906</v>
      </c>
      <c r="C404" s="996" t="s">
        <v>873</v>
      </c>
      <c r="D404" s="996" t="s">
        <v>84</v>
      </c>
      <c r="E404" s="996" t="s">
        <v>813</v>
      </c>
      <c r="F404" s="996" t="s">
        <v>406</v>
      </c>
      <c r="G404" s="987">
        <v>1685000</v>
      </c>
      <c r="H404" s="74" t="s">
        <v>1340</v>
      </c>
      <c r="I404" s="74" t="s">
        <v>1340</v>
      </c>
      <c r="J404" s="74" t="s">
        <v>1328</v>
      </c>
    </row>
    <row r="405" spans="1:10" hidden="1">
      <c r="A405" s="996">
        <v>3</v>
      </c>
      <c r="B405" s="996" t="s">
        <v>906</v>
      </c>
      <c r="C405" s="996" t="s">
        <v>873</v>
      </c>
      <c r="D405" s="996" t="s">
        <v>85</v>
      </c>
      <c r="E405" s="996" t="s">
        <v>814</v>
      </c>
      <c r="F405" s="996" t="s">
        <v>407</v>
      </c>
      <c r="G405" s="987">
        <v>5616000</v>
      </c>
      <c r="H405" s="74" t="s">
        <v>1340</v>
      </c>
      <c r="I405" s="74" t="s">
        <v>1340</v>
      </c>
      <c r="J405" s="74" t="s">
        <v>1328</v>
      </c>
    </row>
    <row r="406" spans="1:10" hidden="1">
      <c r="A406" s="996">
        <v>3</v>
      </c>
      <c r="B406" s="996" t="s">
        <v>906</v>
      </c>
      <c r="C406" s="996" t="s">
        <v>873</v>
      </c>
      <c r="D406" s="996" t="s">
        <v>86</v>
      </c>
      <c r="E406" s="996" t="s">
        <v>815</v>
      </c>
      <c r="F406" s="996" t="s">
        <v>408</v>
      </c>
      <c r="G406" s="987">
        <v>562000</v>
      </c>
      <c r="H406" s="74" t="s">
        <v>1340</v>
      </c>
      <c r="I406" s="74" t="s">
        <v>1340</v>
      </c>
      <c r="J406" s="74" t="s">
        <v>1328</v>
      </c>
    </row>
    <row r="407" spans="1:10" hidden="1">
      <c r="A407" s="996">
        <v>3</v>
      </c>
      <c r="B407" s="996" t="s">
        <v>906</v>
      </c>
      <c r="C407" s="996" t="s">
        <v>873</v>
      </c>
      <c r="D407" s="996" t="s">
        <v>425</v>
      </c>
      <c r="E407" s="996" t="s">
        <v>816</v>
      </c>
      <c r="F407" s="996" t="s">
        <v>945</v>
      </c>
      <c r="G407" s="987">
        <v>6088000</v>
      </c>
      <c r="H407" s="74" t="s">
        <v>1340</v>
      </c>
      <c r="I407" s="74" t="s">
        <v>1340</v>
      </c>
      <c r="J407" s="74" t="s">
        <v>1328</v>
      </c>
    </row>
    <row r="408" spans="1:10" hidden="1">
      <c r="A408" s="996">
        <v>3</v>
      </c>
      <c r="B408" s="996" t="s">
        <v>906</v>
      </c>
      <c r="C408" s="996" t="s">
        <v>873</v>
      </c>
      <c r="D408" s="996" t="s">
        <v>89</v>
      </c>
      <c r="E408" s="996" t="s">
        <v>817</v>
      </c>
      <c r="F408" s="996" t="s">
        <v>409</v>
      </c>
      <c r="G408" s="987">
        <v>3369000</v>
      </c>
      <c r="H408" s="74" t="s">
        <v>1340</v>
      </c>
      <c r="I408" s="74" t="s">
        <v>1340</v>
      </c>
      <c r="J408" s="74" t="s">
        <v>1328</v>
      </c>
    </row>
    <row r="409" spans="1:10" hidden="1">
      <c r="A409" s="996">
        <v>3</v>
      </c>
      <c r="B409" s="996" t="s">
        <v>906</v>
      </c>
      <c r="C409" s="996" t="s">
        <v>873</v>
      </c>
      <c r="D409" s="996" t="s">
        <v>90</v>
      </c>
      <c r="E409" s="996" t="s">
        <v>818</v>
      </c>
      <c r="F409" s="996" t="s">
        <v>714</v>
      </c>
      <c r="G409" s="987">
        <v>1685000</v>
      </c>
      <c r="H409" s="74" t="s">
        <v>1340</v>
      </c>
      <c r="I409" s="74" t="s">
        <v>1340</v>
      </c>
      <c r="J409" s="74" t="s">
        <v>1328</v>
      </c>
    </row>
    <row r="410" spans="1:10" hidden="1">
      <c r="A410" s="996">
        <v>3</v>
      </c>
      <c r="B410" s="996" t="s">
        <v>906</v>
      </c>
      <c r="C410" s="996" t="s">
        <v>874</v>
      </c>
      <c r="D410" s="996" t="s">
        <v>94</v>
      </c>
      <c r="E410" s="996" t="s">
        <v>819</v>
      </c>
      <c r="F410" s="996" t="s">
        <v>1119</v>
      </c>
      <c r="G410" s="997">
        <v>66278000</v>
      </c>
      <c r="H410" s="74" t="s">
        <v>448</v>
      </c>
      <c r="I410" s="74" t="s">
        <v>1339</v>
      </c>
      <c r="J410" s="74" t="s">
        <v>1328</v>
      </c>
    </row>
    <row r="411" spans="1:10" ht="150" hidden="1">
      <c r="A411" s="996">
        <v>3</v>
      </c>
      <c r="B411" s="996" t="s">
        <v>906</v>
      </c>
      <c r="C411" s="996" t="s">
        <v>874</v>
      </c>
      <c r="D411" s="996" t="s">
        <v>95</v>
      </c>
      <c r="E411" s="996" t="s">
        <v>820</v>
      </c>
      <c r="F411" s="998" t="s">
        <v>1120</v>
      </c>
      <c r="G411" s="997">
        <v>60000000</v>
      </c>
      <c r="H411" s="74" t="s">
        <v>448</v>
      </c>
      <c r="I411" s="74" t="s">
        <v>1339</v>
      </c>
      <c r="J411" s="74" t="s">
        <v>1328</v>
      </c>
    </row>
    <row r="412" spans="1:10" hidden="1">
      <c r="A412" s="996">
        <v>3</v>
      </c>
      <c r="B412" s="996" t="s">
        <v>906</v>
      </c>
      <c r="C412" s="996" t="s">
        <v>874</v>
      </c>
      <c r="D412" s="996" t="s">
        <v>103</v>
      </c>
      <c r="E412" s="996" t="s">
        <v>821</v>
      </c>
      <c r="F412" s="996" t="s">
        <v>1121</v>
      </c>
      <c r="G412" s="997">
        <v>2860000</v>
      </c>
      <c r="H412" s="74" t="s">
        <v>448</v>
      </c>
      <c r="I412" s="74" t="s">
        <v>1339</v>
      </c>
      <c r="J412" s="74" t="s">
        <v>1328</v>
      </c>
    </row>
    <row r="413" spans="1:10" hidden="1">
      <c r="A413" s="996">
        <v>3</v>
      </c>
      <c r="B413" s="996" t="s">
        <v>906</v>
      </c>
      <c r="C413" s="996" t="s">
        <v>874</v>
      </c>
      <c r="D413" s="996" t="s">
        <v>105</v>
      </c>
      <c r="E413" s="996" t="s">
        <v>822</v>
      </c>
      <c r="F413" s="996" t="s">
        <v>1122</v>
      </c>
      <c r="G413" s="997">
        <v>8956000</v>
      </c>
      <c r="H413" s="74" t="s">
        <v>448</v>
      </c>
      <c r="I413" s="74" t="s">
        <v>1339</v>
      </c>
      <c r="J413" s="74" t="s">
        <v>1328</v>
      </c>
    </row>
    <row r="414" spans="1:10" hidden="1">
      <c r="A414" s="996">
        <v>3</v>
      </c>
      <c r="B414" s="996" t="s">
        <v>906</v>
      </c>
      <c r="C414" s="996" t="s">
        <v>874</v>
      </c>
      <c r="D414" s="996" t="s">
        <v>286</v>
      </c>
      <c r="E414" s="996" t="s">
        <v>980</v>
      </c>
      <c r="F414" s="996" t="s">
        <v>1123</v>
      </c>
      <c r="G414" s="997">
        <v>4650000</v>
      </c>
      <c r="H414" s="74" t="s">
        <v>448</v>
      </c>
      <c r="I414" s="74" t="s">
        <v>1339</v>
      </c>
      <c r="J414" s="74" t="s">
        <v>1328</v>
      </c>
    </row>
    <row r="415" spans="1:10" hidden="1">
      <c r="A415" s="996">
        <v>3</v>
      </c>
      <c r="B415" s="996" t="s">
        <v>906</v>
      </c>
      <c r="C415" s="996" t="s">
        <v>874</v>
      </c>
      <c r="D415" s="996" t="s">
        <v>125</v>
      </c>
      <c r="E415" s="996" t="s">
        <v>833</v>
      </c>
      <c r="F415" s="996" t="s">
        <v>1124</v>
      </c>
      <c r="G415" s="997">
        <v>21925000</v>
      </c>
      <c r="H415" s="74" t="s">
        <v>448</v>
      </c>
      <c r="I415" s="74" t="s">
        <v>1339</v>
      </c>
      <c r="J415" s="74" t="s">
        <v>1328</v>
      </c>
    </row>
    <row r="416" spans="1:10" hidden="1">
      <c r="A416" s="996">
        <v>2</v>
      </c>
      <c r="B416" s="996" t="s">
        <v>905</v>
      </c>
      <c r="C416" s="996" t="s">
        <v>874</v>
      </c>
      <c r="D416" s="996" t="s">
        <v>127</v>
      </c>
      <c r="E416" s="996" t="s">
        <v>834</v>
      </c>
      <c r="F416" s="996" t="s">
        <v>1125</v>
      </c>
      <c r="G416" s="997">
        <v>30000000</v>
      </c>
      <c r="H416" s="74" t="s">
        <v>448</v>
      </c>
      <c r="I416" s="74" t="s">
        <v>1339</v>
      </c>
      <c r="J416" s="74" t="s">
        <v>1328</v>
      </c>
    </row>
    <row r="417" spans="1:18" hidden="1">
      <c r="A417" s="996">
        <v>2</v>
      </c>
      <c r="B417" s="996" t="s">
        <v>905</v>
      </c>
      <c r="C417" s="996" t="s">
        <v>874</v>
      </c>
      <c r="D417" s="996" t="s">
        <v>127</v>
      </c>
      <c r="E417" s="996" t="s">
        <v>834</v>
      </c>
      <c r="F417" s="996" t="s">
        <v>1126</v>
      </c>
      <c r="G417" s="997">
        <v>800000</v>
      </c>
      <c r="H417" s="74" t="s">
        <v>448</v>
      </c>
      <c r="I417" s="74" t="s">
        <v>1339</v>
      </c>
      <c r="J417" s="74" t="s">
        <v>1328</v>
      </c>
    </row>
    <row r="418" spans="1:18" hidden="1">
      <c r="A418" s="996">
        <v>2</v>
      </c>
      <c r="B418" s="996" t="s">
        <v>905</v>
      </c>
      <c r="C418" s="996" t="s">
        <v>874</v>
      </c>
      <c r="D418" s="996" t="s">
        <v>127</v>
      </c>
      <c r="E418" s="996" t="s">
        <v>834</v>
      </c>
      <c r="F418" s="996" t="s">
        <v>1127</v>
      </c>
      <c r="G418" s="997">
        <v>10000000</v>
      </c>
      <c r="H418" s="74" t="s">
        <v>448</v>
      </c>
      <c r="I418" s="74" t="s">
        <v>1339</v>
      </c>
      <c r="J418" s="74" t="s">
        <v>1328</v>
      </c>
    </row>
    <row r="419" spans="1:18" ht="210" hidden="1">
      <c r="A419" s="996">
        <v>3</v>
      </c>
      <c r="B419" s="996" t="s">
        <v>906</v>
      </c>
      <c r="C419" s="996" t="s">
        <v>874</v>
      </c>
      <c r="D419" s="996" t="s">
        <v>127</v>
      </c>
      <c r="E419" s="996" t="s">
        <v>834</v>
      </c>
      <c r="F419" s="998" t="s">
        <v>1128</v>
      </c>
      <c r="G419" s="997">
        <v>85000000</v>
      </c>
      <c r="H419" s="74" t="s">
        <v>448</v>
      </c>
      <c r="I419" s="74" t="s">
        <v>1339</v>
      </c>
      <c r="J419" s="74" t="s">
        <v>1328</v>
      </c>
    </row>
    <row r="420" spans="1:18" hidden="1">
      <c r="A420" s="996">
        <v>3</v>
      </c>
      <c r="B420" s="996" t="s">
        <v>906</v>
      </c>
      <c r="C420" s="996" t="s">
        <v>874</v>
      </c>
      <c r="D420" s="996" t="s">
        <v>138</v>
      </c>
      <c r="E420" s="996" t="s">
        <v>985</v>
      </c>
      <c r="F420" s="996" t="s">
        <v>1129</v>
      </c>
      <c r="G420" s="997">
        <v>1046000</v>
      </c>
      <c r="H420" s="74" t="s">
        <v>448</v>
      </c>
      <c r="I420" s="74" t="s">
        <v>1339</v>
      </c>
      <c r="J420" s="74" t="s">
        <v>1328</v>
      </c>
    </row>
    <row r="421" spans="1:18" hidden="1">
      <c r="A421" s="996">
        <v>3</v>
      </c>
      <c r="B421" s="996" t="s">
        <v>906</v>
      </c>
      <c r="C421" s="996" t="s">
        <v>874</v>
      </c>
      <c r="D421" s="996" t="s">
        <v>153</v>
      </c>
      <c r="E421" s="996" t="s">
        <v>842</v>
      </c>
      <c r="F421" s="996" t="s">
        <v>1130</v>
      </c>
      <c r="G421" s="997">
        <v>25000000</v>
      </c>
      <c r="H421" s="74" t="s">
        <v>448</v>
      </c>
      <c r="I421" s="74" t="s">
        <v>1339</v>
      </c>
      <c r="J421" s="74" t="s">
        <v>1328</v>
      </c>
    </row>
    <row r="422" spans="1:18" hidden="1">
      <c r="A422" s="996">
        <v>3</v>
      </c>
      <c r="B422" s="996" t="s">
        <v>906</v>
      </c>
      <c r="C422" s="996" t="s">
        <v>891</v>
      </c>
      <c r="D422" s="996" t="s">
        <v>166</v>
      </c>
      <c r="E422" s="996" t="s">
        <v>851</v>
      </c>
      <c r="F422" s="996" t="s">
        <v>1131</v>
      </c>
      <c r="G422" s="997">
        <v>50449750</v>
      </c>
      <c r="H422" s="74" t="s">
        <v>448</v>
      </c>
      <c r="I422" s="74" t="s">
        <v>1339</v>
      </c>
      <c r="J422" s="74" t="s">
        <v>1328</v>
      </c>
    </row>
    <row r="423" spans="1:18" hidden="1">
      <c r="A423" s="996">
        <v>3</v>
      </c>
      <c r="B423" s="996" t="s">
        <v>906</v>
      </c>
      <c r="C423" s="996" t="s">
        <v>891</v>
      </c>
      <c r="D423" s="996" t="s">
        <v>168</v>
      </c>
      <c r="E423" s="996" t="s">
        <v>852</v>
      </c>
      <c r="F423" s="996" t="s">
        <v>907</v>
      </c>
      <c r="G423" s="997">
        <v>1509300</v>
      </c>
      <c r="H423" s="74" t="s">
        <v>448</v>
      </c>
      <c r="I423" s="74" t="s">
        <v>1339</v>
      </c>
      <c r="J423" s="74" t="s">
        <v>1328</v>
      </c>
    </row>
    <row r="424" spans="1:18" hidden="1">
      <c r="A424" s="996">
        <v>3</v>
      </c>
      <c r="B424" s="996" t="s">
        <v>906</v>
      </c>
      <c r="C424" s="996" t="s">
        <v>891</v>
      </c>
      <c r="D424" s="996" t="s">
        <v>178</v>
      </c>
      <c r="E424" s="996" t="s">
        <v>854</v>
      </c>
      <c r="F424" s="996" t="s">
        <v>908</v>
      </c>
      <c r="G424" s="997">
        <v>1000000</v>
      </c>
      <c r="H424" s="74" t="s">
        <v>448</v>
      </c>
      <c r="I424" s="74" t="s">
        <v>1339</v>
      </c>
      <c r="J424" s="74" t="s">
        <v>1328</v>
      </c>
    </row>
    <row r="425" spans="1:18" hidden="1">
      <c r="A425" s="996">
        <v>3</v>
      </c>
      <c r="B425" s="996" t="s">
        <v>906</v>
      </c>
      <c r="C425" s="996" t="s">
        <v>891</v>
      </c>
      <c r="D425" s="996" t="s">
        <v>189</v>
      </c>
      <c r="E425" s="996" t="s">
        <v>855</v>
      </c>
      <c r="F425" s="996" t="s">
        <v>909</v>
      </c>
      <c r="G425" s="997">
        <v>4403100</v>
      </c>
      <c r="H425" s="74" t="s">
        <v>448</v>
      </c>
      <c r="I425" s="74" t="s">
        <v>1339</v>
      </c>
      <c r="J425" s="74" t="s">
        <v>1328</v>
      </c>
    </row>
    <row r="426" spans="1:18" hidden="1">
      <c r="A426" s="996">
        <v>3</v>
      </c>
      <c r="B426" s="996" t="s">
        <v>906</v>
      </c>
      <c r="C426" s="996" t="s">
        <v>891</v>
      </c>
      <c r="D426" s="996" t="s">
        <v>197</v>
      </c>
      <c r="E426" s="996" t="s">
        <v>859</v>
      </c>
      <c r="F426" s="996" t="s">
        <v>910</v>
      </c>
      <c r="G426" s="997">
        <v>8642710</v>
      </c>
      <c r="H426" s="74" t="s">
        <v>448</v>
      </c>
      <c r="I426" s="74" t="s">
        <v>1339</v>
      </c>
      <c r="J426" s="74" t="s">
        <v>1328</v>
      </c>
    </row>
    <row r="427" spans="1:18" hidden="1">
      <c r="A427" s="996">
        <v>3</v>
      </c>
      <c r="B427" s="996" t="s">
        <v>906</v>
      </c>
      <c r="C427" s="996" t="s">
        <v>891</v>
      </c>
      <c r="D427" s="996" t="s">
        <v>199</v>
      </c>
      <c r="E427" s="996" t="s">
        <v>860</v>
      </c>
      <c r="F427" s="996" t="s">
        <v>911</v>
      </c>
      <c r="G427" s="997">
        <v>53200</v>
      </c>
      <c r="H427" s="74" t="s">
        <v>448</v>
      </c>
      <c r="I427" s="74" t="s">
        <v>1339</v>
      </c>
      <c r="J427" s="74" t="s">
        <v>1328</v>
      </c>
    </row>
    <row r="428" spans="1:18" hidden="1">
      <c r="A428" s="996">
        <v>3</v>
      </c>
      <c r="B428" s="996" t="s">
        <v>906</v>
      </c>
      <c r="C428" s="996" t="s">
        <v>891</v>
      </c>
      <c r="D428" s="996" t="s">
        <v>203</v>
      </c>
      <c r="E428" s="996" t="s">
        <v>862</v>
      </c>
      <c r="F428" s="996" t="s">
        <v>790</v>
      </c>
      <c r="G428" s="997">
        <v>258100</v>
      </c>
      <c r="H428" s="74" t="s">
        <v>448</v>
      </c>
      <c r="I428" s="74" t="s">
        <v>1339</v>
      </c>
      <c r="J428" s="74" t="s">
        <v>1328</v>
      </c>
    </row>
    <row r="429" spans="1:18" s="915" customFormat="1" hidden="1">
      <c r="A429" s="996">
        <v>3</v>
      </c>
      <c r="B429" s="996" t="s">
        <v>912</v>
      </c>
      <c r="C429" s="996" t="s">
        <v>873</v>
      </c>
      <c r="D429" s="996" t="s">
        <v>67</v>
      </c>
      <c r="E429" s="996" t="s">
        <v>803</v>
      </c>
      <c r="F429" s="996" t="s">
        <v>989</v>
      </c>
      <c r="G429" s="987">
        <v>25883816</v>
      </c>
      <c r="H429" s="74" t="s">
        <v>1340</v>
      </c>
      <c r="I429" s="74" t="s">
        <v>1340</v>
      </c>
      <c r="J429" s="74" t="s">
        <v>1328</v>
      </c>
      <c r="M429" s="989"/>
      <c r="R429" s="989"/>
    </row>
    <row r="430" spans="1:18" s="915" customFormat="1" hidden="1">
      <c r="A430" s="996">
        <v>3</v>
      </c>
      <c r="B430" s="996" t="s">
        <v>912</v>
      </c>
      <c r="C430" s="996" t="s">
        <v>873</v>
      </c>
      <c r="D430" s="996" t="s">
        <v>67</v>
      </c>
      <c r="E430" s="996" t="s">
        <v>803</v>
      </c>
      <c r="F430" s="996" t="s">
        <v>989</v>
      </c>
      <c r="G430" s="992">
        <v>6994184</v>
      </c>
      <c r="H430" s="74" t="s">
        <v>1346</v>
      </c>
      <c r="I430" s="74" t="s">
        <v>1340</v>
      </c>
      <c r="J430" s="74" t="s">
        <v>1328</v>
      </c>
      <c r="M430" s="989"/>
      <c r="R430" s="989"/>
    </row>
    <row r="431" spans="1:18" s="1164" customFormat="1" hidden="1">
      <c r="A431" s="916">
        <v>3</v>
      </c>
      <c r="B431" s="916" t="s">
        <v>912</v>
      </c>
      <c r="C431" s="916" t="s">
        <v>873</v>
      </c>
      <c r="D431" s="916" t="s">
        <v>68</v>
      </c>
      <c r="E431" s="916" t="s">
        <v>804</v>
      </c>
      <c r="F431" s="916" t="s">
        <v>1132</v>
      </c>
      <c r="G431" s="988">
        <v>187582000</v>
      </c>
      <c r="H431" s="916" t="s">
        <v>1340</v>
      </c>
      <c r="I431" s="916" t="s">
        <v>1340</v>
      </c>
      <c r="J431" s="916" t="s">
        <v>1328</v>
      </c>
      <c r="M431" s="990"/>
      <c r="R431" s="990"/>
    </row>
    <row r="432" spans="1:18" s="915" customFormat="1" hidden="1">
      <c r="A432" s="996">
        <v>3</v>
      </c>
      <c r="B432" s="996" t="s">
        <v>912</v>
      </c>
      <c r="C432" s="996" t="s">
        <v>873</v>
      </c>
      <c r="D432" s="996" t="s">
        <v>71</v>
      </c>
      <c r="E432" s="996" t="s">
        <v>806</v>
      </c>
      <c r="F432" s="996" t="s">
        <v>663</v>
      </c>
      <c r="G432" s="992">
        <v>60177000</v>
      </c>
      <c r="H432" s="74" t="s">
        <v>1346</v>
      </c>
      <c r="I432" s="74" t="s">
        <v>1340</v>
      </c>
      <c r="J432" s="74" t="s">
        <v>1328</v>
      </c>
      <c r="M432" s="989"/>
      <c r="R432" s="989"/>
    </row>
    <row r="433" spans="1:18" s="915" customFormat="1" hidden="1">
      <c r="A433" s="996">
        <v>3</v>
      </c>
      <c r="B433" s="996" t="s">
        <v>912</v>
      </c>
      <c r="C433" s="996" t="s">
        <v>873</v>
      </c>
      <c r="D433" s="996" t="s">
        <v>75</v>
      </c>
      <c r="E433" s="996" t="s">
        <v>799</v>
      </c>
      <c r="F433" s="996" t="s">
        <v>399</v>
      </c>
      <c r="G433" s="992">
        <v>8239000</v>
      </c>
      <c r="H433" s="74" t="s">
        <v>1346</v>
      </c>
      <c r="I433" s="74" t="s">
        <v>1340</v>
      </c>
      <c r="J433" s="74" t="s">
        <v>1328</v>
      </c>
      <c r="M433" s="989"/>
      <c r="R433" s="989"/>
    </row>
    <row r="434" spans="1:18" s="915" customFormat="1" hidden="1">
      <c r="A434" s="996">
        <v>3</v>
      </c>
      <c r="B434" s="996" t="s">
        <v>912</v>
      </c>
      <c r="C434" s="996" t="s">
        <v>873</v>
      </c>
      <c r="D434" s="996" t="s">
        <v>76</v>
      </c>
      <c r="E434" s="996" t="s">
        <v>800</v>
      </c>
      <c r="F434" s="996" t="s">
        <v>400</v>
      </c>
      <c r="G434" s="992">
        <v>13513000</v>
      </c>
      <c r="H434" s="74" t="s">
        <v>1346</v>
      </c>
      <c r="I434" s="74" t="s">
        <v>1340</v>
      </c>
      <c r="J434" s="74" t="s">
        <v>1328</v>
      </c>
      <c r="M434" s="989"/>
      <c r="R434" s="989"/>
    </row>
    <row r="435" spans="1:18" s="915" customFormat="1" hidden="1">
      <c r="A435" s="996">
        <v>3</v>
      </c>
      <c r="B435" s="996" t="s">
        <v>912</v>
      </c>
      <c r="C435" s="996" t="s">
        <v>873</v>
      </c>
      <c r="D435" s="996" t="s">
        <v>77</v>
      </c>
      <c r="E435" s="996" t="s">
        <v>809</v>
      </c>
      <c r="F435" s="996" t="s">
        <v>401</v>
      </c>
      <c r="G435" s="992">
        <v>27665000</v>
      </c>
      <c r="H435" s="74" t="s">
        <v>1346</v>
      </c>
      <c r="I435" s="74" t="s">
        <v>1340</v>
      </c>
      <c r="J435" s="74" t="s">
        <v>1328</v>
      </c>
      <c r="M435" s="989"/>
      <c r="R435" s="989"/>
    </row>
    <row r="436" spans="1:18" s="915" customFormat="1" hidden="1">
      <c r="A436" s="996">
        <v>3</v>
      </c>
      <c r="B436" s="996" t="s">
        <v>912</v>
      </c>
      <c r="C436" s="996" t="s">
        <v>873</v>
      </c>
      <c r="D436" s="996" t="s">
        <v>78</v>
      </c>
      <c r="E436" s="996" t="s">
        <v>810</v>
      </c>
      <c r="F436" s="996" t="s">
        <v>402</v>
      </c>
      <c r="G436" s="992">
        <v>25973000</v>
      </c>
      <c r="H436" s="74" t="s">
        <v>1346</v>
      </c>
      <c r="I436" s="74" t="s">
        <v>1340</v>
      </c>
      <c r="J436" s="74" t="s">
        <v>1328</v>
      </c>
      <c r="M436" s="989"/>
      <c r="R436" s="989"/>
    </row>
    <row r="437" spans="1:18" s="915" customFormat="1" hidden="1">
      <c r="A437" s="996">
        <v>3</v>
      </c>
      <c r="B437" s="996" t="s">
        <v>912</v>
      </c>
      <c r="C437" s="996" t="s">
        <v>873</v>
      </c>
      <c r="D437" s="996" t="s">
        <v>79</v>
      </c>
      <c r="E437" s="996" t="s">
        <v>801</v>
      </c>
      <c r="F437" s="996" t="s">
        <v>403</v>
      </c>
      <c r="G437" s="992">
        <v>4069000</v>
      </c>
      <c r="H437" s="74" t="s">
        <v>1346</v>
      </c>
      <c r="I437" s="74" t="s">
        <v>1340</v>
      </c>
      <c r="J437" s="74" t="s">
        <v>1328</v>
      </c>
      <c r="M437" s="989"/>
      <c r="R437" s="989"/>
    </row>
    <row r="438" spans="1:18" s="915" customFormat="1" hidden="1">
      <c r="A438" s="996">
        <v>3</v>
      </c>
      <c r="B438" s="996" t="s">
        <v>912</v>
      </c>
      <c r="C438" s="996" t="s">
        <v>873</v>
      </c>
      <c r="D438" s="996" t="s">
        <v>82</v>
      </c>
      <c r="E438" s="996" t="s">
        <v>811</v>
      </c>
      <c r="F438" s="996" t="s">
        <v>404</v>
      </c>
      <c r="G438" s="992">
        <v>30750000</v>
      </c>
      <c r="H438" s="74" t="s">
        <v>1346</v>
      </c>
      <c r="I438" s="74" t="s">
        <v>1340</v>
      </c>
      <c r="J438" s="74" t="s">
        <v>1328</v>
      </c>
      <c r="M438" s="989"/>
      <c r="R438" s="989"/>
    </row>
    <row r="439" spans="1:18" s="915" customFormat="1" hidden="1">
      <c r="A439" s="996">
        <v>3</v>
      </c>
      <c r="B439" s="996" t="s">
        <v>912</v>
      </c>
      <c r="C439" s="996" t="s">
        <v>873</v>
      </c>
      <c r="D439" s="996" t="s">
        <v>83</v>
      </c>
      <c r="E439" s="996" t="s">
        <v>812</v>
      </c>
      <c r="F439" s="996" t="s">
        <v>405</v>
      </c>
      <c r="G439" s="992">
        <v>1662000</v>
      </c>
      <c r="H439" s="74" t="s">
        <v>1346</v>
      </c>
      <c r="I439" s="74" t="s">
        <v>1340</v>
      </c>
      <c r="J439" s="74" t="s">
        <v>1328</v>
      </c>
      <c r="M439" s="989"/>
      <c r="R439" s="989"/>
    </row>
    <row r="440" spans="1:18" s="915" customFormat="1" hidden="1">
      <c r="A440" s="996">
        <v>3</v>
      </c>
      <c r="B440" s="996" t="s">
        <v>912</v>
      </c>
      <c r="C440" s="996" t="s">
        <v>873</v>
      </c>
      <c r="D440" s="996" t="s">
        <v>84</v>
      </c>
      <c r="E440" s="996" t="s">
        <v>813</v>
      </c>
      <c r="F440" s="996" t="s">
        <v>406</v>
      </c>
      <c r="G440" s="992">
        <v>4986000</v>
      </c>
      <c r="H440" s="74" t="s">
        <v>1346</v>
      </c>
      <c r="I440" s="74" t="s">
        <v>1340</v>
      </c>
      <c r="J440" s="74" t="s">
        <v>1328</v>
      </c>
      <c r="M440" s="989"/>
      <c r="R440" s="989"/>
    </row>
    <row r="441" spans="1:18" s="915" customFormat="1" hidden="1">
      <c r="A441" s="996">
        <v>3</v>
      </c>
      <c r="B441" s="996" t="s">
        <v>912</v>
      </c>
      <c r="C441" s="996" t="s">
        <v>873</v>
      </c>
      <c r="D441" s="996" t="s">
        <v>85</v>
      </c>
      <c r="E441" s="996" t="s">
        <v>814</v>
      </c>
      <c r="F441" s="996" t="s">
        <v>407</v>
      </c>
      <c r="G441" s="992">
        <v>16622000</v>
      </c>
      <c r="H441" s="74" t="s">
        <v>1346</v>
      </c>
      <c r="I441" s="74" t="s">
        <v>1340</v>
      </c>
      <c r="J441" s="74" t="s">
        <v>1328</v>
      </c>
      <c r="M441" s="989"/>
      <c r="R441" s="989"/>
    </row>
    <row r="442" spans="1:18" s="915" customFormat="1" hidden="1">
      <c r="A442" s="996">
        <v>3</v>
      </c>
      <c r="B442" s="996" t="s">
        <v>912</v>
      </c>
      <c r="C442" s="996" t="s">
        <v>873</v>
      </c>
      <c r="D442" s="996" t="s">
        <v>86</v>
      </c>
      <c r="E442" s="996" t="s">
        <v>815</v>
      </c>
      <c r="F442" s="996" t="s">
        <v>408</v>
      </c>
      <c r="G442" s="992">
        <v>1662000</v>
      </c>
      <c r="H442" s="74" t="s">
        <v>1346</v>
      </c>
      <c r="I442" s="74" t="s">
        <v>1340</v>
      </c>
      <c r="J442" s="74" t="s">
        <v>1328</v>
      </c>
      <c r="M442" s="989"/>
      <c r="R442" s="989"/>
    </row>
    <row r="443" spans="1:18" s="915" customFormat="1" hidden="1">
      <c r="A443" s="996">
        <v>3</v>
      </c>
      <c r="B443" s="996" t="s">
        <v>912</v>
      </c>
      <c r="C443" s="996" t="s">
        <v>873</v>
      </c>
      <c r="D443" s="996" t="s">
        <v>425</v>
      </c>
      <c r="E443" s="996" t="s">
        <v>816</v>
      </c>
      <c r="F443" s="996" t="s">
        <v>945</v>
      </c>
      <c r="G443" s="992">
        <v>18018000</v>
      </c>
      <c r="H443" s="74" t="s">
        <v>1346</v>
      </c>
      <c r="I443" s="74" t="s">
        <v>1340</v>
      </c>
      <c r="J443" s="74" t="s">
        <v>1328</v>
      </c>
      <c r="M443" s="989"/>
      <c r="R443" s="989"/>
    </row>
    <row r="444" spans="1:18" hidden="1">
      <c r="A444" s="996">
        <v>3</v>
      </c>
      <c r="B444" s="996" t="s">
        <v>912</v>
      </c>
      <c r="C444" s="996" t="s">
        <v>873</v>
      </c>
      <c r="D444" s="996" t="s">
        <v>89</v>
      </c>
      <c r="E444" s="996" t="s">
        <v>817</v>
      </c>
      <c r="F444" s="996" t="s">
        <v>409</v>
      </c>
      <c r="G444" s="992">
        <v>9973000</v>
      </c>
      <c r="H444" s="74" t="s">
        <v>1346</v>
      </c>
      <c r="I444" s="74" t="s">
        <v>1340</v>
      </c>
      <c r="J444" s="74" t="s">
        <v>1328</v>
      </c>
    </row>
    <row r="445" spans="1:18" hidden="1">
      <c r="A445" s="996">
        <v>3</v>
      </c>
      <c r="B445" s="996" t="s">
        <v>912</v>
      </c>
      <c r="C445" s="996" t="s">
        <v>873</v>
      </c>
      <c r="D445" s="996" t="s">
        <v>90</v>
      </c>
      <c r="E445" s="996" t="s">
        <v>818</v>
      </c>
      <c r="F445" s="996" t="s">
        <v>714</v>
      </c>
      <c r="G445" s="992">
        <v>4986000</v>
      </c>
      <c r="H445" s="74" t="s">
        <v>1346</v>
      </c>
      <c r="I445" s="74" t="s">
        <v>1340</v>
      </c>
      <c r="J445" s="74" t="s">
        <v>1328</v>
      </c>
    </row>
    <row r="446" spans="1:18" hidden="1">
      <c r="A446" s="996">
        <v>3</v>
      </c>
      <c r="B446" s="996" t="s">
        <v>912</v>
      </c>
      <c r="C446" s="996" t="s">
        <v>874</v>
      </c>
      <c r="D446" s="996" t="s">
        <v>94</v>
      </c>
      <c r="E446" s="996" t="s">
        <v>819</v>
      </c>
      <c r="F446" s="996" t="s">
        <v>977</v>
      </c>
      <c r="G446" s="992">
        <v>8364000</v>
      </c>
      <c r="H446" s="74" t="s">
        <v>1346</v>
      </c>
      <c r="I446" s="74" t="s">
        <v>1340</v>
      </c>
      <c r="J446" s="74" t="s">
        <v>1328</v>
      </c>
    </row>
    <row r="447" spans="1:18" hidden="1">
      <c r="A447" s="996">
        <v>3</v>
      </c>
      <c r="B447" s="996" t="s">
        <v>912</v>
      </c>
      <c r="C447" s="996" t="s">
        <v>874</v>
      </c>
      <c r="D447" s="996" t="s">
        <v>103</v>
      </c>
      <c r="E447" s="996" t="s">
        <v>821</v>
      </c>
      <c r="F447" s="996" t="s">
        <v>978</v>
      </c>
      <c r="G447" s="992">
        <v>360000</v>
      </c>
      <c r="H447" s="74" t="s">
        <v>1346</v>
      </c>
      <c r="I447" s="74" t="s">
        <v>1340</v>
      </c>
      <c r="J447" s="74" t="s">
        <v>1328</v>
      </c>
    </row>
    <row r="448" spans="1:18" hidden="1">
      <c r="A448" s="996">
        <v>3</v>
      </c>
      <c r="B448" s="996" t="s">
        <v>912</v>
      </c>
      <c r="C448" s="996" t="s">
        <v>874</v>
      </c>
      <c r="D448" s="996" t="s">
        <v>105</v>
      </c>
      <c r="E448" s="996" t="s">
        <v>822</v>
      </c>
      <c r="F448" s="996" t="s">
        <v>979</v>
      </c>
      <c r="G448" s="992">
        <v>1130000</v>
      </c>
      <c r="H448" s="74" t="s">
        <v>1346</v>
      </c>
      <c r="I448" s="74" t="s">
        <v>1340</v>
      </c>
      <c r="J448" s="74" t="s">
        <v>1328</v>
      </c>
    </row>
    <row r="449" spans="1:10" hidden="1">
      <c r="A449" s="996">
        <v>3</v>
      </c>
      <c r="B449" s="996" t="s">
        <v>912</v>
      </c>
      <c r="C449" s="996" t="s">
        <v>874</v>
      </c>
      <c r="D449" s="996" t="s">
        <v>286</v>
      </c>
      <c r="E449" s="996" t="s">
        <v>980</v>
      </c>
      <c r="F449" s="996" t="s">
        <v>1133</v>
      </c>
      <c r="G449" s="992">
        <v>586000</v>
      </c>
      <c r="H449" s="74" t="s">
        <v>1346</v>
      </c>
      <c r="I449" s="74" t="s">
        <v>1340</v>
      </c>
      <c r="J449" s="74" t="s">
        <v>1328</v>
      </c>
    </row>
    <row r="450" spans="1:10" hidden="1">
      <c r="A450" s="996">
        <v>3</v>
      </c>
      <c r="B450" s="996" t="s">
        <v>912</v>
      </c>
      <c r="C450" s="996" t="s">
        <v>874</v>
      </c>
      <c r="D450" s="996" t="s">
        <v>286</v>
      </c>
      <c r="E450" s="996" t="s">
        <v>980</v>
      </c>
      <c r="F450" s="996" t="s">
        <v>1134</v>
      </c>
      <c r="G450" s="992">
        <v>2900000</v>
      </c>
      <c r="H450" s="74" t="s">
        <v>1346</v>
      </c>
      <c r="I450" s="74" t="s">
        <v>1340</v>
      </c>
      <c r="J450" s="74" t="s">
        <v>1328</v>
      </c>
    </row>
    <row r="451" spans="1:10" hidden="1">
      <c r="A451" s="996">
        <v>3</v>
      </c>
      <c r="B451" s="996" t="s">
        <v>912</v>
      </c>
      <c r="C451" s="996" t="s">
        <v>874</v>
      </c>
      <c r="D451" s="996" t="s">
        <v>115</v>
      </c>
      <c r="E451" s="996" t="s">
        <v>827</v>
      </c>
      <c r="F451" s="996" t="s">
        <v>1135</v>
      </c>
      <c r="G451" s="992">
        <v>3000000</v>
      </c>
      <c r="H451" s="74" t="s">
        <v>1346</v>
      </c>
      <c r="I451" s="74" t="s">
        <v>1340</v>
      </c>
      <c r="J451" s="74" t="s">
        <v>1328</v>
      </c>
    </row>
    <row r="452" spans="1:10" hidden="1">
      <c r="A452" s="996">
        <v>3</v>
      </c>
      <c r="B452" s="996" t="s">
        <v>912</v>
      </c>
      <c r="C452" s="996" t="s">
        <v>874</v>
      </c>
      <c r="D452" s="996" t="s">
        <v>125</v>
      </c>
      <c r="E452" s="996" t="s">
        <v>833</v>
      </c>
      <c r="F452" s="996" t="s">
        <v>1136</v>
      </c>
      <c r="G452" s="992">
        <v>1700000</v>
      </c>
      <c r="H452" s="74" t="s">
        <v>1346</v>
      </c>
      <c r="I452" s="74" t="s">
        <v>1340</v>
      </c>
      <c r="J452" s="74" t="s">
        <v>1328</v>
      </c>
    </row>
    <row r="453" spans="1:10" hidden="1">
      <c r="A453" s="996">
        <v>3</v>
      </c>
      <c r="B453" s="996" t="s">
        <v>912</v>
      </c>
      <c r="C453" s="996" t="s">
        <v>874</v>
      </c>
      <c r="D453" s="996" t="s">
        <v>125</v>
      </c>
      <c r="E453" s="996" t="s">
        <v>833</v>
      </c>
      <c r="F453" s="996" t="s">
        <v>1137</v>
      </c>
      <c r="G453" s="992">
        <v>2766000</v>
      </c>
      <c r="H453" s="74" t="s">
        <v>1346</v>
      </c>
      <c r="I453" s="74" t="s">
        <v>1340</v>
      </c>
      <c r="J453" s="74" t="s">
        <v>1328</v>
      </c>
    </row>
    <row r="454" spans="1:10" hidden="1">
      <c r="A454" s="996">
        <v>1</v>
      </c>
      <c r="B454" s="996" t="s">
        <v>1081</v>
      </c>
      <c r="C454" s="996" t="s">
        <v>874</v>
      </c>
      <c r="D454" s="996" t="s">
        <v>131</v>
      </c>
      <c r="E454" s="996" t="s">
        <v>835</v>
      </c>
      <c r="F454" s="996" t="s">
        <v>1138</v>
      </c>
      <c r="G454" s="997">
        <v>50000</v>
      </c>
      <c r="H454" s="74" t="s">
        <v>448</v>
      </c>
      <c r="I454" s="74" t="s">
        <v>1339</v>
      </c>
      <c r="J454" s="74" t="s">
        <v>1328</v>
      </c>
    </row>
    <row r="455" spans="1:10" hidden="1">
      <c r="A455" s="996">
        <v>3</v>
      </c>
      <c r="B455" s="996" t="s">
        <v>912</v>
      </c>
      <c r="C455" s="996" t="s">
        <v>874</v>
      </c>
      <c r="D455" s="996" t="s">
        <v>131</v>
      </c>
      <c r="E455" s="996" t="s">
        <v>835</v>
      </c>
      <c r="F455" s="996" t="s">
        <v>1139</v>
      </c>
      <c r="G455" s="992">
        <v>1000000</v>
      </c>
      <c r="H455" s="74" t="s">
        <v>1346</v>
      </c>
      <c r="I455" s="74" t="s">
        <v>1340</v>
      </c>
      <c r="J455" s="74" t="s">
        <v>1328</v>
      </c>
    </row>
    <row r="456" spans="1:10">
      <c r="A456" s="996">
        <v>3</v>
      </c>
      <c r="B456" s="996" t="s">
        <v>912</v>
      </c>
      <c r="C456" s="996" t="s">
        <v>874</v>
      </c>
      <c r="D456" s="996" t="s">
        <v>133</v>
      </c>
      <c r="E456" s="996" t="s">
        <v>836</v>
      </c>
      <c r="F456" s="996" t="s">
        <v>1422</v>
      </c>
      <c r="G456" s="992">
        <v>127558816</v>
      </c>
      <c r="H456" s="74" t="s">
        <v>1346</v>
      </c>
      <c r="I456" s="74" t="s">
        <v>1340</v>
      </c>
      <c r="J456" s="74" t="s">
        <v>1328</v>
      </c>
    </row>
    <row r="457" spans="1:10" hidden="1">
      <c r="A457" s="996">
        <v>3</v>
      </c>
      <c r="B457" s="996" t="s">
        <v>912</v>
      </c>
      <c r="C457" s="996" t="s">
        <v>874</v>
      </c>
      <c r="D457" s="996" t="s">
        <v>134</v>
      </c>
      <c r="E457" s="996" t="s">
        <v>837</v>
      </c>
      <c r="F457" s="996" t="s">
        <v>1140</v>
      </c>
      <c r="G457" s="992">
        <v>450000</v>
      </c>
      <c r="H457" s="74" t="s">
        <v>1346</v>
      </c>
      <c r="I457" s="74" t="s">
        <v>1340</v>
      </c>
      <c r="J457" s="74" t="s">
        <v>1328</v>
      </c>
    </row>
    <row r="458" spans="1:10" hidden="1">
      <c r="A458" s="996">
        <v>3</v>
      </c>
      <c r="B458" s="996" t="s">
        <v>912</v>
      </c>
      <c r="C458" s="996" t="s">
        <v>874</v>
      </c>
      <c r="D458" s="996" t="s">
        <v>136</v>
      </c>
      <c r="E458" s="996" t="s">
        <v>838</v>
      </c>
      <c r="F458" s="996" t="s">
        <v>1141</v>
      </c>
      <c r="G458" s="992">
        <v>800000</v>
      </c>
      <c r="H458" s="74" t="s">
        <v>1346</v>
      </c>
      <c r="I458" s="74" t="s">
        <v>1340</v>
      </c>
      <c r="J458" s="74" t="s">
        <v>1328</v>
      </c>
    </row>
    <row r="459" spans="1:10" hidden="1">
      <c r="A459" s="996">
        <v>3</v>
      </c>
      <c r="B459" s="996" t="s">
        <v>906</v>
      </c>
      <c r="C459" s="996" t="s">
        <v>874</v>
      </c>
      <c r="D459" s="996" t="s">
        <v>138</v>
      </c>
      <c r="E459" s="996" t="s">
        <v>985</v>
      </c>
      <c r="F459" s="996" t="s">
        <v>1142</v>
      </c>
      <c r="G459" s="997">
        <v>1875000</v>
      </c>
      <c r="H459" s="74" t="s">
        <v>448</v>
      </c>
      <c r="I459" s="74" t="s">
        <v>1339</v>
      </c>
      <c r="J459" s="74" t="s">
        <v>1328</v>
      </c>
    </row>
    <row r="460" spans="1:10" hidden="1">
      <c r="A460" s="996">
        <v>3</v>
      </c>
      <c r="B460" s="996" t="s">
        <v>906</v>
      </c>
      <c r="C460" s="996" t="s">
        <v>874</v>
      </c>
      <c r="D460" s="996" t="s">
        <v>138</v>
      </c>
      <c r="E460" s="996" t="s">
        <v>985</v>
      </c>
      <c r="F460" s="996" t="s">
        <v>1143</v>
      </c>
      <c r="G460" s="997">
        <v>14350000</v>
      </c>
      <c r="H460" s="74" t="s">
        <v>448</v>
      </c>
      <c r="I460" s="74" t="s">
        <v>1339</v>
      </c>
      <c r="J460" s="74" t="s">
        <v>1328</v>
      </c>
    </row>
    <row r="461" spans="1:10" hidden="1">
      <c r="A461" s="996">
        <v>3</v>
      </c>
      <c r="B461" s="996" t="s">
        <v>912</v>
      </c>
      <c r="C461" s="996" t="s">
        <v>874</v>
      </c>
      <c r="D461" s="996" t="s">
        <v>138</v>
      </c>
      <c r="E461" s="996" t="s">
        <v>985</v>
      </c>
      <c r="F461" s="996" t="s">
        <v>1144</v>
      </c>
      <c r="G461" s="992">
        <v>3096000</v>
      </c>
      <c r="H461" s="74" t="s">
        <v>1346</v>
      </c>
      <c r="I461" s="74" t="s">
        <v>1340</v>
      </c>
      <c r="J461" s="74" t="s">
        <v>1328</v>
      </c>
    </row>
    <row r="462" spans="1:10" hidden="1">
      <c r="A462" s="996">
        <v>3</v>
      </c>
      <c r="B462" s="996" t="s">
        <v>912</v>
      </c>
      <c r="C462" s="996" t="s">
        <v>874</v>
      </c>
      <c r="D462" s="996" t="s">
        <v>142</v>
      </c>
      <c r="E462" s="996" t="s">
        <v>839</v>
      </c>
      <c r="F462" s="996" t="s">
        <v>913</v>
      </c>
      <c r="G462" s="992">
        <v>8500000</v>
      </c>
      <c r="H462" s="74" t="s">
        <v>1346</v>
      </c>
      <c r="I462" s="74" t="s">
        <v>1340</v>
      </c>
      <c r="J462" s="74" t="s">
        <v>1328</v>
      </c>
    </row>
    <row r="463" spans="1:10" hidden="1">
      <c r="A463" s="996">
        <v>3</v>
      </c>
      <c r="B463" s="996" t="s">
        <v>912</v>
      </c>
      <c r="C463" s="996" t="s">
        <v>888</v>
      </c>
      <c r="D463" s="996" t="s">
        <v>294</v>
      </c>
      <c r="E463" s="996" t="s">
        <v>866</v>
      </c>
      <c r="F463" s="996" t="s">
        <v>1145</v>
      </c>
      <c r="G463" s="992">
        <v>2500000</v>
      </c>
      <c r="H463" s="74" t="s">
        <v>1346</v>
      </c>
      <c r="I463" s="74" t="s">
        <v>1340</v>
      </c>
      <c r="J463" s="74" t="s">
        <v>1328</v>
      </c>
    </row>
    <row r="464" spans="1:10" hidden="1">
      <c r="A464" s="996">
        <v>3</v>
      </c>
      <c r="B464" s="996" t="s">
        <v>914</v>
      </c>
      <c r="C464" s="996" t="s">
        <v>873</v>
      </c>
      <c r="D464" s="996" t="s">
        <v>67</v>
      </c>
      <c r="E464" s="996" t="s">
        <v>803</v>
      </c>
      <c r="F464" s="996" t="s">
        <v>989</v>
      </c>
      <c r="G464" s="987">
        <v>86353000</v>
      </c>
      <c r="H464" s="74" t="s">
        <v>1340</v>
      </c>
      <c r="I464" s="74" t="s">
        <v>1340</v>
      </c>
      <c r="J464" s="74" t="s">
        <v>1328</v>
      </c>
    </row>
    <row r="465" spans="1:18" hidden="1">
      <c r="A465" s="996">
        <v>3</v>
      </c>
      <c r="B465" s="996" t="s">
        <v>914</v>
      </c>
      <c r="C465" s="996" t="s">
        <v>873</v>
      </c>
      <c r="D465" s="996" t="s">
        <v>71</v>
      </c>
      <c r="E465" s="996" t="s">
        <v>806</v>
      </c>
      <c r="F465" s="996" t="s">
        <v>663</v>
      </c>
      <c r="G465" s="987">
        <v>3219000</v>
      </c>
      <c r="H465" s="74" t="s">
        <v>1340</v>
      </c>
      <c r="I465" s="74" t="s">
        <v>1340</v>
      </c>
      <c r="J465" s="74" t="s">
        <v>1328</v>
      </c>
    </row>
    <row r="466" spans="1:18" hidden="1">
      <c r="A466" s="996">
        <v>3</v>
      </c>
      <c r="B466" s="996" t="s">
        <v>914</v>
      </c>
      <c r="C466" s="996" t="s">
        <v>873</v>
      </c>
      <c r="D466" s="996" t="s">
        <v>75</v>
      </c>
      <c r="E466" s="996" t="s">
        <v>799</v>
      </c>
      <c r="F466" s="996" t="s">
        <v>399</v>
      </c>
      <c r="G466" s="987">
        <v>21337000</v>
      </c>
      <c r="H466" s="74" t="s">
        <v>1340</v>
      </c>
      <c r="I466" s="74" t="s">
        <v>1340</v>
      </c>
      <c r="J466" s="74" t="s">
        <v>1328</v>
      </c>
    </row>
    <row r="467" spans="1:18" hidden="1">
      <c r="A467" s="996">
        <v>3</v>
      </c>
      <c r="B467" s="996" t="s">
        <v>914</v>
      </c>
      <c r="C467" s="996" t="s">
        <v>873</v>
      </c>
      <c r="D467" s="996" t="s">
        <v>76</v>
      </c>
      <c r="E467" s="996" t="s">
        <v>800</v>
      </c>
      <c r="F467" s="996" t="s">
        <v>400</v>
      </c>
      <c r="G467" s="987">
        <v>13192000</v>
      </c>
      <c r="H467" s="74" t="s">
        <v>1340</v>
      </c>
      <c r="I467" s="74" t="s">
        <v>1340</v>
      </c>
      <c r="J467" s="74" t="s">
        <v>1328</v>
      </c>
    </row>
    <row r="468" spans="1:18" hidden="1">
      <c r="A468" s="996">
        <v>3</v>
      </c>
      <c r="B468" s="996" t="s">
        <v>914</v>
      </c>
      <c r="C468" s="996" t="s">
        <v>873</v>
      </c>
      <c r="D468" s="996" t="s">
        <v>77</v>
      </c>
      <c r="E468" s="996" t="s">
        <v>809</v>
      </c>
      <c r="F468" s="996" t="s">
        <v>401</v>
      </c>
      <c r="G468" s="987">
        <v>11769000</v>
      </c>
      <c r="H468" s="74" t="s">
        <v>1340</v>
      </c>
      <c r="I468" s="74" t="s">
        <v>1340</v>
      </c>
      <c r="J468" s="74" t="s">
        <v>1328</v>
      </c>
    </row>
    <row r="469" spans="1:18" hidden="1">
      <c r="A469" s="996">
        <v>3</v>
      </c>
      <c r="B469" s="996" t="s">
        <v>914</v>
      </c>
      <c r="C469" s="996" t="s">
        <v>873</v>
      </c>
      <c r="D469" s="996" t="s">
        <v>78</v>
      </c>
      <c r="E469" s="996" t="s">
        <v>810</v>
      </c>
      <c r="F469" s="996" t="s">
        <v>402</v>
      </c>
      <c r="G469" s="987">
        <v>11165000</v>
      </c>
      <c r="H469" s="74" t="s">
        <v>1340</v>
      </c>
      <c r="I469" s="74" t="s">
        <v>1340</v>
      </c>
      <c r="J469" s="74" t="s">
        <v>1328</v>
      </c>
    </row>
    <row r="470" spans="1:18" hidden="1">
      <c r="A470" s="996">
        <v>3</v>
      </c>
      <c r="B470" s="996" t="s">
        <v>914</v>
      </c>
      <c r="C470" s="996" t="s">
        <v>873</v>
      </c>
      <c r="D470" s="996" t="s">
        <v>79</v>
      </c>
      <c r="E470" s="996" t="s">
        <v>801</v>
      </c>
      <c r="F470" s="996" t="s">
        <v>403</v>
      </c>
      <c r="G470" s="987">
        <v>6264000</v>
      </c>
      <c r="H470" s="74" t="s">
        <v>1340</v>
      </c>
      <c r="I470" s="74" t="s">
        <v>1340</v>
      </c>
      <c r="J470" s="74" t="s">
        <v>1328</v>
      </c>
    </row>
    <row r="471" spans="1:18" hidden="1">
      <c r="A471" s="996">
        <v>3</v>
      </c>
      <c r="B471" s="996" t="s">
        <v>914</v>
      </c>
      <c r="C471" s="996" t="s">
        <v>873</v>
      </c>
      <c r="D471" s="996" t="s">
        <v>82</v>
      </c>
      <c r="E471" s="996" t="s">
        <v>811</v>
      </c>
      <c r="F471" s="996" t="s">
        <v>404</v>
      </c>
      <c r="G471" s="987">
        <v>13091000</v>
      </c>
      <c r="H471" s="74" t="s">
        <v>1340</v>
      </c>
      <c r="I471" s="74" t="s">
        <v>1340</v>
      </c>
      <c r="J471" s="74" t="s">
        <v>1328</v>
      </c>
    </row>
    <row r="472" spans="1:18" hidden="1">
      <c r="A472" s="996">
        <v>3</v>
      </c>
      <c r="B472" s="996" t="s">
        <v>914</v>
      </c>
      <c r="C472" s="996" t="s">
        <v>873</v>
      </c>
      <c r="D472" s="996" t="s">
        <v>83</v>
      </c>
      <c r="E472" s="996" t="s">
        <v>812</v>
      </c>
      <c r="F472" s="996" t="s">
        <v>405</v>
      </c>
      <c r="G472" s="987">
        <v>708000</v>
      </c>
      <c r="H472" s="74" t="s">
        <v>1340</v>
      </c>
      <c r="I472" s="74" t="s">
        <v>1340</v>
      </c>
      <c r="J472" s="74" t="s">
        <v>1328</v>
      </c>
    </row>
    <row r="473" spans="1:18" hidden="1">
      <c r="A473" s="996">
        <v>3</v>
      </c>
      <c r="B473" s="996" t="s">
        <v>914</v>
      </c>
      <c r="C473" s="996" t="s">
        <v>873</v>
      </c>
      <c r="D473" s="996" t="s">
        <v>84</v>
      </c>
      <c r="E473" s="996" t="s">
        <v>813</v>
      </c>
      <c r="F473" s="996" t="s">
        <v>406</v>
      </c>
      <c r="G473" s="987">
        <v>2123000</v>
      </c>
      <c r="H473" s="74" t="s">
        <v>1340</v>
      </c>
      <c r="I473" s="74" t="s">
        <v>1340</v>
      </c>
      <c r="J473" s="74" t="s">
        <v>1328</v>
      </c>
    </row>
    <row r="474" spans="1:18" hidden="1">
      <c r="A474" s="996">
        <v>3</v>
      </c>
      <c r="B474" s="996" t="s">
        <v>914</v>
      </c>
      <c r="C474" s="996" t="s">
        <v>873</v>
      </c>
      <c r="D474" s="996" t="s">
        <v>85</v>
      </c>
      <c r="E474" s="996" t="s">
        <v>814</v>
      </c>
      <c r="F474" s="996" t="s">
        <v>407</v>
      </c>
      <c r="G474" s="987">
        <v>7076000</v>
      </c>
      <c r="H474" s="74" t="s">
        <v>1340</v>
      </c>
      <c r="I474" s="74" t="s">
        <v>1340</v>
      </c>
      <c r="J474" s="74" t="s">
        <v>1328</v>
      </c>
    </row>
    <row r="475" spans="1:18" hidden="1">
      <c r="A475" s="996">
        <v>3</v>
      </c>
      <c r="B475" s="996" t="s">
        <v>914</v>
      </c>
      <c r="C475" s="996" t="s">
        <v>873</v>
      </c>
      <c r="D475" s="996" t="s">
        <v>86</v>
      </c>
      <c r="E475" s="996" t="s">
        <v>815</v>
      </c>
      <c r="F475" s="996" t="s">
        <v>408</v>
      </c>
      <c r="G475" s="987">
        <v>708000</v>
      </c>
      <c r="H475" s="74" t="s">
        <v>1340</v>
      </c>
      <c r="I475" s="74" t="s">
        <v>1340</v>
      </c>
      <c r="J475" s="74" t="s">
        <v>1328</v>
      </c>
    </row>
    <row r="476" spans="1:18" hidden="1">
      <c r="A476" s="996">
        <v>3</v>
      </c>
      <c r="B476" s="996" t="s">
        <v>914</v>
      </c>
      <c r="C476" s="996" t="s">
        <v>873</v>
      </c>
      <c r="D476" s="996" t="s">
        <v>425</v>
      </c>
      <c r="E476" s="996" t="s">
        <v>816</v>
      </c>
      <c r="F476" s="996" t="s">
        <v>945</v>
      </c>
      <c r="G476" s="987">
        <v>7671000</v>
      </c>
      <c r="H476" s="74" t="s">
        <v>1340</v>
      </c>
      <c r="I476" s="74" t="s">
        <v>1340</v>
      </c>
      <c r="J476" s="74" t="s">
        <v>1328</v>
      </c>
    </row>
    <row r="477" spans="1:18" hidden="1">
      <c r="A477" s="996">
        <v>3</v>
      </c>
      <c r="B477" s="996" t="s">
        <v>914</v>
      </c>
      <c r="C477" s="996" t="s">
        <v>873</v>
      </c>
      <c r="D477" s="996" t="s">
        <v>89</v>
      </c>
      <c r="E477" s="996" t="s">
        <v>817</v>
      </c>
      <c r="F477" s="996" t="s">
        <v>409</v>
      </c>
      <c r="G477" s="987">
        <v>4246000</v>
      </c>
      <c r="H477" s="74" t="s">
        <v>1340</v>
      </c>
      <c r="I477" s="74" t="s">
        <v>1340</v>
      </c>
      <c r="J477" s="74" t="s">
        <v>1328</v>
      </c>
    </row>
    <row r="478" spans="1:18" hidden="1">
      <c r="A478" s="996">
        <v>3</v>
      </c>
      <c r="B478" s="996" t="s">
        <v>914</v>
      </c>
      <c r="C478" s="996" t="s">
        <v>873</v>
      </c>
      <c r="D478" s="996" t="s">
        <v>90</v>
      </c>
      <c r="E478" s="996" t="s">
        <v>818</v>
      </c>
      <c r="F478" s="996" t="s">
        <v>714</v>
      </c>
      <c r="G478" s="987">
        <v>2123000</v>
      </c>
      <c r="H478" s="74" t="s">
        <v>1340</v>
      </c>
      <c r="I478" s="74" t="s">
        <v>1340</v>
      </c>
      <c r="J478" s="74" t="s">
        <v>1328</v>
      </c>
    </row>
    <row r="479" spans="1:18" hidden="1">
      <c r="A479" s="996">
        <v>3</v>
      </c>
      <c r="B479" s="996" t="s">
        <v>914</v>
      </c>
      <c r="C479" s="996" t="s">
        <v>874</v>
      </c>
      <c r="D479" s="996" t="s">
        <v>286</v>
      </c>
      <c r="E479" s="996" t="s">
        <v>980</v>
      </c>
      <c r="F479" s="996" t="s">
        <v>1146</v>
      </c>
      <c r="G479" s="997">
        <v>1580000</v>
      </c>
      <c r="H479" s="74" t="s">
        <v>448</v>
      </c>
      <c r="I479" s="74" t="s">
        <v>1339</v>
      </c>
      <c r="J479" s="74" t="s">
        <v>1328</v>
      </c>
    </row>
    <row r="480" spans="1:18" s="915" customFormat="1">
      <c r="A480" s="996">
        <v>3</v>
      </c>
      <c r="B480" s="996" t="s">
        <v>914</v>
      </c>
      <c r="C480" s="996" t="s">
        <v>874</v>
      </c>
      <c r="D480" s="996" t="s">
        <v>133</v>
      </c>
      <c r="E480" s="996" t="s">
        <v>836</v>
      </c>
      <c r="F480" s="996" t="s">
        <v>1147</v>
      </c>
      <c r="G480" s="997">
        <v>250000</v>
      </c>
      <c r="H480" s="74" t="s">
        <v>448</v>
      </c>
      <c r="I480" s="74" t="s">
        <v>1339</v>
      </c>
      <c r="J480" s="74" t="s">
        <v>1328</v>
      </c>
      <c r="M480" s="989"/>
      <c r="R480" s="989"/>
    </row>
    <row r="481" spans="1:18" s="915" customFormat="1" hidden="1">
      <c r="A481" s="996">
        <v>3</v>
      </c>
      <c r="B481" s="996" t="s">
        <v>914</v>
      </c>
      <c r="C481" s="996" t="s">
        <v>874</v>
      </c>
      <c r="D481" s="996" t="s">
        <v>134</v>
      </c>
      <c r="E481" s="996" t="s">
        <v>837</v>
      </c>
      <c r="F481" s="996" t="s">
        <v>1148</v>
      </c>
      <c r="G481" s="997">
        <v>350000</v>
      </c>
      <c r="H481" s="74" t="s">
        <v>448</v>
      </c>
      <c r="I481" s="74" t="s">
        <v>1339</v>
      </c>
      <c r="J481" s="74" t="s">
        <v>1328</v>
      </c>
      <c r="M481" s="989"/>
      <c r="R481" s="989"/>
    </row>
    <row r="482" spans="1:18" s="915" customFormat="1" hidden="1">
      <c r="A482" s="996">
        <v>3</v>
      </c>
      <c r="B482" s="996" t="s">
        <v>914</v>
      </c>
      <c r="C482" s="996" t="s">
        <v>874</v>
      </c>
      <c r="D482" s="996" t="s">
        <v>136</v>
      </c>
      <c r="E482" s="996" t="s">
        <v>838</v>
      </c>
      <c r="F482" s="996" t="s">
        <v>1149</v>
      </c>
      <c r="G482" s="997">
        <v>450000</v>
      </c>
      <c r="H482" s="74" t="s">
        <v>448</v>
      </c>
      <c r="I482" s="74" t="s">
        <v>1339</v>
      </c>
      <c r="J482" s="74" t="s">
        <v>1328</v>
      </c>
      <c r="M482" s="989"/>
      <c r="R482" s="989"/>
    </row>
    <row r="483" spans="1:18" s="915" customFormat="1" hidden="1">
      <c r="A483" s="996">
        <v>3</v>
      </c>
      <c r="B483" s="996" t="s">
        <v>914</v>
      </c>
      <c r="C483" s="996" t="s">
        <v>874</v>
      </c>
      <c r="D483" s="996" t="s">
        <v>138</v>
      </c>
      <c r="E483" s="996" t="s">
        <v>985</v>
      </c>
      <c r="F483" s="996" t="s">
        <v>1150</v>
      </c>
      <c r="G483" s="997">
        <v>1318000</v>
      </c>
      <c r="H483" s="74" t="s">
        <v>448</v>
      </c>
      <c r="I483" s="74" t="s">
        <v>1339</v>
      </c>
      <c r="J483" s="74" t="s">
        <v>1328</v>
      </c>
      <c r="M483" s="989"/>
      <c r="R483" s="989"/>
    </row>
    <row r="484" spans="1:18" s="915" customFormat="1" hidden="1">
      <c r="A484" s="996">
        <v>3</v>
      </c>
      <c r="B484" s="996" t="s">
        <v>914</v>
      </c>
      <c r="C484" s="996" t="s">
        <v>874</v>
      </c>
      <c r="D484" s="996" t="s">
        <v>142</v>
      </c>
      <c r="E484" s="996" t="s">
        <v>839</v>
      </c>
      <c r="F484" s="996" t="s">
        <v>1151</v>
      </c>
      <c r="G484" s="997">
        <v>1000000</v>
      </c>
      <c r="H484" s="74" t="s">
        <v>448</v>
      </c>
      <c r="I484" s="74" t="s">
        <v>1339</v>
      </c>
      <c r="J484" s="74" t="s">
        <v>1328</v>
      </c>
      <c r="M484" s="989"/>
      <c r="R484" s="989"/>
    </row>
    <row r="485" spans="1:18" s="915" customFormat="1" hidden="1">
      <c r="A485" s="996">
        <v>3</v>
      </c>
      <c r="B485" s="996" t="s">
        <v>915</v>
      </c>
      <c r="C485" s="996" t="s">
        <v>873</v>
      </c>
      <c r="D485" s="996" t="s">
        <v>67</v>
      </c>
      <c r="E485" s="996" t="s">
        <v>803</v>
      </c>
      <c r="F485" s="996" t="s">
        <v>989</v>
      </c>
      <c r="G485" s="987">
        <v>308930000</v>
      </c>
      <c r="H485" s="74" t="s">
        <v>1340</v>
      </c>
      <c r="I485" s="74" t="s">
        <v>1340</v>
      </c>
      <c r="J485" s="74" t="s">
        <v>1328</v>
      </c>
      <c r="M485" s="989"/>
      <c r="R485" s="989"/>
    </row>
    <row r="486" spans="1:18" s="1164" customFormat="1" hidden="1">
      <c r="A486" s="916">
        <v>3</v>
      </c>
      <c r="B486" s="916" t="s">
        <v>915</v>
      </c>
      <c r="C486" s="916" t="s">
        <v>873</v>
      </c>
      <c r="D486" s="916" t="s">
        <v>68</v>
      </c>
      <c r="E486" s="916" t="s">
        <v>804</v>
      </c>
      <c r="F486" s="916" t="s">
        <v>1132</v>
      </c>
      <c r="G486" s="988">
        <v>10115000</v>
      </c>
      <c r="H486" s="916" t="s">
        <v>1340</v>
      </c>
      <c r="I486" s="916" t="s">
        <v>1340</v>
      </c>
      <c r="J486" s="916" t="s">
        <v>1328</v>
      </c>
      <c r="M486" s="990"/>
      <c r="R486" s="990"/>
    </row>
    <row r="487" spans="1:18" s="915" customFormat="1" hidden="1">
      <c r="A487" s="996">
        <v>3</v>
      </c>
      <c r="B487" s="996" t="s">
        <v>915</v>
      </c>
      <c r="C487" s="996" t="s">
        <v>873</v>
      </c>
      <c r="D487" s="996" t="s">
        <v>71</v>
      </c>
      <c r="E487" s="996" t="s">
        <v>806</v>
      </c>
      <c r="F487" s="996" t="s">
        <v>663</v>
      </c>
      <c r="G487" s="987">
        <v>11161000</v>
      </c>
      <c r="H487" s="74" t="s">
        <v>1340</v>
      </c>
      <c r="I487" s="74" t="s">
        <v>1340</v>
      </c>
      <c r="J487" s="74" t="s">
        <v>1328</v>
      </c>
      <c r="M487" s="989"/>
      <c r="R487" s="989"/>
    </row>
    <row r="488" spans="1:18" s="915" customFormat="1" hidden="1">
      <c r="A488" s="996">
        <v>3</v>
      </c>
      <c r="B488" s="996" t="s">
        <v>915</v>
      </c>
      <c r="C488" s="996" t="s">
        <v>873</v>
      </c>
      <c r="D488" s="996" t="s">
        <v>75</v>
      </c>
      <c r="E488" s="996" t="s">
        <v>799</v>
      </c>
      <c r="F488" s="996" t="s">
        <v>399</v>
      </c>
      <c r="G488" s="987">
        <v>40123000</v>
      </c>
      <c r="H488" s="74" t="s">
        <v>1340</v>
      </c>
      <c r="I488" s="74" t="s">
        <v>1340</v>
      </c>
      <c r="J488" s="74" t="s">
        <v>1328</v>
      </c>
      <c r="M488" s="989"/>
      <c r="R488" s="989"/>
    </row>
    <row r="489" spans="1:18" s="915" customFormat="1" hidden="1">
      <c r="A489" s="996">
        <v>3</v>
      </c>
      <c r="B489" s="996" t="s">
        <v>915</v>
      </c>
      <c r="C489" s="996" t="s">
        <v>873</v>
      </c>
      <c r="D489" s="996" t="s">
        <v>76</v>
      </c>
      <c r="E489" s="996" t="s">
        <v>800</v>
      </c>
      <c r="F489" s="996" t="s">
        <v>400</v>
      </c>
      <c r="G489" s="987">
        <v>10809000</v>
      </c>
      <c r="H489" s="74" t="s">
        <v>1340</v>
      </c>
      <c r="I489" s="74" t="s">
        <v>1340</v>
      </c>
      <c r="J489" s="74" t="s">
        <v>1328</v>
      </c>
      <c r="M489" s="989"/>
      <c r="R489" s="989"/>
    </row>
    <row r="490" spans="1:18" s="915" customFormat="1" hidden="1">
      <c r="A490" s="996">
        <v>3</v>
      </c>
      <c r="B490" s="996" t="s">
        <v>915</v>
      </c>
      <c r="C490" s="996" t="s">
        <v>873</v>
      </c>
      <c r="D490" s="996" t="s">
        <v>77</v>
      </c>
      <c r="E490" s="996" t="s">
        <v>809</v>
      </c>
      <c r="F490" s="996" t="s">
        <v>401</v>
      </c>
      <c r="G490" s="987">
        <v>34519000</v>
      </c>
      <c r="H490" s="74" t="s">
        <v>1340</v>
      </c>
      <c r="I490" s="74" t="s">
        <v>1340</v>
      </c>
      <c r="J490" s="74" t="s">
        <v>1328</v>
      </c>
      <c r="M490" s="989"/>
      <c r="R490" s="989"/>
    </row>
    <row r="491" spans="1:18" s="915" customFormat="1" hidden="1">
      <c r="A491" s="996">
        <v>3</v>
      </c>
      <c r="B491" s="996" t="s">
        <v>915</v>
      </c>
      <c r="C491" s="996" t="s">
        <v>873</v>
      </c>
      <c r="D491" s="996" t="s">
        <v>78</v>
      </c>
      <c r="E491" s="996" t="s">
        <v>810</v>
      </c>
      <c r="F491" s="996" t="s">
        <v>402</v>
      </c>
      <c r="G491" s="987">
        <v>33679000</v>
      </c>
      <c r="H491" s="74" t="s">
        <v>1340</v>
      </c>
      <c r="I491" s="74" t="s">
        <v>1340</v>
      </c>
      <c r="J491" s="74" t="s">
        <v>1328</v>
      </c>
      <c r="M491" s="989"/>
      <c r="R491" s="989"/>
    </row>
    <row r="492" spans="1:18" s="915" customFormat="1" hidden="1">
      <c r="A492" s="996">
        <v>3</v>
      </c>
      <c r="B492" s="996" t="s">
        <v>915</v>
      </c>
      <c r="C492" s="996" t="s">
        <v>873</v>
      </c>
      <c r="D492" s="996" t="s">
        <v>79</v>
      </c>
      <c r="E492" s="996" t="s">
        <v>801</v>
      </c>
      <c r="F492" s="996" t="s">
        <v>403</v>
      </c>
      <c r="G492" s="987">
        <v>1241000</v>
      </c>
      <c r="H492" s="74" t="s">
        <v>1340</v>
      </c>
      <c r="I492" s="74" t="s">
        <v>1340</v>
      </c>
      <c r="J492" s="74" t="s">
        <v>1328</v>
      </c>
      <c r="M492" s="989"/>
      <c r="R492" s="989"/>
    </row>
    <row r="493" spans="1:18" hidden="1">
      <c r="A493" s="996">
        <v>3</v>
      </c>
      <c r="B493" s="996" t="s">
        <v>915</v>
      </c>
      <c r="C493" s="996" t="s">
        <v>873</v>
      </c>
      <c r="D493" s="996" t="s">
        <v>82</v>
      </c>
      <c r="E493" s="996" t="s">
        <v>811</v>
      </c>
      <c r="F493" s="996" t="s">
        <v>404</v>
      </c>
      <c r="G493" s="987">
        <v>38485000</v>
      </c>
      <c r="H493" s="74" t="s">
        <v>1340</v>
      </c>
      <c r="I493" s="74" t="s">
        <v>1340</v>
      </c>
      <c r="J493" s="74" t="s">
        <v>1328</v>
      </c>
    </row>
    <row r="494" spans="1:18" hidden="1">
      <c r="A494" s="996">
        <v>3</v>
      </c>
      <c r="B494" s="996" t="s">
        <v>915</v>
      </c>
      <c r="C494" s="996" t="s">
        <v>873</v>
      </c>
      <c r="D494" s="996" t="s">
        <v>83</v>
      </c>
      <c r="E494" s="996" t="s">
        <v>812</v>
      </c>
      <c r="F494" s="996" t="s">
        <v>405</v>
      </c>
      <c r="G494" s="987">
        <v>2080000</v>
      </c>
      <c r="H494" s="74" t="s">
        <v>1340</v>
      </c>
      <c r="I494" s="74" t="s">
        <v>1340</v>
      </c>
      <c r="J494" s="74" t="s">
        <v>1328</v>
      </c>
    </row>
    <row r="495" spans="1:18" hidden="1">
      <c r="A495" s="996">
        <v>3</v>
      </c>
      <c r="B495" s="996" t="s">
        <v>915</v>
      </c>
      <c r="C495" s="996" t="s">
        <v>873</v>
      </c>
      <c r="D495" s="996" t="s">
        <v>84</v>
      </c>
      <c r="E495" s="996" t="s">
        <v>813</v>
      </c>
      <c r="F495" s="996" t="s">
        <v>406</v>
      </c>
      <c r="G495" s="987">
        <v>6241000</v>
      </c>
      <c r="H495" s="74" t="s">
        <v>1340</v>
      </c>
      <c r="I495" s="74" t="s">
        <v>1340</v>
      </c>
      <c r="J495" s="74" t="s">
        <v>1328</v>
      </c>
    </row>
    <row r="496" spans="1:18" hidden="1">
      <c r="A496" s="996">
        <v>3</v>
      </c>
      <c r="B496" s="996" t="s">
        <v>915</v>
      </c>
      <c r="C496" s="996" t="s">
        <v>873</v>
      </c>
      <c r="D496" s="996" t="s">
        <v>85</v>
      </c>
      <c r="E496" s="996" t="s">
        <v>814</v>
      </c>
      <c r="F496" s="996" t="s">
        <v>407</v>
      </c>
      <c r="G496" s="987">
        <v>20803000</v>
      </c>
      <c r="H496" s="74" t="s">
        <v>1340</v>
      </c>
      <c r="I496" s="74" t="s">
        <v>1340</v>
      </c>
      <c r="J496" s="74" t="s">
        <v>1328</v>
      </c>
    </row>
    <row r="497" spans="1:18" hidden="1">
      <c r="A497" s="996">
        <v>3</v>
      </c>
      <c r="B497" s="996" t="s">
        <v>915</v>
      </c>
      <c r="C497" s="996" t="s">
        <v>873</v>
      </c>
      <c r="D497" s="996" t="s">
        <v>86</v>
      </c>
      <c r="E497" s="996" t="s">
        <v>815</v>
      </c>
      <c r="F497" s="996" t="s">
        <v>408</v>
      </c>
      <c r="G497" s="987">
        <v>2080000</v>
      </c>
      <c r="H497" s="74" t="s">
        <v>1340</v>
      </c>
      <c r="I497" s="74" t="s">
        <v>1340</v>
      </c>
      <c r="J497" s="74" t="s">
        <v>1328</v>
      </c>
    </row>
    <row r="498" spans="1:18" hidden="1">
      <c r="A498" s="996">
        <v>3</v>
      </c>
      <c r="B498" s="996" t="s">
        <v>915</v>
      </c>
      <c r="C498" s="996" t="s">
        <v>873</v>
      </c>
      <c r="D498" s="996" t="s">
        <v>425</v>
      </c>
      <c r="E498" s="996" t="s">
        <v>816</v>
      </c>
      <c r="F498" s="996" t="s">
        <v>945</v>
      </c>
      <c r="G498" s="987">
        <v>22550000</v>
      </c>
      <c r="H498" s="74" t="s">
        <v>1340</v>
      </c>
      <c r="I498" s="74" t="s">
        <v>1340</v>
      </c>
      <c r="J498" s="74" t="s">
        <v>1328</v>
      </c>
    </row>
    <row r="499" spans="1:18" hidden="1">
      <c r="A499" s="996">
        <v>3</v>
      </c>
      <c r="B499" s="996" t="s">
        <v>915</v>
      </c>
      <c r="C499" s="996" t="s">
        <v>873</v>
      </c>
      <c r="D499" s="996" t="s">
        <v>89</v>
      </c>
      <c r="E499" s="996" t="s">
        <v>817</v>
      </c>
      <c r="F499" s="996" t="s">
        <v>409</v>
      </c>
      <c r="G499" s="987">
        <v>12482000</v>
      </c>
      <c r="H499" s="74" t="s">
        <v>1340</v>
      </c>
      <c r="I499" s="74" t="s">
        <v>1340</v>
      </c>
      <c r="J499" s="74" t="s">
        <v>1328</v>
      </c>
    </row>
    <row r="500" spans="1:18" hidden="1">
      <c r="A500" s="996">
        <v>3</v>
      </c>
      <c r="B500" s="996" t="s">
        <v>915</v>
      </c>
      <c r="C500" s="996" t="s">
        <v>873</v>
      </c>
      <c r="D500" s="996" t="s">
        <v>90</v>
      </c>
      <c r="E500" s="996" t="s">
        <v>818</v>
      </c>
      <c r="F500" s="996" t="s">
        <v>714</v>
      </c>
      <c r="G500" s="987">
        <v>6241000</v>
      </c>
      <c r="H500" s="74" t="s">
        <v>1340</v>
      </c>
      <c r="I500" s="74" t="s">
        <v>1340</v>
      </c>
      <c r="J500" s="74" t="s">
        <v>1328</v>
      </c>
    </row>
    <row r="501" spans="1:18" hidden="1">
      <c r="A501" s="996">
        <v>3</v>
      </c>
      <c r="B501" s="996" t="s">
        <v>915</v>
      </c>
      <c r="C501" s="996" t="s">
        <v>874</v>
      </c>
      <c r="D501" s="996" t="s">
        <v>286</v>
      </c>
      <c r="E501" s="996" t="s">
        <v>980</v>
      </c>
      <c r="F501" s="996" t="s">
        <v>1152</v>
      </c>
      <c r="G501" s="997">
        <v>8200000</v>
      </c>
      <c r="H501" s="74" t="s">
        <v>448</v>
      </c>
      <c r="I501" s="74" t="s">
        <v>1339</v>
      </c>
      <c r="J501" s="74" t="s">
        <v>1328</v>
      </c>
    </row>
    <row r="502" spans="1:18" hidden="1">
      <c r="A502" s="996">
        <v>3</v>
      </c>
      <c r="B502" s="996" t="s">
        <v>915</v>
      </c>
      <c r="C502" s="996" t="s">
        <v>874</v>
      </c>
      <c r="D502" s="996" t="s">
        <v>115</v>
      </c>
      <c r="E502" s="996" t="s">
        <v>827</v>
      </c>
      <c r="F502" s="996" t="s">
        <v>1135</v>
      </c>
      <c r="G502" s="997">
        <v>500000</v>
      </c>
      <c r="H502" s="74" t="s">
        <v>448</v>
      </c>
      <c r="I502" s="74" t="s">
        <v>1339</v>
      </c>
      <c r="J502" s="74" t="s">
        <v>1328</v>
      </c>
    </row>
    <row r="503" spans="1:18" hidden="1">
      <c r="A503" s="996">
        <v>3</v>
      </c>
      <c r="B503" s="996" t="s">
        <v>915</v>
      </c>
      <c r="C503" s="996" t="s">
        <v>874</v>
      </c>
      <c r="D503" s="996" t="s">
        <v>131</v>
      </c>
      <c r="E503" s="996" t="s">
        <v>835</v>
      </c>
      <c r="F503" s="996" t="s">
        <v>1153</v>
      </c>
      <c r="G503" s="997">
        <v>1500000</v>
      </c>
      <c r="H503" s="74" t="s">
        <v>448</v>
      </c>
      <c r="I503" s="74" t="s">
        <v>1339</v>
      </c>
      <c r="J503" s="74" t="s">
        <v>1328</v>
      </c>
    </row>
    <row r="504" spans="1:18">
      <c r="A504" s="996">
        <v>3</v>
      </c>
      <c r="B504" s="996" t="s">
        <v>915</v>
      </c>
      <c r="C504" s="996" t="s">
        <v>874</v>
      </c>
      <c r="D504" s="996" t="s">
        <v>133</v>
      </c>
      <c r="E504" s="996" t="s">
        <v>836</v>
      </c>
      <c r="F504" s="996" t="s">
        <v>1154</v>
      </c>
      <c r="G504" s="997">
        <v>96000000</v>
      </c>
      <c r="H504" s="74" t="s">
        <v>448</v>
      </c>
      <c r="I504" s="74" t="s">
        <v>1339</v>
      </c>
      <c r="J504" s="74" t="s">
        <v>1328</v>
      </c>
    </row>
    <row r="505" spans="1:18" hidden="1">
      <c r="A505" s="996">
        <v>3</v>
      </c>
      <c r="B505" s="996" t="s">
        <v>915</v>
      </c>
      <c r="C505" s="996" t="s">
        <v>874</v>
      </c>
      <c r="D505" s="996" t="s">
        <v>138</v>
      </c>
      <c r="E505" s="996" t="s">
        <v>985</v>
      </c>
      <c r="F505" s="996" t="s">
        <v>1155</v>
      </c>
      <c r="G505" s="997">
        <v>3874000</v>
      </c>
      <c r="H505" s="74" t="s">
        <v>448</v>
      </c>
      <c r="I505" s="74" t="s">
        <v>1339</v>
      </c>
      <c r="J505" s="74" t="s">
        <v>1328</v>
      </c>
    </row>
    <row r="506" spans="1:18" hidden="1">
      <c r="A506" s="996">
        <v>3</v>
      </c>
      <c r="B506" s="996" t="s">
        <v>915</v>
      </c>
      <c r="C506" s="996" t="s">
        <v>874</v>
      </c>
      <c r="D506" s="996" t="s">
        <v>142</v>
      </c>
      <c r="E506" s="996" t="s">
        <v>839</v>
      </c>
      <c r="F506" s="996" t="s">
        <v>916</v>
      </c>
      <c r="G506" s="997">
        <v>5500000</v>
      </c>
      <c r="H506" s="74" t="s">
        <v>448</v>
      </c>
      <c r="I506" s="74" t="s">
        <v>1339</v>
      </c>
      <c r="J506" s="74" t="s">
        <v>1328</v>
      </c>
    </row>
    <row r="507" spans="1:18" hidden="1">
      <c r="A507" s="996">
        <v>3</v>
      </c>
      <c r="B507" s="996" t="s">
        <v>915</v>
      </c>
      <c r="C507" s="996" t="s">
        <v>888</v>
      </c>
      <c r="D507" s="996" t="s">
        <v>294</v>
      </c>
      <c r="E507" s="996" t="s">
        <v>866</v>
      </c>
      <c r="F507" s="996" t="s">
        <v>917</v>
      </c>
      <c r="G507" s="997">
        <v>1500000</v>
      </c>
      <c r="H507" s="74" t="s">
        <v>448</v>
      </c>
      <c r="I507" s="74" t="s">
        <v>1339</v>
      </c>
      <c r="J507" s="74" t="s">
        <v>1328</v>
      </c>
    </row>
    <row r="508" spans="1:18" hidden="1">
      <c r="A508" s="996">
        <v>3</v>
      </c>
      <c r="B508" s="996" t="s">
        <v>918</v>
      </c>
      <c r="C508" s="996" t="s">
        <v>873</v>
      </c>
      <c r="D508" s="996" t="s">
        <v>67</v>
      </c>
      <c r="E508" s="996" t="s">
        <v>803</v>
      </c>
      <c r="F508" s="996" t="s">
        <v>989</v>
      </c>
      <c r="G508" s="987">
        <v>24780000</v>
      </c>
      <c r="H508" s="74" t="s">
        <v>1340</v>
      </c>
      <c r="I508" s="74" t="s">
        <v>1340</v>
      </c>
      <c r="J508" s="74" t="s">
        <v>1328</v>
      </c>
    </row>
    <row r="509" spans="1:18" s="916" customFormat="1" hidden="1">
      <c r="A509" s="916">
        <v>3</v>
      </c>
      <c r="B509" s="916" t="s">
        <v>918</v>
      </c>
      <c r="C509" s="916" t="s">
        <v>873</v>
      </c>
      <c r="D509" s="916" t="s">
        <v>68</v>
      </c>
      <c r="E509" s="916" t="s">
        <v>804</v>
      </c>
      <c r="F509" s="916" t="s">
        <v>1132</v>
      </c>
      <c r="G509" s="988">
        <v>57426000</v>
      </c>
      <c r="H509" s="916" t="s">
        <v>1340</v>
      </c>
      <c r="I509" s="916" t="s">
        <v>1340</v>
      </c>
      <c r="J509" s="916" t="s">
        <v>1328</v>
      </c>
      <c r="M509" s="988"/>
      <c r="R509" s="988"/>
    </row>
    <row r="510" spans="1:18" hidden="1">
      <c r="A510" s="996">
        <v>3</v>
      </c>
      <c r="B510" s="996" t="s">
        <v>918</v>
      </c>
      <c r="C510" s="996" t="s">
        <v>873</v>
      </c>
      <c r="D510" s="996" t="s">
        <v>71</v>
      </c>
      <c r="E510" s="996" t="s">
        <v>806</v>
      </c>
      <c r="F510" s="996" t="s">
        <v>663</v>
      </c>
      <c r="G510" s="987">
        <v>17000000</v>
      </c>
      <c r="H510" s="74" t="s">
        <v>1340</v>
      </c>
      <c r="I510" s="74" t="s">
        <v>1340</v>
      </c>
      <c r="J510" s="74" t="s">
        <v>1328</v>
      </c>
    </row>
    <row r="511" spans="1:18" hidden="1">
      <c r="A511" s="996">
        <v>3</v>
      </c>
      <c r="B511" s="996" t="s">
        <v>918</v>
      </c>
      <c r="C511" s="996" t="s">
        <v>873</v>
      </c>
      <c r="D511" s="996" t="s">
        <v>75</v>
      </c>
      <c r="E511" s="996" t="s">
        <v>799</v>
      </c>
      <c r="F511" s="996" t="s">
        <v>399</v>
      </c>
      <c r="G511" s="987">
        <v>3369000</v>
      </c>
      <c r="H511" s="74" t="s">
        <v>1340</v>
      </c>
      <c r="I511" s="74" t="s">
        <v>1340</v>
      </c>
      <c r="J511" s="74" t="s">
        <v>1328</v>
      </c>
    </row>
    <row r="512" spans="1:18" hidden="1">
      <c r="A512" s="996">
        <v>3</v>
      </c>
      <c r="B512" s="996" t="s">
        <v>918</v>
      </c>
      <c r="C512" s="996" t="s">
        <v>873</v>
      </c>
      <c r="D512" s="996" t="s">
        <v>76</v>
      </c>
      <c r="E512" s="996" t="s">
        <v>800</v>
      </c>
      <c r="F512" s="996" t="s">
        <v>400</v>
      </c>
      <c r="G512" s="987">
        <v>2943000</v>
      </c>
      <c r="H512" s="74" t="s">
        <v>1340</v>
      </c>
      <c r="I512" s="74" t="s">
        <v>1340</v>
      </c>
      <c r="J512" s="74" t="s">
        <v>1328</v>
      </c>
    </row>
    <row r="513" spans="1:18" hidden="1">
      <c r="A513" s="996">
        <v>3</v>
      </c>
      <c r="B513" s="996" t="s">
        <v>918</v>
      </c>
      <c r="C513" s="996" t="s">
        <v>873</v>
      </c>
      <c r="D513" s="996" t="s">
        <v>77</v>
      </c>
      <c r="E513" s="996" t="s">
        <v>809</v>
      </c>
      <c r="F513" s="996" t="s">
        <v>401</v>
      </c>
      <c r="G513" s="987">
        <v>9550000</v>
      </c>
      <c r="H513" s="74" t="s">
        <v>1340</v>
      </c>
      <c r="I513" s="74" t="s">
        <v>1340</v>
      </c>
      <c r="J513" s="74" t="s">
        <v>1328</v>
      </c>
    </row>
    <row r="514" spans="1:18" hidden="1">
      <c r="A514" s="996">
        <v>3</v>
      </c>
      <c r="B514" s="996" t="s">
        <v>918</v>
      </c>
      <c r="C514" s="996" t="s">
        <v>873</v>
      </c>
      <c r="D514" s="996" t="s">
        <v>78</v>
      </c>
      <c r="E514" s="996" t="s">
        <v>810</v>
      </c>
      <c r="F514" s="996" t="s">
        <v>402</v>
      </c>
      <c r="G514" s="987">
        <v>9085000</v>
      </c>
      <c r="H514" s="74" t="s">
        <v>1340</v>
      </c>
      <c r="I514" s="74" t="s">
        <v>1340</v>
      </c>
      <c r="J514" s="74" t="s">
        <v>1328</v>
      </c>
    </row>
    <row r="515" spans="1:18" s="915" customFormat="1" hidden="1">
      <c r="A515" s="996">
        <v>3</v>
      </c>
      <c r="B515" s="996" t="s">
        <v>918</v>
      </c>
      <c r="C515" s="996" t="s">
        <v>873</v>
      </c>
      <c r="D515" s="996" t="s">
        <v>79</v>
      </c>
      <c r="E515" s="996" t="s">
        <v>801</v>
      </c>
      <c r="F515" s="996" t="s">
        <v>403</v>
      </c>
      <c r="G515" s="987">
        <v>273000</v>
      </c>
      <c r="H515" s="74" t="s">
        <v>1340</v>
      </c>
      <c r="I515" s="74" t="s">
        <v>1340</v>
      </c>
      <c r="J515" s="74" t="s">
        <v>1328</v>
      </c>
      <c r="M515" s="989"/>
      <c r="R515" s="989"/>
    </row>
    <row r="516" spans="1:18" s="915" customFormat="1" hidden="1">
      <c r="A516" s="996">
        <v>3</v>
      </c>
      <c r="B516" s="996" t="s">
        <v>918</v>
      </c>
      <c r="C516" s="996" t="s">
        <v>873</v>
      </c>
      <c r="D516" s="996" t="s">
        <v>82</v>
      </c>
      <c r="E516" s="996" t="s">
        <v>811</v>
      </c>
      <c r="F516" s="996" t="s">
        <v>404</v>
      </c>
      <c r="G516" s="987">
        <v>10626000</v>
      </c>
      <c r="H516" s="74" t="s">
        <v>1340</v>
      </c>
      <c r="I516" s="74" t="s">
        <v>1340</v>
      </c>
      <c r="J516" s="74" t="s">
        <v>1328</v>
      </c>
      <c r="M516" s="989"/>
      <c r="R516" s="989"/>
    </row>
    <row r="517" spans="1:18" s="915" customFormat="1" hidden="1">
      <c r="A517" s="996">
        <v>3</v>
      </c>
      <c r="B517" s="996" t="s">
        <v>918</v>
      </c>
      <c r="C517" s="996" t="s">
        <v>873</v>
      </c>
      <c r="D517" s="996" t="s">
        <v>83</v>
      </c>
      <c r="E517" s="996" t="s">
        <v>812</v>
      </c>
      <c r="F517" s="996" t="s">
        <v>405</v>
      </c>
      <c r="G517" s="987">
        <v>574000</v>
      </c>
      <c r="H517" s="74" t="s">
        <v>1340</v>
      </c>
      <c r="I517" s="74" t="s">
        <v>1340</v>
      </c>
      <c r="J517" s="74" t="s">
        <v>1328</v>
      </c>
      <c r="M517" s="989"/>
      <c r="R517" s="989"/>
    </row>
    <row r="518" spans="1:18" s="915" customFormat="1" hidden="1">
      <c r="A518" s="996">
        <v>3</v>
      </c>
      <c r="B518" s="996" t="s">
        <v>918</v>
      </c>
      <c r="C518" s="996" t="s">
        <v>873</v>
      </c>
      <c r="D518" s="996" t="s">
        <v>84</v>
      </c>
      <c r="E518" s="996" t="s">
        <v>813</v>
      </c>
      <c r="F518" s="996" t="s">
        <v>406</v>
      </c>
      <c r="G518" s="987">
        <v>1723000</v>
      </c>
      <c r="H518" s="74" t="s">
        <v>1340</v>
      </c>
      <c r="I518" s="74" t="s">
        <v>1340</v>
      </c>
      <c r="J518" s="74" t="s">
        <v>1328</v>
      </c>
      <c r="M518" s="989"/>
      <c r="R518" s="989"/>
    </row>
    <row r="519" spans="1:18" s="915" customFormat="1" hidden="1">
      <c r="A519" s="996">
        <v>3</v>
      </c>
      <c r="B519" s="996" t="s">
        <v>918</v>
      </c>
      <c r="C519" s="996" t="s">
        <v>873</v>
      </c>
      <c r="D519" s="996" t="s">
        <v>85</v>
      </c>
      <c r="E519" s="996" t="s">
        <v>814</v>
      </c>
      <c r="F519" s="996" t="s">
        <v>407</v>
      </c>
      <c r="G519" s="987">
        <v>5744000</v>
      </c>
      <c r="H519" s="74" t="s">
        <v>1340</v>
      </c>
      <c r="I519" s="74" t="s">
        <v>1340</v>
      </c>
      <c r="J519" s="74" t="s">
        <v>1328</v>
      </c>
      <c r="M519" s="989"/>
      <c r="R519" s="989"/>
    </row>
    <row r="520" spans="1:18" s="915" customFormat="1" hidden="1">
      <c r="A520" s="996">
        <v>3</v>
      </c>
      <c r="B520" s="996" t="s">
        <v>918</v>
      </c>
      <c r="C520" s="996" t="s">
        <v>873</v>
      </c>
      <c r="D520" s="996" t="s">
        <v>86</v>
      </c>
      <c r="E520" s="996" t="s">
        <v>815</v>
      </c>
      <c r="F520" s="996" t="s">
        <v>408</v>
      </c>
      <c r="G520" s="987">
        <v>574000</v>
      </c>
      <c r="H520" s="74" t="s">
        <v>1340</v>
      </c>
      <c r="I520" s="74" t="s">
        <v>1340</v>
      </c>
      <c r="J520" s="74" t="s">
        <v>1328</v>
      </c>
      <c r="M520" s="989"/>
      <c r="R520" s="989"/>
    </row>
    <row r="521" spans="1:18" s="915" customFormat="1" hidden="1">
      <c r="A521" s="996">
        <v>3</v>
      </c>
      <c r="B521" s="996" t="s">
        <v>918</v>
      </c>
      <c r="C521" s="996" t="s">
        <v>873</v>
      </c>
      <c r="D521" s="996" t="s">
        <v>425</v>
      </c>
      <c r="E521" s="996" t="s">
        <v>816</v>
      </c>
      <c r="F521" s="996" t="s">
        <v>945</v>
      </c>
      <c r="G521" s="987">
        <v>6226000</v>
      </c>
      <c r="H521" s="74" t="s">
        <v>1340</v>
      </c>
      <c r="I521" s="74" t="s">
        <v>1340</v>
      </c>
      <c r="J521" s="74" t="s">
        <v>1328</v>
      </c>
      <c r="M521" s="989"/>
      <c r="R521" s="989"/>
    </row>
    <row r="522" spans="1:18" s="915" customFormat="1" hidden="1">
      <c r="A522" s="996">
        <v>3</v>
      </c>
      <c r="B522" s="996" t="s">
        <v>918</v>
      </c>
      <c r="C522" s="996" t="s">
        <v>873</v>
      </c>
      <c r="D522" s="996" t="s">
        <v>89</v>
      </c>
      <c r="E522" s="996" t="s">
        <v>817</v>
      </c>
      <c r="F522" s="996" t="s">
        <v>409</v>
      </c>
      <c r="G522" s="987">
        <v>3447000</v>
      </c>
      <c r="H522" s="74" t="s">
        <v>1340</v>
      </c>
      <c r="I522" s="74" t="s">
        <v>1340</v>
      </c>
      <c r="J522" s="74" t="s">
        <v>1328</v>
      </c>
      <c r="M522" s="989"/>
      <c r="R522" s="989"/>
    </row>
    <row r="523" spans="1:18" s="915" customFormat="1" hidden="1">
      <c r="A523" s="996">
        <v>3</v>
      </c>
      <c r="B523" s="996" t="s">
        <v>918</v>
      </c>
      <c r="C523" s="996" t="s">
        <v>873</v>
      </c>
      <c r="D523" s="996" t="s">
        <v>90</v>
      </c>
      <c r="E523" s="996" t="s">
        <v>818</v>
      </c>
      <c r="F523" s="996" t="s">
        <v>714</v>
      </c>
      <c r="G523" s="987">
        <v>1723000</v>
      </c>
      <c r="H523" s="74" t="s">
        <v>1340</v>
      </c>
      <c r="I523" s="74" t="s">
        <v>1340</v>
      </c>
      <c r="J523" s="74" t="s">
        <v>1328</v>
      </c>
      <c r="M523" s="989"/>
      <c r="R523" s="989"/>
    </row>
    <row r="524" spans="1:18" s="915" customFormat="1" hidden="1">
      <c r="A524" s="996">
        <v>3</v>
      </c>
      <c r="B524" s="996" t="s">
        <v>918</v>
      </c>
      <c r="C524" s="996" t="s">
        <v>874</v>
      </c>
      <c r="D524" s="996" t="s">
        <v>286</v>
      </c>
      <c r="E524" s="996" t="s">
        <v>980</v>
      </c>
      <c r="F524" s="996" t="s">
        <v>1152</v>
      </c>
      <c r="G524" s="997">
        <v>1100000</v>
      </c>
      <c r="H524" s="74" t="s">
        <v>448</v>
      </c>
      <c r="I524" s="74" t="s">
        <v>1339</v>
      </c>
      <c r="J524" s="74" t="s">
        <v>1328</v>
      </c>
      <c r="M524" s="989"/>
      <c r="R524" s="989"/>
    </row>
    <row r="525" spans="1:18" s="915" customFormat="1" hidden="1">
      <c r="A525" s="996">
        <v>3</v>
      </c>
      <c r="B525" s="996" t="s">
        <v>918</v>
      </c>
      <c r="C525" s="996" t="s">
        <v>874</v>
      </c>
      <c r="D525" s="996" t="s">
        <v>115</v>
      </c>
      <c r="E525" s="996" t="s">
        <v>827</v>
      </c>
      <c r="F525" s="996" t="s">
        <v>1135</v>
      </c>
      <c r="G525" s="997">
        <v>1500000</v>
      </c>
      <c r="H525" s="74" t="s">
        <v>448</v>
      </c>
      <c r="I525" s="74" t="s">
        <v>1339</v>
      </c>
      <c r="J525" s="74" t="s">
        <v>1328</v>
      </c>
      <c r="M525" s="989"/>
      <c r="R525" s="989"/>
    </row>
    <row r="526" spans="1:18" s="915" customFormat="1" hidden="1">
      <c r="A526" s="996">
        <v>3</v>
      </c>
      <c r="B526" s="996" t="s">
        <v>918</v>
      </c>
      <c r="C526" s="996" t="s">
        <v>874</v>
      </c>
      <c r="D526" s="996" t="s">
        <v>125</v>
      </c>
      <c r="E526" s="996" t="s">
        <v>833</v>
      </c>
      <c r="F526" s="996" t="s">
        <v>1156</v>
      </c>
      <c r="G526" s="997">
        <v>900000</v>
      </c>
      <c r="H526" s="74" t="s">
        <v>448</v>
      </c>
      <c r="I526" s="74" t="s">
        <v>1339</v>
      </c>
      <c r="J526" s="74" t="s">
        <v>1328</v>
      </c>
      <c r="M526" s="989"/>
      <c r="R526" s="989"/>
    </row>
    <row r="527" spans="1:18" s="915" customFormat="1" hidden="1">
      <c r="A527" s="996">
        <v>3</v>
      </c>
      <c r="B527" s="996" t="s">
        <v>918</v>
      </c>
      <c r="C527" s="996" t="s">
        <v>874</v>
      </c>
      <c r="D527" s="996" t="s">
        <v>131</v>
      </c>
      <c r="E527" s="996" t="s">
        <v>835</v>
      </c>
      <c r="F527" s="996" t="s">
        <v>1157</v>
      </c>
      <c r="G527" s="997">
        <v>500000</v>
      </c>
      <c r="H527" s="74" t="s">
        <v>448</v>
      </c>
      <c r="I527" s="74" t="s">
        <v>1339</v>
      </c>
      <c r="J527" s="74" t="s">
        <v>1328</v>
      </c>
      <c r="M527" s="989"/>
      <c r="R527" s="989"/>
    </row>
    <row r="528" spans="1:18" s="915" customFormat="1">
      <c r="A528" s="996">
        <v>3</v>
      </c>
      <c r="B528" s="996" t="s">
        <v>918</v>
      </c>
      <c r="C528" s="996" t="s">
        <v>874</v>
      </c>
      <c r="D528" s="996" t="s">
        <v>133</v>
      </c>
      <c r="E528" s="996" t="s">
        <v>836</v>
      </c>
      <c r="F528" s="996" t="s">
        <v>1158</v>
      </c>
      <c r="G528" s="997">
        <v>50000000</v>
      </c>
      <c r="H528" s="74" t="s">
        <v>448</v>
      </c>
      <c r="I528" s="74" t="s">
        <v>1339</v>
      </c>
      <c r="J528" s="74" t="s">
        <v>1328</v>
      </c>
      <c r="M528" s="989"/>
      <c r="R528" s="989"/>
    </row>
    <row r="529" spans="1:10" hidden="1">
      <c r="A529" s="996">
        <v>3</v>
      </c>
      <c r="B529" s="996" t="s">
        <v>918</v>
      </c>
      <c r="C529" s="996" t="s">
        <v>874</v>
      </c>
      <c r="D529" s="996" t="s">
        <v>138</v>
      </c>
      <c r="E529" s="996" t="s">
        <v>985</v>
      </c>
      <c r="F529" s="996" t="s">
        <v>1159</v>
      </c>
      <c r="G529" s="997">
        <v>1070000</v>
      </c>
      <c r="H529" s="74" t="s">
        <v>448</v>
      </c>
      <c r="I529" s="74" t="s">
        <v>1339</v>
      </c>
      <c r="J529" s="74" t="s">
        <v>1328</v>
      </c>
    </row>
    <row r="530" spans="1:10" hidden="1">
      <c r="A530" s="996">
        <v>3</v>
      </c>
      <c r="B530" s="996" t="s">
        <v>918</v>
      </c>
      <c r="C530" s="996" t="s">
        <v>874</v>
      </c>
      <c r="D530" s="996" t="s">
        <v>142</v>
      </c>
      <c r="E530" s="996" t="s">
        <v>839</v>
      </c>
      <c r="F530" s="996" t="s">
        <v>919</v>
      </c>
      <c r="G530" s="997">
        <v>4500000</v>
      </c>
      <c r="H530" s="74" t="s">
        <v>448</v>
      </c>
      <c r="I530" s="74" t="s">
        <v>1339</v>
      </c>
      <c r="J530" s="74" t="s">
        <v>1328</v>
      </c>
    </row>
    <row r="531" spans="1:10" hidden="1">
      <c r="A531" s="996">
        <v>3</v>
      </c>
      <c r="B531" s="996" t="s">
        <v>918</v>
      </c>
      <c r="C531" s="996" t="s">
        <v>888</v>
      </c>
      <c r="D531" s="996" t="s">
        <v>294</v>
      </c>
      <c r="E531" s="996" t="s">
        <v>866</v>
      </c>
      <c r="F531" s="996" t="s">
        <v>1145</v>
      </c>
      <c r="G531" s="997">
        <v>1200000</v>
      </c>
      <c r="H531" s="74" t="s">
        <v>448</v>
      </c>
      <c r="I531" s="74" t="s">
        <v>1339</v>
      </c>
      <c r="J531" s="74" t="s">
        <v>1328</v>
      </c>
    </row>
    <row r="532" spans="1:10" hidden="1">
      <c r="A532" s="996">
        <v>3</v>
      </c>
      <c r="B532" s="996" t="s">
        <v>920</v>
      </c>
      <c r="C532" s="996" t="s">
        <v>873</v>
      </c>
      <c r="D532" s="996" t="s">
        <v>67</v>
      </c>
      <c r="E532" s="996" t="s">
        <v>803</v>
      </c>
      <c r="F532" s="996" t="s">
        <v>989</v>
      </c>
      <c r="G532" s="987">
        <v>50833000</v>
      </c>
      <c r="H532" s="74" t="s">
        <v>1340</v>
      </c>
      <c r="I532" s="74" t="s">
        <v>1340</v>
      </c>
      <c r="J532" s="74" t="s">
        <v>1328</v>
      </c>
    </row>
    <row r="533" spans="1:10" hidden="1">
      <c r="A533" s="996">
        <v>3</v>
      </c>
      <c r="B533" s="996" t="s">
        <v>920</v>
      </c>
      <c r="C533" s="996" t="s">
        <v>873</v>
      </c>
      <c r="D533" s="996" t="s">
        <v>71</v>
      </c>
      <c r="E533" s="996" t="s">
        <v>806</v>
      </c>
      <c r="F533" s="996" t="s">
        <v>663</v>
      </c>
      <c r="G533" s="987">
        <v>167000</v>
      </c>
      <c r="H533" s="74" t="s">
        <v>1340</v>
      </c>
      <c r="I533" s="74" t="s">
        <v>1340</v>
      </c>
      <c r="J533" s="74" t="s">
        <v>1328</v>
      </c>
    </row>
    <row r="534" spans="1:10" hidden="1">
      <c r="A534" s="996">
        <v>3</v>
      </c>
      <c r="B534" s="996" t="s">
        <v>920</v>
      </c>
      <c r="C534" s="996" t="s">
        <v>873</v>
      </c>
      <c r="D534" s="996" t="s">
        <v>75</v>
      </c>
      <c r="E534" s="996" t="s">
        <v>799</v>
      </c>
      <c r="F534" s="996" t="s">
        <v>399</v>
      </c>
      <c r="G534" s="987">
        <v>14109000</v>
      </c>
      <c r="H534" s="74" t="s">
        <v>1340</v>
      </c>
      <c r="I534" s="74" t="s">
        <v>1340</v>
      </c>
      <c r="J534" s="74" t="s">
        <v>1328</v>
      </c>
    </row>
    <row r="535" spans="1:10" hidden="1">
      <c r="A535" s="996">
        <v>3</v>
      </c>
      <c r="B535" s="996" t="s">
        <v>920</v>
      </c>
      <c r="C535" s="996" t="s">
        <v>873</v>
      </c>
      <c r="D535" s="996" t="s">
        <v>76</v>
      </c>
      <c r="E535" s="996" t="s">
        <v>800</v>
      </c>
      <c r="F535" s="996" t="s">
        <v>400</v>
      </c>
      <c r="G535" s="987">
        <v>11270000</v>
      </c>
      <c r="H535" s="74" t="s">
        <v>1340</v>
      </c>
      <c r="I535" s="74" t="s">
        <v>1340</v>
      </c>
      <c r="J535" s="74" t="s">
        <v>1328</v>
      </c>
    </row>
    <row r="536" spans="1:10" hidden="1">
      <c r="A536" s="996">
        <v>3</v>
      </c>
      <c r="B536" s="996" t="s">
        <v>920</v>
      </c>
      <c r="C536" s="996" t="s">
        <v>873</v>
      </c>
      <c r="D536" s="996" t="s">
        <v>77</v>
      </c>
      <c r="E536" s="996" t="s">
        <v>809</v>
      </c>
      <c r="F536" s="996" t="s">
        <v>401</v>
      </c>
      <c r="G536" s="987">
        <v>7085000</v>
      </c>
      <c r="H536" s="74" t="s">
        <v>1340</v>
      </c>
      <c r="I536" s="74" t="s">
        <v>1340</v>
      </c>
      <c r="J536" s="74" t="s">
        <v>1328</v>
      </c>
    </row>
    <row r="537" spans="1:10" hidden="1">
      <c r="A537" s="996">
        <v>3</v>
      </c>
      <c r="B537" s="996" t="s">
        <v>920</v>
      </c>
      <c r="C537" s="996" t="s">
        <v>873</v>
      </c>
      <c r="D537" s="996" t="s">
        <v>78</v>
      </c>
      <c r="E537" s="996" t="s">
        <v>810</v>
      </c>
      <c r="F537" s="996" t="s">
        <v>402</v>
      </c>
      <c r="G537" s="987">
        <v>7183000</v>
      </c>
      <c r="H537" s="74" t="s">
        <v>1340</v>
      </c>
      <c r="I537" s="74" t="s">
        <v>1340</v>
      </c>
      <c r="J537" s="74" t="s">
        <v>1328</v>
      </c>
    </row>
    <row r="538" spans="1:10" hidden="1">
      <c r="A538" s="996">
        <v>3</v>
      </c>
      <c r="B538" s="996" t="s">
        <v>920</v>
      </c>
      <c r="C538" s="996" t="s">
        <v>873</v>
      </c>
      <c r="D538" s="996" t="s">
        <v>79</v>
      </c>
      <c r="E538" s="996" t="s">
        <v>801</v>
      </c>
      <c r="F538" s="996" t="s">
        <v>403</v>
      </c>
      <c r="G538" s="987">
        <v>2100000</v>
      </c>
      <c r="H538" s="74" t="s">
        <v>1340</v>
      </c>
      <c r="I538" s="74" t="s">
        <v>1340</v>
      </c>
      <c r="J538" s="74" t="s">
        <v>1328</v>
      </c>
    </row>
    <row r="539" spans="1:10" hidden="1">
      <c r="A539" s="996">
        <v>3</v>
      </c>
      <c r="B539" s="996" t="s">
        <v>920</v>
      </c>
      <c r="C539" s="996" t="s">
        <v>873</v>
      </c>
      <c r="D539" s="996" t="s">
        <v>82</v>
      </c>
      <c r="E539" s="996" t="s">
        <v>811</v>
      </c>
      <c r="F539" s="996" t="s">
        <v>404</v>
      </c>
      <c r="G539" s="987">
        <v>7924000</v>
      </c>
      <c r="H539" s="74" t="s">
        <v>1340</v>
      </c>
      <c r="I539" s="74" t="s">
        <v>1340</v>
      </c>
      <c r="J539" s="74" t="s">
        <v>1328</v>
      </c>
    </row>
    <row r="540" spans="1:10" hidden="1">
      <c r="A540" s="996">
        <v>3</v>
      </c>
      <c r="B540" s="996" t="s">
        <v>920</v>
      </c>
      <c r="C540" s="996" t="s">
        <v>873</v>
      </c>
      <c r="D540" s="996" t="s">
        <v>83</v>
      </c>
      <c r="E540" s="996" t="s">
        <v>812</v>
      </c>
      <c r="F540" s="996" t="s">
        <v>405</v>
      </c>
      <c r="G540" s="987">
        <v>428000</v>
      </c>
      <c r="H540" s="74" t="s">
        <v>1340</v>
      </c>
      <c r="I540" s="74" t="s">
        <v>1340</v>
      </c>
      <c r="J540" s="74" t="s">
        <v>1328</v>
      </c>
    </row>
    <row r="541" spans="1:10" hidden="1">
      <c r="A541" s="996">
        <v>3</v>
      </c>
      <c r="B541" s="996" t="s">
        <v>920</v>
      </c>
      <c r="C541" s="996" t="s">
        <v>873</v>
      </c>
      <c r="D541" s="996" t="s">
        <v>84</v>
      </c>
      <c r="E541" s="996" t="s">
        <v>813</v>
      </c>
      <c r="F541" s="996" t="s">
        <v>406</v>
      </c>
      <c r="G541" s="987">
        <v>1285000</v>
      </c>
      <c r="H541" s="74" t="s">
        <v>1340</v>
      </c>
      <c r="I541" s="74" t="s">
        <v>1340</v>
      </c>
      <c r="J541" s="74" t="s">
        <v>1328</v>
      </c>
    </row>
    <row r="542" spans="1:10" hidden="1">
      <c r="A542" s="996">
        <v>3</v>
      </c>
      <c r="B542" s="996" t="s">
        <v>920</v>
      </c>
      <c r="C542" s="996" t="s">
        <v>873</v>
      </c>
      <c r="D542" s="996" t="s">
        <v>85</v>
      </c>
      <c r="E542" s="996" t="s">
        <v>814</v>
      </c>
      <c r="F542" s="996" t="s">
        <v>407</v>
      </c>
      <c r="G542" s="987">
        <v>4283000</v>
      </c>
      <c r="H542" s="74" t="s">
        <v>1340</v>
      </c>
      <c r="I542" s="74" t="s">
        <v>1340</v>
      </c>
      <c r="J542" s="74" t="s">
        <v>1328</v>
      </c>
    </row>
    <row r="543" spans="1:10" hidden="1">
      <c r="A543" s="996">
        <v>3</v>
      </c>
      <c r="B543" s="996" t="s">
        <v>920</v>
      </c>
      <c r="C543" s="996" t="s">
        <v>873</v>
      </c>
      <c r="D543" s="996" t="s">
        <v>86</v>
      </c>
      <c r="E543" s="996" t="s">
        <v>815</v>
      </c>
      <c r="F543" s="996" t="s">
        <v>408</v>
      </c>
      <c r="G543" s="987">
        <v>428000</v>
      </c>
      <c r="H543" s="74" t="s">
        <v>1340</v>
      </c>
      <c r="I543" s="74" t="s">
        <v>1340</v>
      </c>
      <c r="J543" s="74" t="s">
        <v>1328</v>
      </c>
    </row>
    <row r="544" spans="1:10" hidden="1">
      <c r="A544" s="996">
        <v>3</v>
      </c>
      <c r="B544" s="996" t="s">
        <v>920</v>
      </c>
      <c r="C544" s="996" t="s">
        <v>873</v>
      </c>
      <c r="D544" s="996" t="s">
        <v>425</v>
      </c>
      <c r="E544" s="996" t="s">
        <v>816</v>
      </c>
      <c r="F544" s="996" t="s">
        <v>945</v>
      </c>
      <c r="G544" s="987">
        <v>4643000</v>
      </c>
      <c r="H544" s="74" t="s">
        <v>1340</v>
      </c>
      <c r="I544" s="74" t="s">
        <v>1340</v>
      </c>
      <c r="J544" s="74" t="s">
        <v>1328</v>
      </c>
    </row>
    <row r="545" spans="1:18" hidden="1">
      <c r="A545" s="996">
        <v>3</v>
      </c>
      <c r="B545" s="996" t="s">
        <v>920</v>
      </c>
      <c r="C545" s="996" t="s">
        <v>873</v>
      </c>
      <c r="D545" s="996" t="s">
        <v>89</v>
      </c>
      <c r="E545" s="996" t="s">
        <v>817</v>
      </c>
      <c r="F545" s="996" t="s">
        <v>409</v>
      </c>
      <c r="G545" s="987">
        <v>2570000</v>
      </c>
      <c r="H545" s="74" t="s">
        <v>1340</v>
      </c>
      <c r="I545" s="74" t="s">
        <v>1340</v>
      </c>
      <c r="J545" s="74" t="s">
        <v>1328</v>
      </c>
    </row>
    <row r="546" spans="1:18" hidden="1">
      <c r="A546" s="996">
        <v>3</v>
      </c>
      <c r="B546" s="996" t="s">
        <v>920</v>
      </c>
      <c r="C546" s="996" t="s">
        <v>873</v>
      </c>
      <c r="D546" s="996" t="s">
        <v>90</v>
      </c>
      <c r="E546" s="996" t="s">
        <v>818</v>
      </c>
      <c r="F546" s="996" t="s">
        <v>714</v>
      </c>
      <c r="G546" s="987">
        <v>1285000</v>
      </c>
      <c r="H546" s="74" t="s">
        <v>1340</v>
      </c>
      <c r="I546" s="74" t="s">
        <v>1340</v>
      </c>
      <c r="J546" s="74" t="s">
        <v>1328</v>
      </c>
    </row>
    <row r="547" spans="1:18" hidden="1">
      <c r="A547" s="996">
        <v>3</v>
      </c>
      <c r="B547" s="996" t="s">
        <v>920</v>
      </c>
      <c r="C547" s="996" t="s">
        <v>874</v>
      </c>
      <c r="D547" s="996" t="s">
        <v>138</v>
      </c>
      <c r="E547" s="996" t="s">
        <v>985</v>
      </c>
      <c r="F547" s="996" t="s">
        <v>1160</v>
      </c>
      <c r="G547" s="997">
        <v>798000</v>
      </c>
      <c r="H547" s="74" t="s">
        <v>448</v>
      </c>
      <c r="I547" s="74" t="s">
        <v>1339</v>
      </c>
      <c r="J547" s="74" t="s">
        <v>1328</v>
      </c>
    </row>
    <row r="548" spans="1:18" hidden="1">
      <c r="A548" s="996">
        <v>3</v>
      </c>
      <c r="B548" s="996" t="s">
        <v>921</v>
      </c>
      <c r="C548" s="996" t="s">
        <v>873</v>
      </c>
      <c r="D548" s="996" t="s">
        <v>67</v>
      </c>
      <c r="E548" s="996" t="s">
        <v>803</v>
      </c>
      <c r="F548" s="996" t="s">
        <v>989</v>
      </c>
      <c r="G548" s="987">
        <v>166134000</v>
      </c>
      <c r="H548" s="74" t="s">
        <v>1340</v>
      </c>
      <c r="I548" s="74" t="s">
        <v>1340</v>
      </c>
      <c r="J548" s="74" t="s">
        <v>1328</v>
      </c>
    </row>
    <row r="549" spans="1:18" hidden="1">
      <c r="A549" s="996">
        <v>3</v>
      </c>
      <c r="B549" s="996" t="s">
        <v>921</v>
      </c>
      <c r="C549" s="996" t="s">
        <v>873</v>
      </c>
      <c r="D549" s="996" t="s">
        <v>71</v>
      </c>
      <c r="E549" s="996" t="s">
        <v>806</v>
      </c>
      <c r="F549" s="996" t="s">
        <v>663</v>
      </c>
      <c r="G549" s="987">
        <v>93000</v>
      </c>
      <c r="H549" s="74" t="s">
        <v>1340</v>
      </c>
      <c r="I549" s="74" t="s">
        <v>1340</v>
      </c>
      <c r="J549" s="74" t="s">
        <v>1328</v>
      </c>
    </row>
    <row r="550" spans="1:18" hidden="1">
      <c r="A550" s="996">
        <v>3</v>
      </c>
      <c r="B550" s="996" t="s">
        <v>921</v>
      </c>
      <c r="C550" s="996" t="s">
        <v>873</v>
      </c>
      <c r="D550" s="996" t="s">
        <v>75</v>
      </c>
      <c r="E550" s="996" t="s">
        <v>799</v>
      </c>
      <c r="F550" s="996" t="s">
        <v>399</v>
      </c>
      <c r="G550" s="987">
        <v>54000000</v>
      </c>
      <c r="H550" s="74" t="s">
        <v>1340</v>
      </c>
      <c r="I550" s="74" t="s">
        <v>1340</v>
      </c>
      <c r="J550" s="74" t="s">
        <v>1328</v>
      </c>
    </row>
    <row r="551" spans="1:18" hidden="1">
      <c r="A551" s="996">
        <v>3</v>
      </c>
      <c r="B551" s="996" t="s">
        <v>921</v>
      </c>
      <c r="C551" s="996" t="s">
        <v>873</v>
      </c>
      <c r="D551" s="996" t="s">
        <v>76</v>
      </c>
      <c r="E551" s="996" t="s">
        <v>800</v>
      </c>
      <c r="F551" s="996" t="s">
        <v>400</v>
      </c>
      <c r="G551" s="987">
        <v>27113000</v>
      </c>
      <c r="H551" s="74" t="s">
        <v>1340</v>
      </c>
      <c r="I551" s="74" t="s">
        <v>1340</v>
      </c>
      <c r="J551" s="74" t="s">
        <v>1328</v>
      </c>
    </row>
    <row r="552" spans="1:18" hidden="1">
      <c r="A552" s="996">
        <v>3</v>
      </c>
      <c r="B552" s="996" t="s">
        <v>921</v>
      </c>
      <c r="C552" s="996" t="s">
        <v>873</v>
      </c>
      <c r="D552" s="996" t="s">
        <v>77</v>
      </c>
      <c r="E552" s="996" t="s">
        <v>809</v>
      </c>
      <c r="F552" s="996" t="s">
        <v>401</v>
      </c>
      <c r="G552" s="987">
        <v>22867000</v>
      </c>
      <c r="H552" s="74" t="s">
        <v>1340</v>
      </c>
      <c r="I552" s="74" t="s">
        <v>1340</v>
      </c>
      <c r="J552" s="74" t="s">
        <v>1328</v>
      </c>
    </row>
    <row r="553" spans="1:18" hidden="1">
      <c r="A553" s="996">
        <v>3</v>
      </c>
      <c r="B553" s="996" t="s">
        <v>921</v>
      </c>
      <c r="C553" s="996" t="s">
        <v>873</v>
      </c>
      <c r="D553" s="996" t="s">
        <v>78</v>
      </c>
      <c r="E553" s="996" t="s">
        <v>810</v>
      </c>
      <c r="F553" s="996" t="s">
        <v>402</v>
      </c>
      <c r="G553" s="987">
        <v>21630000</v>
      </c>
      <c r="H553" s="74" t="s">
        <v>1340</v>
      </c>
      <c r="I553" s="74" t="s">
        <v>1340</v>
      </c>
      <c r="J553" s="74" t="s">
        <v>1328</v>
      </c>
    </row>
    <row r="554" spans="1:18" hidden="1">
      <c r="A554" s="996">
        <v>3</v>
      </c>
      <c r="B554" s="996" t="s">
        <v>921</v>
      </c>
      <c r="C554" s="996" t="s">
        <v>873</v>
      </c>
      <c r="D554" s="996" t="s">
        <v>79</v>
      </c>
      <c r="E554" s="996" t="s">
        <v>801</v>
      </c>
      <c r="F554" s="996" t="s">
        <v>403</v>
      </c>
      <c r="G554" s="987">
        <v>5960000</v>
      </c>
      <c r="H554" s="74" t="s">
        <v>1340</v>
      </c>
      <c r="I554" s="74" t="s">
        <v>1340</v>
      </c>
      <c r="J554" s="74" t="s">
        <v>1328</v>
      </c>
    </row>
    <row r="555" spans="1:18" hidden="1">
      <c r="A555" s="996">
        <v>3</v>
      </c>
      <c r="B555" s="996" t="s">
        <v>921</v>
      </c>
      <c r="C555" s="996" t="s">
        <v>873</v>
      </c>
      <c r="D555" s="996" t="s">
        <v>82</v>
      </c>
      <c r="E555" s="996" t="s">
        <v>811</v>
      </c>
      <c r="F555" s="996" t="s">
        <v>404</v>
      </c>
      <c r="G555" s="987">
        <v>25431000</v>
      </c>
      <c r="H555" s="74" t="s">
        <v>1340</v>
      </c>
      <c r="I555" s="74" t="s">
        <v>1340</v>
      </c>
      <c r="J555" s="74" t="s">
        <v>1328</v>
      </c>
    </row>
    <row r="556" spans="1:18" s="915" customFormat="1" hidden="1">
      <c r="A556" s="996">
        <v>3</v>
      </c>
      <c r="B556" s="996" t="s">
        <v>921</v>
      </c>
      <c r="C556" s="996" t="s">
        <v>873</v>
      </c>
      <c r="D556" s="996" t="s">
        <v>83</v>
      </c>
      <c r="E556" s="996" t="s">
        <v>812</v>
      </c>
      <c r="F556" s="996" t="s">
        <v>405</v>
      </c>
      <c r="G556" s="987">
        <v>1375000</v>
      </c>
      <c r="H556" s="74" t="s">
        <v>1340</v>
      </c>
      <c r="I556" s="74" t="s">
        <v>1340</v>
      </c>
      <c r="J556" s="74" t="s">
        <v>1328</v>
      </c>
      <c r="M556" s="989"/>
      <c r="R556" s="989"/>
    </row>
    <row r="557" spans="1:18" s="915" customFormat="1" hidden="1">
      <c r="A557" s="996">
        <v>3</v>
      </c>
      <c r="B557" s="996" t="s">
        <v>921</v>
      </c>
      <c r="C557" s="996" t="s">
        <v>873</v>
      </c>
      <c r="D557" s="996" t="s">
        <v>84</v>
      </c>
      <c r="E557" s="996" t="s">
        <v>813</v>
      </c>
      <c r="F557" s="996" t="s">
        <v>406</v>
      </c>
      <c r="G557" s="987">
        <v>4124000</v>
      </c>
      <c r="H557" s="74" t="s">
        <v>1340</v>
      </c>
      <c r="I557" s="74" t="s">
        <v>1340</v>
      </c>
      <c r="J557" s="74" t="s">
        <v>1328</v>
      </c>
      <c r="M557" s="989"/>
      <c r="R557" s="989"/>
    </row>
    <row r="558" spans="1:18" s="915" customFormat="1" hidden="1">
      <c r="A558" s="996">
        <v>3</v>
      </c>
      <c r="B558" s="996" t="s">
        <v>921</v>
      </c>
      <c r="C558" s="996" t="s">
        <v>873</v>
      </c>
      <c r="D558" s="996" t="s">
        <v>85</v>
      </c>
      <c r="E558" s="996" t="s">
        <v>814</v>
      </c>
      <c r="F558" s="996" t="s">
        <v>407</v>
      </c>
      <c r="G558" s="987">
        <v>13747000</v>
      </c>
      <c r="H558" s="74" t="s">
        <v>1340</v>
      </c>
      <c r="I558" s="74" t="s">
        <v>1340</v>
      </c>
      <c r="J558" s="74" t="s">
        <v>1328</v>
      </c>
      <c r="M558" s="989"/>
      <c r="R558" s="989"/>
    </row>
    <row r="559" spans="1:18" s="915" customFormat="1" hidden="1">
      <c r="A559" s="996">
        <v>3</v>
      </c>
      <c r="B559" s="996" t="s">
        <v>921</v>
      </c>
      <c r="C559" s="996" t="s">
        <v>873</v>
      </c>
      <c r="D559" s="996" t="s">
        <v>86</v>
      </c>
      <c r="E559" s="996" t="s">
        <v>815</v>
      </c>
      <c r="F559" s="996" t="s">
        <v>408</v>
      </c>
      <c r="G559" s="987">
        <v>1375000</v>
      </c>
      <c r="H559" s="74" t="s">
        <v>1340</v>
      </c>
      <c r="I559" s="74" t="s">
        <v>1340</v>
      </c>
      <c r="J559" s="74" t="s">
        <v>1328</v>
      </c>
      <c r="M559" s="989"/>
      <c r="R559" s="989"/>
    </row>
    <row r="560" spans="1:18" s="915" customFormat="1" hidden="1">
      <c r="A560" s="996">
        <v>3</v>
      </c>
      <c r="B560" s="996" t="s">
        <v>921</v>
      </c>
      <c r="C560" s="996" t="s">
        <v>873</v>
      </c>
      <c r="D560" s="996" t="s">
        <v>425</v>
      </c>
      <c r="E560" s="996" t="s">
        <v>816</v>
      </c>
      <c r="F560" s="996" t="s">
        <v>945</v>
      </c>
      <c r="G560" s="987">
        <v>14901000</v>
      </c>
      <c r="H560" s="74" t="s">
        <v>1340</v>
      </c>
      <c r="I560" s="74" t="s">
        <v>1340</v>
      </c>
      <c r="J560" s="74" t="s">
        <v>1328</v>
      </c>
      <c r="M560" s="989"/>
      <c r="R560" s="989"/>
    </row>
    <row r="561" spans="1:18" s="915" customFormat="1" hidden="1">
      <c r="A561" s="996">
        <v>3</v>
      </c>
      <c r="B561" s="996" t="s">
        <v>921</v>
      </c>
      <c r="C561" s="996" t="s">
        <v>873</v>
      </c>
      <c r="D561" s="996" t="s">
        <v>89</v>
      </c>
      <c r="E561" s="996" t="s">
        <v>817</v>
      </c>
      <c r="F561" s="996" t="s">
        <v>409</v>
      </c>
      <c r="G561" s="987">
        <v>8248000</v>
      </c>
      <c r="H561" s="74" t="s">
        <v>1340</v>
      </c>
      <c r="I561" s="74" t="s">
        <v>1340</v>
      </c>
      <c r="J561" s="74" t="s">
        <v>1328</v>
      </c>
      <c r="M561" s="989"/>
      <c r="R561" s="989"/>
    </row>
    <row r="562" spans="1:18" s="915" customFormat="1" hidden="1">
      <c r="A562" s="996">
        <v>3</v>
      </c>
      <c r="B562" s="996" t="s">
        <v>921</v>
      </c>
      <c r="C562" s="996" t="s">
        <v>873</v>
      </c>
      <c r="D562" s="996" t="s">
        <v>90</v>
      </c>
      <c r="E562" s="996" t="s">
        <v>818</v>
      </c>
      <c r="F562" s="996" t="s">
        <v>714</v>
      </c>
      <c r="G562" s="987">
        <v>4124000</v>
      </c>
      <c r="H562" s="74" t="s">
        <v>1340</v>
      </c>
      <c r="I562" s="74" t="s">
        <v>1340</v>
      </c>
      <c r="J562" s="74" t="s">
        <v>1328</v>
      </c>
      <c r="M562" s="989"/>
      <c r="R562" s="989"/>
    </row>
    <row r="563" spans="1:18" s="915" customFormat="1" hidden="1">
      <c r="A563" s="996">
        <v>3</v>
      </c>
      <c r="B563" s="996" t="s">
        <v>921</v>
      </c>
      <c r="C563" s="996" t="s">
        <v>874</v>
      </c>
      <c r="D563" s="996" t="s">
        <v>127</v>
      </c>
      <c r="E563" s="996" t="s">
        <v>834</v>
      </c>
      <c r="F563" s="996" t="s">
        <v>1161</v>
      </c>
      <c r="G563" s="997">
        <v>16000000</v>
      </c>
      <c r="H563" s="74" t="s">
        <v>448</v>
      </c>
      <c r="I563" s="74" t="s">
        <v>1339</v>
      </c>
      <c r="J563" s="74" t="s">
        <v>1328</v>
      </c>
      <c r="M563" s="989"/>
      <c r="R563" s="989"/>
    </row>
    <row r="564" spans="1:18" s="915" customFormat="1" hidden="1">
      <c r="A564" s="996">
        <v>3</v>
      </c>
      <c r="B564" s="996" t="s">
        <v>921</v>
      </c>
      <c r="C564" s="996" t="s">
        <v>874</v>
      </c>
      <c r="D564" s="996" t="s">
        <v>138</v>
      </c>
      <c r="E564" s="996" t="s">
        <v>985</v>
      </c>
      <c r="F564" s="996" t="s">
        <v>1423</v>
      </c>
      <c r="G564" s="997">
        <v>2561000</v>
      </c>
      <c r="H564" s="74" t="s">
        <v>448</v>
      </c>
      <c r="I564" s="74" t="s">
        <v>1339</v>
      </c>
      <c r="J564" s="74" t="s">
        <v>1328</v>
      </c>
      <c r="M564" s="989"/>
      <c r="R564" s="989"/>
    </row>
    <row r="565" spans="1:18" s="915" customFormat="1" hidden="1">
      <c r="A565" s="996">
        <v>3</v>
      </c>
      <c r="B565" s="996" t="s">
        <v>921</v>
      </c>
      <c r="C565" s="996" t="s">
        <v>874</v>
      </c>
      <c r="D565" s="996" t="s">
        <v>156</v>
      </c>
      <c r="E565" s="996" t="s">
        <v>845</v>
      </c>
      <c r="F565" s="996" t="s">
        <v>1162</v>
      </c>
      <c r="G565" s="997">
        <v>1000000</v>
      </c>
      <c r="H565" s="74" t="s">
        <v>448</v>
      </c>
      <c r="I565" s="74" t="s">
        <v>1339</v>
      </c>
      <c r="J565" s="74" t="s">
        <v>1328</v>
      </c>
      <c r="M565" s="989"/>
      <c r="R565" s="989"/>
    </row>
    <row r="566" spans="1:18" s="915" customFormat="1" hidden="1">
      <c r="A566" s="996">
        <v>3</v>
      </c>
      <c r="B566" s="996" t="s">
        <v>922</v>
      </c>
      <c r="C566" s="996" t="s">
        <v>873</v>
      </c>
      <c r="D566" s="996" t="s">
        <v>67</v>
      </c>
      <c r="E566" s="996" t="s">
        <v>803</v>
      </c>
      <c r="F566" s="996" t="s">
        <v>989</v>
      </c>
      <c r="G566" s="987">
        <v>98126000</v>
      </c>
      <c r="H566" s="74" t="s">
        <v>1340</v>
      </c>
      <c r="I566" s="74" t="s">
        <v>1340</v>
      </c>
      <c r="J566" s="74" t="s">
        <v>1328</v>
      </c>
      <c r="M566" s="989"/>
      <c r="R566" s="989"/>
    </row>
    <row r="567" spans="1:18" s="915" customFormat="1" hidden="1">
      <c r="A567" s="996">
        <v>3</v>
      </c>
      <c r="B567" s="996" t="s">
        <v>922</v>
      </c>
      <c r="C567" s="996" t="s">
        <v>873</v>
      </c>
      <c r="D567" s="996" t="s">
        <v>71</v>
      </c>
      <c r="E567" s="996" t="s">
        <v>806</v>
      </c>
      <c r="F567" s="996" t="s">
        <v>663</v>
      </c>
      <c r="G567" s="987">
        <v>727000</v>
      </c>
      <c r="H567" s="74" t="s">
        <v>1340</v>
      </c>
      <c r="I567" s="74" t="s">
        <v>1340</v>
      </c>
      <c r="J567" s="74" t="s">
        <v>1328</v>
      </c>
      <c r="M567" s="989"/>
      <c r="R567" s="989"/>
    </row>
    <row r="568" spans="1:18" s="915" customFormat="1" hidden="1">
      <c r="A568" s="996">
        <v>3</v>
      </c>
      <c r="B568" s="996" t="s">
        <v>922</v>
      </c>
      <c r="C568" s="996" t="s">
        <v>873</v>
      </c>
      <c r="D568" s="996" t="s">
        <v>75</v>
      </c>
      <c r="E568" s="996" t="s">
        <v>799</v>
      </c>
      <c r="F568" s="996" t="s">
        <v>399</v>
      </c>
      <c r="G568" s="987">
        <v>7921000</v>
      </c>
      <c r="H568" s="74" t="s">
        <v>1340</v>
      </c>
      <c r="I568" s="74" t="s">
        <v>1340</v>
      </c>
      <c r="J568" s="74" t="s">
        <v>1328</v>
      </c>
      <c r="M568" s="989"/>
      <c r="R568" s="989"/>
    </row>
    <row r="569" spans="1:18" s="915" customFormat="1" hidden="1">
      <c r="A569" s="996">
        <v>3</v>
      </c>
      <c r="B569" s="996" t="s">
        <v>922</v>
      </c>
      <c r="C569" s="996" t="s">
        <v>873</v>
      </c>
      <c r="D569" s="996" t="s">
        <v>76</v>
      </c>
      <c r="E569" s="996" t="s">
        <v>800</v>
      </c>
      <c r="F569" s="996" t="s">
        <v>400</v>
      </c>
      <c r="G569" s="987">
        <v>6347000</v>
      </c>
      <c r="H569" s="74" t="s">
        <v>1340</v>
      </c>
      <c r="I569" s="74" t="s">
        <v>1340</v>
      </c>
      <c r="J569" s="74" t="s">
        <v>1328</v>
      </c>
      <c r="M569" s="989"/>
      <c r="R569" s="989"/>
    </row>
    <row r="570" spans="1:18" s="915" customFormat="1" hidden="1">
      <c r="A570" s="996">
        <v>3</v>
      </c>
      <c r="B570" s="996" t="s">
        <v>922</v>
      </c>
      <c r="C570" s="996" t="s">
        <v>873</v>
      </c>
      <c r="D570" s="996" t="s">
        <v>77</v>
      </c>
      <c r="E570" s="996" t="s">
        <v>809</v>
      </c>
      <c r="F570" s="996" t="s">
        <v>401</v>
      </c>
      <c r="G570" s="987">
        <v>10530000</v>
      </c>
      <c r="H570" s="74" t="s">
        <v>1340</v>
      </c>
      <c r="I570" s="74" t="s">
        <v>1340</v>
      </c>
      <c r="J570" s="74" t="s">
        <v>1328</v>
      </c>
      <c r="M570" s="989"/>
      <c r="R570" s="989"/>
    </row>
    <row r="571" spans="1:18" s="915" customFormat="1" hidden="1">
      <c r="A571" s="996">
        <v>3</v>
      </c>
      <c r="B571" s="996" t="s">
        <v>922</v>
      </c>
      <c r="C571" s="996" t="s">
        <v>873</v>
      </c>
      <c r="D571" s="996" t="s">
        <v>78</v>
      </c>
      <c r="E571" s="996" t="s">
        <v>810</v>
      </c>
      <c r="F571" s="996" t="s">
        <v>402</v>
      </c>
      <c r="G571" s="987">
        <v>9782000</v>
      </c>
      <c r="H571" s="74" t="s">
        <v>1340</v>
      </c>
      <c r="I571" s="74" t="s">
        <v>1340</v>
      </c>
      <c r="J571" s="74" t="s">
        <v>1328</v>
      </c>
      <c r="M571" s="989"/>
      <c r="R571" s="989"/>
    </row>
    <row r="572" spans="1:18" hidden="1">
      <c r="A572" s="996">
        <v>3</v>
      </c>
      <c r="B572" s="996" t="s">
        <v>922</v>
      </c>
      <c r="C572" s="996" t="s">
        <v>873</v>
      </c>
      <c r="D572" s="996" t="s">
        <v>79</v>
      </c>
      <c r="E572" s="996" t="s">
        <v>801</v>
      </c>
      <c r="F572" s="996" t="s">
        <v>403</v>
      </c>
      <c r="G572" s="987">
        <v>3523000</v>
      </c>
      <c r="H572" s="74" t="s">
        <v>1340</v>
      </c>
      <c r="I572" s="74" t="s">
        <v>1340</v>
      </c>
      <c r="J572" s="74" t="s">
        <v>1328</v>
      </c>
    </row>
    <row r="573" spans="1:18" hidden="1">
      <c r="A573" s="996">
        <v>3</v>
      </c>
      <c r="B573" s="996" t="s">
        <v>922</v>
      </c>
      <c r="C573" s="996" t="s">
        <v>873</v>
      </c>
      <c r="D573" s="996" t="s">
        <v>82</v>
      </c>
      <c r="E573" s="996" t="s">
        <v>811</v>
      </c>
      <c r="F573" s="996" t="s">
        <v>404</v>
      </c>
      <c r="G573" s="987">
        <v>11694000</v>
      </c>
      <c r="H573" s="74" t="s">
        <v>1340</v>
      </c>
      <c r="I573" s="74" t="s">
        <v>1340</v>
      </c>
      <c r="J573" s="74" t="s">
        <v>1328</v>
      </c>
    </row>
    <row r="574" spans="1:18" hidden="1">
      <c r="A574" s="996">
        <v>3</v>
      </c>
      <c r="B574" s="996" t="s">
        <v>922</v>
      </c>
      <c r="C574" s="996" t="s">
        <v>873</v>
      </c>
      <c r="D574" s="996" t="s">
        <v>83</v>
      </c>
      <c r="E574" s="996" t="s">
        <v>812</v>
      </c>
      <c r="F574" s="996" t="s">
        <v>405</v>
      </c>
      <c r="G574" s="987">
        <v>632000</v>
      </c>
      <c r="H574" s="74" t="s">
        <v>1340</v>
      </c>
      <c r="I574" s="74" t="s">
        <v>1340</v>
      </c>
      <c r="J574" s="74" t="s">
        <v>1328</v>
      </c>
    </row>
    <row r="575" spans="1:18" hidden="1">
      <c r="A575" s="996">
        <v>3</v>
      </c>
      <c r="B575" s="996" t="s">
        <v>922</v>
      </c>
      <c r="C575" s="996" t="s">
        <v>873</v>
      </c>
      <c r="D575" s="996" t="s">
        <v>84</v>
      </c>
      <c r="E575" s="996" t="s">
        <v>813</v>
      </c>
      <c r="F575" s="999" t="s">
        <v>406</v>
      </c>
      <c r="G575" s="987">
        <v>1896000</v>
      </c>
      <c r="H575" s="74" t="s">
        <v>1340</v>
      </c>
      <c r="I575" s="74" t="s">
        <v>1340</v>
      </c>
      <c r="J575" s="74" t="s">
        <v>1328</v>
      </c>
    </row>
    <row r="576" spans="1:18" hidden="1">
      <c r="A576" s="996">
        <v>3</v>
      </c>
      <c r="B576" s="996" t="s">
        <v>922</v>
      </c>
      <c r="C576" s="996" t="s">
        <v>873</v>
      </c>
      <c r="D576" s="996" t="s">
        <v>85</v>
      </c>
      <c r="E576" s="996" t="s">
        <v>814</v>
      </c>
      <c r="F576" s="996" t="s">
        <v>407</v>
      </c>
      <c r="G576" s="987">
        <v>6321000</v>
      </c>
      <c r="H576" s="74" t="s">
        <v>1340</v>
      </c>
      <c r="I576" s="74" t="s">
        <v>1340</v>
      </c>
      <c r="J576" s="74" t="s">
        <v>1328</v>
      </c>
    </row>
    <row r="577" spans="1:10" hidden="1">
      <c r="A577" s="996">
        <v>3</v>
      </c>
      <c r="B577" s="996" t="s">
        <v>922</v>
      </c>
      <c r="C577" s="996" t="s">
        <v>873</v>
      </c>
      <c r="D577" s="996" t="s">
        <v>86</v>
      </c>
      <c r="E577" s="996" t="s">
        <v>815</v>
      </c>
      <c r="F577" s="996" t="s">
        <v>408</v>
      </c>
      <c r="G577" s="987">
        <v>632000</v>
      </c>
      <c r="H577" s="74" t="s">
        <v>1340</v>
      </c>
      <c r="I577" s="74" t="s">
        <v>1340</v>
      </c>
      <c r="J577" s="74" t="s">
        <v>1328</v>
      </c>
    </row>
    <row r="578" spans="1:10" hidden="1">
      <c r="A578" s="996">
        <v>3</v>
      </c>
      <c r="B578" s="996" t="s">
        <v>922</v>
      </c>
      <c r="C578" s="996" t="s">
        <v>873</v>
      </c>
      <c r="D578" s="996" t="s">
        <v>425</v>
      </c>
      <c r="E578" s="996" t="s">
        <v>816</v>
      </c>
      <c r="F578" s="996" t="s">
        <v>945</v>
      </c>
      <c r="G578" s="987">
        <v>6852000</v>
      </c>
      <c r="H578" s="74" t="s">
        <v>1340</v>
      </c>
      <c r="I578" s="74" t="s">
        <v>1340</v>
      </c>
      <c r="J578" s="74" t="s">
        <v>1328</v>
      </c>
    </row>
    <row r="579" spans="1:10" hidden="1">
      <c r="A579" s="996">
        <v>3</v>
      </c>
      <c r="B579" s="996" t="s">
        <v>922</v>
      </c>
      <c r="C579" s="996" t="s">
        <v>873</v>
      </c>
      <c r="D579" s="996" t="s">
        <v>89</v>
      </c>
      <c r="E579" s="996" t="s">
        <v>817</v>
      </c>
      <c r="F579" s="996" t="s">
        <v>409</v>
      </c>
      <c r="G579" s="987">
        <v>3793000</v>
      </c>
      <c r="H579" s="74" t="s">
        <v>1340</v>
      </c>
      <c r="I579" s="74" t="s">
        <v>1340</v>
      </c>
      <c r="J579" s="74" t="s">
        <v>1328</v>
      </c>
    </row>
    <row r="580" spans="1:10" hidden="1">
      <c r="A580" s="996">
        <v>3</v>
      </c>
      <c r="B580" s="996" t="s">
        <v>922</v>
      </c>
      <c r="C580" s="996" t="s">
        <v>873</v>
      </c>
      <c r="D580" s="996" t="s">
        <v>90</v>
      </c>
      <c r="E580" s="996" t="s">
        <v>818</v>
      </c>
      <c r="F580" s="996" t="s">
        <v>714</v>
      </c>
      <c r="G580" s="987">
        <v>1896000</v>
      </c>
      <c r="H580" s="74" t="s">
        <v>1340</v>
      </c>
      <c r="I580" s="74" t="s">
        <v>1340</v>
      </c>
      <c r="J580" s="74" t="s">
        <v>1328</v>
      </c>
    </row>
    <row r="581" spans="1:10" hidden="1">
      <c r="A581" s="996">
        <v>3</v>
      </c>
      <c r="B581" s="996" t="s">
        <v>922</v>
      </c>
      <c r="C581" s="996" t="s">
        <v>874</v>
      </c>
      <c r="D581" s="996" t="s">
        <v>138</v>
      </c>
      <c r="E581" s="996" t="s">
        <v>985</v>
      </c>
      <c r="F581" s="996" t="s">
        <v>1163</v>
      </c>
      <c r="G581" s="997">
        <v>1177000</v>
      </c>
      <c r="H581" s="74" t="s">
        <v>448</v>
      </c>
      <c r="I581" s="74" t="s">
        <v>1339</v>
      </c>
      <c r="J581" s="74" t="s">
        <v>1328</v>
      </c>
    </row>
    <row r="582" spans="1:10" hidden="1">
      <c r="A582" s="996">
        <v>3</v>
      </c>
      <c r="B582" s="996" t="s">
        <v>923</v>
      </c>
      <c r="C582" s="996" t="s">
        <v>873</v>
      </c>
      <c r="D582" s="996" t="s">
        <v>67</v>
      </c>
      <c r="E582" s="996" t="s">
        <v>803</v>
      </c>
      <c r="F582" s="996" t="s">
        <v>991</v>
      </c>
      <c r="G582" s="987">
        <v>49650000</v>
      </c>
      <c r="H582" s="74" t="s">
        <v>1340</v>
      </c>
      <c r="I582" s="74" t="s">
        <v>1340</v>
      </c>
      <c r="J582" s="74" t="s">
        <v>1328</v>
      </c>
    </row>
    <row r="583" spans="1:10" hidden="1">
      <c r="A583" s="996">
        <v>3</v>
      </c>
      <c r="B583" s="996" t="s">
        <v>923</v>
      </c>
      <c r="C583" s="996" t="s">
        <v>873</v>
      </c>
      <c r="D583" s="996" t="s">
        <v>71</v>
      </c>
      <c r="E583" s="996" t="s">
        <v>806</v>
      </c>
      <c r="F583" s="996" t="s">
        <v>1164</v>
      </c>
      <c r="G583" s="987">
        <v>224000</v>
      </c>
      <c r="H583" s="74" t="s">
        <v>1340</v>
      </c>
      <c r="I583" s="74" t="s">
        <v>1340</v>
      </c>
      <c r="J583" s="74" t="s">
        <v>1328</v>
      </c>
    </row>
    <row r="584" spans="1:10" hidden="1">
      <c r="A584" s="996">
        <v>3</v>
      </c>
      <c r="B584" s="996" t="s">
        <v>923</v>
      </c>
      <c r="C584" s="996" t="s">
        <v>873</v>
      </c>
      <c r="D584" s="996" t="s">
        <v>75</v>
      </c>
      <c r="E584" s="996" t="s">
        <v>799</v>
      </c>
      <c r="F584" s="996" t="s">
        <v>1013</v>
      </c>
      <c r="G584" s="987">
        <v>10236000</v>
      </c>
      <c r="H584" s="74" t="s">
        <v>1340</v>
      </c>
      <c r="I584" s="74" t="s">
        <v>1340</v>
      </c>
      <c r="J584" s="74" t="s">
        <v>1328</v>
      </c>
    </row>
    <row r="585" spans="1:10" hidden="1">
      <c r="A585" s="996">
        <v>3</v>
      </c>
      <c r="B585" s="996" t="s">
        <v>923</v>
      </c>
      <c r="C585" s="996" t="s">
        <v>873</v>
      </c>
      <c r="D585" s="996" t="s">
        <v>76</v>
      </c>
      <c r="E585" s="996" t="s">
        <v>800</v>
      </c>
      <c r="F585" s="996" t="s">
        <v>1165</v>
      </c>
      <c r="G585" s="987">
        <v>7085000</v>
      </c>
      <c r="H585" s="74" t="s">
        <v>1340</v>
      </c>
      <c r="I585" s="74" t="s">
        <v>1340</v>
      </c>
      <c r="J585" s="74" t="s">
        <v>1328</v>
      </c>
    </row>
    <row r="586" spans="1:10" hidden="1">
      <c r="A586" s="996">
        <v>3</v>
      </c>
      <c r="B586" s="996" t="s">
        <v>923</v>
      </c>
      <c r="C586" s="996" t="s">
        <v>873</v>
      </c>
      <c r="D586" s="996" t="s">
        <v>77</v>
      </c>
      <c r="E586" s="996" t="s">
        <v>809</v>
      </c>
      <c r="F586" s="996" t="s">
        <v>1166</v>
      </c>
      <c r="G586" s="987">
        <v>6183000</v>
      </c>
      <c r="H586" s="74" t="s">
        <v>1340</v>
      </c>
      <c r="I586" s="74" t="s">
        <v>1340</v>
      </c>
      <c r="J586" s="74" t="s">
        <v>1328</v>
      </c>
    </row>
    <row r="587" spans="1:10" hidden="1">
      <c r="A587" s="996">
        <v>3</v>
      </c>
      <c r="B587" s="996" t="s">
        <v>923</v>
      </c>
      <c r="C587" s="996" t="s">
        <v>873</v>
      </c>
      <c r="D587" s="996" t="s">
        <v>78</v>
      </c>
      <c r="E587" s="996" t="s">
        <v>810</v>
      </c>
      <c r="F587" s="996" t="s">
        <v>1167</v>
      </c>
      <c r="G587" s="987">
        <v>5872000</v>
      </c>
      <c r="H587" s="74" t="s">
        <v>1340</v>
      </c>
      <c r="I587" s="74" t="s">
        <v>1340</v>
      </c>
      <c r="J587" s="74" t="s">
        <v>1328</v>
      </c>
    </row>
    <row r="588" spans="1:10" hidden="1">
      <c r="A588" s="996">
        <v>3</v>
      </c>
      <c r="B588" s="996" t="s">
        <v>923</v>
      </c>
      <c r="C588" s="996" t="s">
        <v>873</v>
      </c>
      <c r="D588" s="996" t="s">
        <v>79</v>
      </c>
      <c r="E588" s="996" t="s">
        <v>801</v>
      </c>
      <c r="F588" s="996" t="s">
        <v>1168</v>
      </c>
      <c r="G588" s="987">
        <v>1296000</v>
      </c>
      <c r="H588" s="74" t="s">
        <v>1340</v>
      </c>
      <c r="I588" s="74" t="s">
        <v>1340</v>
      </c>
      <c r="J588" s="74" t="s">
        <v>1328</v>
      </c>
    </row>
    <row r="589" spans="1:10" hidden="1">
      <c r="A589" s="996">
        <v>3</v>
      </c>
      <c r="B589" s="996" t="s">
        <v>923</v>
      </c>
      <c r="C589" s="996" t="s">
        <v>873</v>
      </c>
      <c r="D589" s="996" t="s">
        <v>82</v>
      </c>
      <c r="E589" s="996" t="s">
        <v>811</v>
      </c>
      <c r="F589" s="996" t="s">
        <v>995</v>
      </c>
      <c r="G589" s="987">
        <v>6879000</v>
      </c>
      <c r="H589" s="74" t="s">
        <v>1340</v>
      </c>
      <c r="I589" s="74" t="s">
        <v>1340</v>
      </c>
      <c r="J589" s="74" t="s">
        <v>1328</v>
      </c>
    </row>
    <row r="590" spans="1:10" hidden="1">
      <c r="A590" s="996">
        <v>3</v>
      </c>
      <c r="B590" s="996" t="s">
        <v>923</v>
      </c>
      <c r="C590" s="996" t="s">
        <v>873</v>
      </c>
      <c r="D590" s="996" t="s">
        <v>83</v>
      </c>
      <c r="E590" s="996" t="s">
        <v>812</v>
      </c>
      <c r="F590" s="996" t="s">
        <v>1169</v>
      </c>
      <c r="G590" s="987">
        <v>372000</v>
      </c>
      <c r="H590" s="74" t="s">
        <v>1340</v>
      </c>
      <c r="I590" s="74" t="s">
        <v>1340</v>
      </c>
      <c r="J590" s="74" t="s">
        <v>1328</v>
      </c>
    </row>
    <row r="591" spans="1:10" hidden="1">
      <c r="A591" s="996">
        <v>3</v>
      </c>
      <c r="B591" s="996" t="s">
        <v>923</v>
      </c>
      <c r="C591" s="996" t="s">
        <v>873</v>
      </c>
      <c r="D591" s="996" t="s">
        <v>84</v>
      </c>
      <c r="E591" s="996" t="s">
        <v>813</v>
      </c>
      <c r="F591" s="996" t="s">
        <v>1170</v>
      </c>
      <c r="G591" s="987">
        <v>1115000</v>
      </c>
      <c r="H591" s="74" t="s">
        <v>1340</v>
      </c>
      <c r="I591" s="74" t="s">
        <v>1340</v>
      </c>
      <c r="J591" s="74" t="s">
        <v>1328</v>
      </c>
    </row>
    <row r="592" spans="1:10" hidden="1">
      <c r="A592" s="996">
        <v>3</v>
      </c>
      <c r="B592" s="996" t="s">
        <v>923</v>
      </c>
      <c r="C592" s="996" t="s">
        <v>873</v>
      </c>
      <c r="D592" s="996" t="s">
        <v>85</v>
      </c>
      <c r="E592" s="996" t="s">
        <v>814</v>
      </c>
      <c r="F592" s="996" t="s">
        <v>1171</v>
      </c>
      <c r="G592" s="987">
        <v>3718000</v>
      </c>
      <c r="H592" s="74" t="s">
        <v>1340</v>
      </c>
      <c r="I592" s="74" t="s">
        <v>1340</v>
      </c>
      <c r="J592" s="74" t="s">
        <v>1328</v>
      </c>
    </row>
    <row r="593" spans="1:18" hidden="1">
      <c r="A593" s="996">
        <v>3</v>
      </c>
      <c r="B593" s="996" t="s">
        <v>923</v>
      </c>
      <c r="C593" s="996" t="s">
        <v>873</v>
      </c>
      <c r="D593" s="996" t="s">
        <v>86</v>
      </c>
      <c r="E593" s="996" t="s">
        <v>815</v>
      </c>
      <c r="F593" s="996" t="s">
        <v>1172</v>
      </c>
      <c r="G593" s="987">
        <v>372000</v>
      </c>
      <c r="H593" s="74" t="s">
        <v>1340</v>
      </c>
      <c r="I593" s="74" t="s">
        <v>1340</v>
      </c>
      <c r="J593" s="74" t="s">
        <v>1328</v>
      </c>
    </row>
    <row r="594" spans="1:18" hidden="1">
      <c r="A594" s="996">
        <v>3</v>
      </c>
      <c r="B594" s="996" t="s">
        <v>923</v>
      </c>
      <c r="C594" s="996" t="s">
        <v>873</v>
      </c>
      <c r="D594" s="996" t="s">
        <v>425</v>
      </c>
      <c r="E594" s="996" t="s">
        <v>816</v>
      </c>
      <c r="F594" s="996" t="s">
        <v>1173</v>
      </c>
      <c r="G594" s="987">
        <v>4030000</v>
      </c>
      <c r="H594" s="74" t="s">
        <v>1340</v>
      </c>
      <c r="I594" s="74" t="s">
        <v>1340</v>
      </c>
      <c r="J594" s="74" t="s">
        <v>1328</v>
      </c>
    </row>
    <row r="595" spans="1:18" hidden="1">
      <c r="A595" s="996">
        <v>3</v>
      </c>
      <c r="B595" s="996" t="s">
        <v>923</v>
      </c>
      <c r="C595" s="996" t="s">
        <v>873</v>
      </c>
      <c r="D595" s="996" t="s">
        <v>89</v>
      </c>
      <c r="E595" s="996" t="s">
        <v>817</v>
      </c>
      <c r="F595" s="996" t="s">
        <v>1173</v>
      </c>
      <c r="G595" s="987">
        <v>2231000</v>
      </c>
      <c r="H595" s="74" t="s">
        <v>1340</v>
      </c>
      <c r="I595" s="74" t="s">
        <v>1340</v>
      </c>
      <c r="J595" s="74" t="s">
        <v>1328</v>
      </c>
    </row>
    <row r="596" spans="1:18" hidden="1">
      <c r="A596" s="996">
        <v>3</v>
      </c>
      <c r="B596" s="996" t="s">
        <v>923</v>
      </c>
      <c r="C596" s="996" t="s">
        <v>873</v>
      </c>
      <c r="D596" s="996" t="s">
        <v>90</v>
      </c>
      <c r="E596" s="996" t="s">
        <v>818</v>
      </c>
      <c r="F596" s="996" t="s">
        <v>1002</v>
      </c>
      <c r="G596" s="987">
        <v>1115000</v>
      </c>
      <c r="H596" s="74" t="s">
        <v>1340</v>
      </c>
      <c r="I596" s="74" t="s">
        <v>1340</v>
      </c>
      <c r="J596" s="74" t="s">
        <v>1328</v>
      </c>
    </row>
    <row r="597" spans="1:18" hidden="1">
      <c r="A597" s="996">
        <v>3</v>
      </c>
      <c r="B597" s="996" t="s">
        <v>923</v>
      </c>
      <c r="C597" s="996" t="s">
        <v>874</v>
      </c>
      <c r="D597" s="996" t="s">
        <v>94</v>
      </c>
      <c r="E597" s="996" t="s">
        <v>819</v>
      </c>
      <c r="F597" s="996" t="s">
        <v>1174</v>
      </c>
      <c r="G597" s="997">
        <v>41714000</v>
      </c>
      <c r="H597" s="74" t="s">
        <v>448</v>
      </c>
      <c r="I597" s="74" t="s">
        <v>1339</v>
      </c>
      <c r="J597" s="74" t="s">
        <v>1328</v>
      </c>
    </row>
    <row r="598" spans="1:18" hidden="1">
      <c r="A598" s="996">
        <v>3</v>
      </c>
      <c r="B598" s="996" t="s">
        <v>923</v>
      </c>
      <c r="C598" s="996" t="s">
        <v>874</v>
      </c>
      <c r="D598" s="996" t="s">
        <v>103</v>
      </c>
      <c r="E598" s="996" t="s">
        <v>821</v>
      </c>
      <c r="F598" s="996" t="s">
        <v>1175</v>
      </c>
      <c r="G598" s="997">
        <v>1800000</v>
      </c>
      <c r="H598" s="74" t="s">
        <v>448</v>
      </c>
      <c r="I598" s="74" t="s">
        <v>1339</v>
      </c>
      <c r="J598" s="74" t="s">
        <v>1328</v>
      </c>
    </row>
    <row r="599" spans="1:18" hidden="1">
      <c r="A599" s="996">
        <v>3</v>
      </c>
      <c r="B599" s="996" t="s">
        <v>923</v>
      </c>
      <c r="C599" s="996" t="s">
        <v>874</v>
      </c>
      <c r="D599" s="996" t="s">
        <v>105</v>
      </c>
      <c r="E599" s="996" t="s">
        <v>822</v>
      </c>
      <c r="F599" s="996" t="s">
        <v>1176</v>
      </c>
      <c r="G599" s="997">
        <v>5636000</v>
      </c>
      <c r="H599" s="74" t="s">
        <v>448</v>
      </c>
      <c r="I599" s="74" t="s">
        <v>1339</v>
      </c>
      <c r="J599" s="74" t="s">
        <v>1328</v>
      </c>
    </row>
    <row r="600" spans="1:18" hidden="1">
      <c r="A600" s="996">
        <v>3</v>
      </c>
      <c r="B600" s="996" t="s">
        <v>923</v>
      </c>
      <c r="C600" s="996" t="s">
        <v>874</v>
      </c>
      <c r="D600" s="996" t="s">
        <v>286</v>
      </c>
      <c r="E600" s="996" t="s">
        <v>980</v>
      </c>
      <c r="F600" s="996" t="s">
        <v>1177</v>
      </c>
      <c r="G600" s="997">
        <v>2928000</v>
      </c>
      <c r="H600" s="74" t="s">
        <v>448</v>
      </c>
      <c r="I600" s="74" t="s">
        <v>1339</v>
      </c>
      <c r="J600" s="74" t="s">
        <v>1328</v>
      </c>
    </row>
    <row r="601" spans="1:18" hidden="1">
      <c r="A601" s="996">
        <v>3</v>
      </c>
      <c r="B601" s="996" t="s">
        <v>923</v>
      </c>
      <c r="C601" s="996" t="s">
        <v>874</v>
      </c>
      <c r="D601" s="996" t="s">
        <v>125</v>
      </c>
      <c r="E601" s="996" t="s">
        <v>833</v>
      </c>
      <c r="F601" s="996" t="s">
        <v>1178</v>
      </c>
      <c r="G601" s="997">
        <v>13822000</v>
      </c>
      <c r="H601" s="74" t="s">
        <v>448</v>
      </c>
      <c r="I601" s="74" t="s">
        <v>1339</v>
      </c>
      <c r="J601" s="74" t="s">
        <v>1328</v>
      </c>
    </row>
    <row r="602" spans="1:18" hidden="1">
      <c r="A602" s="996">
        <v>3</v>
      </c>
      <c r="B602" s="996" t="s">
        <v>923</v>
      </c>
      <c r="C602" s="996" t="s">
        <v>874</v>
      </c>
      <c r="D602" s="996" t="s">
        <v>138</v>
      </c>
      <c r="E602" s="996" t="s">
        <v>985</v>
      </c>
      <c r="F602" s="996" t="s">
        <v>1179</v>
      </c>
      <c r="G602" s="997">
        <v>2568000</v>
      </c>
      <c r="H602" s="74" t="s">
        <v>448</v>
      </c>
      <c r="I602" s="74" t="s">
        <v>1339</v>
      </c>
      <c r="J602" s="74" t="s">
        <v>1328</v>
      </c>
    </row>
    <row r="603" spans="1:18" hidden="1">
      <c r="A603" s="996">
        <v>3</v>
      </c>
      <c r="B603" s="996" t="s">
        <v>923</v>
      </c>
      <c r="C603" s="996" t="s">
        <v>874</v>
      </c>
      <c r="D603" s="996" t="s">
        <v>138</v>
      </c>
      <c r="E603" s="996" t="s">
        <v>985</v>
      </c>
      <c r="F603" s="996" t="s">
        <v>1180</v>
      </c>
      <c r="G603" s="997">
        <v>23318000</v>
      </c>
      <c r="H603" s="74" t="s">
        <v>448</v>
      </c>
      <c r="I603" s="74" t="s">
        <v>1339</v>
      </c>
      <c r="J603" s="74" t="s">
        <v>1328</v>
      </c>
    </row>
    <row r="604" spans="1:18" hidden="1">
      <c r="A604" s="996">
        <v>3</v>
      </c>
      <c r="B604" s="996" t="s">
        <v>906</v>
      </c>
      <c r="C604" s="996" t="s">
        <v>874</v>
      </c>
      <c r="D604" s="996" t="s">
        <v>153</v>
      </c>
      <c r="E604" s="996" t="s">
        <v>842</v>
      </c>
      <c r="F604" s="996" t="s">
        <v>1181</v>
      </c>
      <c r="G604" s="997">
        <v>1800000</v>
      </c>
      <c r="H604" s="74" t="s">
        <v>448</v>
      </c>
      <c r="I604" s="74" t="s">
        <v>1339</v>
      </c>
      <c r="J604" s="74" t="s">
        <v>1328</v>
      </c>
    </row>
    <row r="605" spans="1:18" hidden="1">
      <c r="A605" s="996">
        <v>3</v>
      </c>
      <c r="B605" s="996" t="s">
        <v>906</v>
      </c>
      <c r="C605" s="996" t="s">
        <v>874</v>
      </c>
      <c r="D605" s="996" t="s">
        <v>153</v>
      </c>
      <c r="E605" s="996" t="s">
        <v>842</v>
      </c>
      <c r="F605" s="996" t="s">
        <v>1182</v>
      </c>
      <c r="G605" s="997">
        <v>1700000</v>
      </c>
      <c r="H605" s="74" t="s">
        <v>448</v>
      </c>
      <c r="I605" s="74" t="s">
        <v>1339</v>
      </c>
      <c r="J605" s="74" t="s">
        <v>1328</v>
      </c>
    </row>
    <row r="606" spans="1:18" hidden="1">
      <c r="A606" s="996">
        <v>3</v>
      </c>
      <c r="B606" s="996" t="s">
        <v>923</v>
      </c>
      <c r="C606" s="996" t="s">
        <v>874</v>
      </c>
      <c r="D606" s="996" t="s">
        <v>153</v>
      </c>
      <c r="E606" s="996" t="s">
        <v>842</v>
      </c>
      <c r="F606" s="996" t="s">
        <v>1183</v>
      </c>
      <c r="G606" s="997">
        <v>40367000</v>
      </c>
      <c r="H606" s="74" t="s">
        <v>448</v>
      </c>
      <c r="I606" s="74" t="s">
        <v>1339</v>
      </c>
      <c r="J606" s="74" t="s">
        <v>1328</v>
      </c>
    </row>
    <row r="607" spans="1:18" hidden="1">
      <c r="A607" s="996">
        <v>3</v>
      </c>
      <c r="B607" s="996" t="s">
        <v>923</v>
      </c>
      <c r="C607" s="996" t="s">
        <v>891</v>
      </c>
      <c r="D607" s="996" t="s">
        <v>166</v>
      </c>
      <c r="E607" s="996" t="s">
        <v>851</v>
      </c>
      <c r="F607" s="996" t="s">
        <v>1184</v>
      </c>
      <c r="G607" s="997">
        <v>31500138</v>
      </c>
      <c r="H607" s="74" t="s">
        <v>448</v>
      </c>
      <c r="I607" s="74" t="s">
        <v>1339</v>
      </c>
      <c r="J607" s="74" t="s">
        <v>1328</v>
      </c>
    </row>
    <row r="608" spans="1:18" s="915" customFormat="1" hidden="1">
      <c r="A608" s="996">
        <v>3</v>
      </c>
      <c r="B608" s="996" t="s">
        <v>923</v>
      </c>
      <c r="C608" s="996" t="s">
        <v>891</v>
      </c>
      <c r="D608" s="996" t="s">
        <v>168</v>
      </c>
      <c r="E608" s="996" t="s">
        <v>852</v>
      </c>
      <c r="F608" s="996" t="s">
        <v>1424</v>
      </c>
      <c r="G608" s="997">
        <v>2261490</v>
      </c>
      <c r="H608" s="74" t="s">
        <v>448</v>
      </c>
      <c r="I608" s="74" t="s">
        <v>1339</v>
      </c>
      <c r="J608" s="74" t="s">
        <v>1328</v>
      </c>
      <c r="M608" s="989"/>
      <c r="R608" s="989"/>
    </row>
    <row r="609" spans="1:18" s="915" customFormat="1" hidden="1">
      <c r="A609" s="996">
        <v>3</v>
      </c>
      <c r="B609" s="996" t="s">
        <v>923</v>
      </c>
      <c r="C609" s="996" t="s">
        <v>891</v>
      </c>
      <c r="D609" s="996" t="s">
        <v>178</v>
      </c>
      <c r="E609" s="996" t="s">
        <v>854</v>
      </c>
      <c r="F609" s="996" t="s">
        <v>1185</v>
      </c>
      <c r="G609" s="997">
        <v>759320</v>
      </c>
      <c r="H609" s="74" t="s">
        <v>448</v>
      </c>
      <c r="I609" s="74" t="s">
        <v>1339</v>
      </c>
      <c r="J609" s="74" t="s">
        <v>1328</v>
      </c>
      <c r="M609" s="989"/>
      <c r="R609" s="989"/>
    </row>
    <row r="610" spans="1:18" s="915" customFormat="1" ht="195" hidden="1">
      <c r="A610" s="996">
        <v>3</v>
      </c>
      <c r="B610" s="996" t="s">
        <v>923</v>
      </c>
      <c r="C610" s="996" t="s">
        <v>891</v>
      </c>
      <c r="D610" s="996" t="s">
        <v>189</v>
      </c>
      <c r="E610" s="996" t="s">
        <v>855</v>
      </c>
      <c r="F610" s="998" t="s">
        <v>1186</v>
      </c>
      <c r="G610" s="997">
        <v>5126420</v>
      </c>
      <c r="H610" s="74" t="s">
        <v>448</v>
      </c>
      <c r="I610" s="74" t="s">
        <v>1339</v>
      </c>
      <c r="J610" s="74" t="s">
        <v>1328</v>
      </c>
      <c r="M610" s="989"/>
      <c r="R610" s="989"/>
    </row>
    <row r="611" spans="1:18" s="915" customFormat="1" hidden="1">
      <c r="A611" s="996">
        <v>3</v>
      </c>
      <c r="B611" s="996" t="s">
        <v>923</v>
      </c>
      <c r="C611" s="996" t="s">
        <v>891</v>
      </c>
      <c r="D611" s="996" t="s">
        <v>197</v>
      </c>
      <c r="E611" s="996" t="s">
        <v>859</v>
      </c>
      <c r="F611" s="996" t="s">
        <v>1187</v>
      </c>
      <c r="G611" s="997">
        <v>3291170</v>
      </c>
      <c r="H611" s="74" t="s">
        <v>448</v>
      </c>
      <c r="I611" s="74" t="s">
        <v>1339</v>
      </c>
      <c r="J611" s="74" t="s">
        <v>1328</v>
      </c>
      <c r="M611" s="989"/>
      <c r="R611" s="989"/>
    </row>
    <row r="612" spans="1:18" s="915" customFormat="1" hidden="1">
      <c r="A612" s="996">
        <v>3</v>
      </c>
      <c r="B612" s="996" t="s">
        <v>924</v>
      </c>
      <c r="C612" s="996" t="s">
        <v>873</v>
      </c>
      <c r="D612" s="996" t="s">
        <v>67</v>
      </c>
      <c r="E612" s="996" t="s">
        <v>803</v>
      </c>
      <c r="F612" s="996" t="s">
        <v>991</v>
      </c>
      <c r="G612" s="987">
        <v>229200000</v>
      </c>
      <c r="H612" s="74" t="s">
        <v>1340</v>
      </c>
      <c r="I612" s="74" t="s">
        <v>1340</v>
      </c>
      <c r="J612" s="74" t="s">
        <v>1328</v>
      </c>
      <c r="M612" s="989"/>
      <c r="R612" s="989"/>
    </row>
    <row r="613" spans="1:18" s="915" customFormat="1" hidden="1">
      <c r="A613" s="996">
        <v>3</v>
      </c>
      <c r="B613" s="996" t="s">
        <v>924</v>
      </c>
      <c r="C613" s="996" t="s">
        <v>873</v>
      </c>
      <c r="D613" s="996" t="s">
        <v>71</v>
      </c>
      <c r="E613" s="996" t="s">
        <v>806</v>
      </c>
      <c r="F613" s="996" t="s">
        <v>1188</v>
      </c>
      <c r="G613" s="987">
        <v>2666000</v>
      </c>
      <c r="H613" s="74" t="s">
        <v>1340</v>
      </c>
      <c r="I613" s="74" t="s">
        <v>1340</v>
      </c>
      <c r="J613" s="74" t="s">
        <v>1328</v>
      </c>
      <c r="M613" s="989"/>
      <c r="R613" s="989"/>
    </row>
    <row r="614" spans="1:18" s="915" customFormat="1" hidden="1">
      <c r="A614" s="996">
        <v>3</v>
      </c>
      <c r="B614" s="996" t="s">
        <v>924</v>
      </c>
      <c r="C614" s="996" t="s">
        <v>873</v>
      </c>
      <c r="D614" s="996" t="s">
        <v>75</v>
      </c>
      <c r="E614" s="996" t="s">
        <v>799</v>
      </c>
      <c r="F614" s="996" t="s">
        <v>1189</v>
      </c>
      <c r="G614" s="987">
        <v>29655000</v>
      </c>
      <c r="H614" s="74" t="s">
        <v>1340</v>
      </c>
      <c r="I614" s="74" t="s">
        <v>1340</v>
      </c>
      <c r="J614" s="74" t="s">
        <v>1328</v>
      </c>
      <c r="M614" s="989"/>
      <c r="R614" s="989"/>
    </row>
    <row r="615" spans="1:18" s="915" customFormat="1" hidden="1">
      <c r="A615" s="996">
        <v>3</v>
      </c>
      <c r="B615" s="996" t="s">
        <v>924</v>
      </c>
      <c r="C615" s="996" t="s">
        <v>873</v>
      </c>
      <c r="D615" s="996" t="s">
        <v>76</v>
      </c>
      <c r="E615" s="996" t="s">
        <v>800</v>
      </c>
      <c r="F615" s="996" t="s">
        <v>1190</v>
      </c>
      <c r="G615" s="987">
        <v>18898000</v>
      </c>
      <c r="H615" s="74" t="s">
        <v>1340</v>
      </c>
      <c r="I615" s="74" t="s">
        <v>1340</v>
      </c>
      <c r="J615" s="74" t="s">
        <v>1328</v>
      </c>
      <c r="M615" s="989"/>
      <c r="R615" s="989"/>
    </row>
    <row r="616" spans="1:18" s="915" customFormat="1" hidden="1">
      <c r="A616" s="996">
        <v>3</v>
      </c>
      <c r="B616" s="996" t="s">
        <v>924</v>
      </c>
      <c r="C616" s="996" t="s">
        <v>873</v>
      </c>
      <c r="D616" s="996" t="s">
        <v>77</v>
      </c>
      <c r="E616" s="996" t="s">
        <v>809</v>
      </c>
      <c r="F616" s="996" t="s">
        <v>1191</v>
      </c>
      <c r="G616" s="987">
        <v>25661000</v>
      </c>
      <c r="H616" s="74" t="s">
        <v>1340</v>
      </c>
      <c r="I616" s="74" t="s">
        <v>1340</v>
      </c>
      <c r="J616" s="74" t="s">
        <v>1328</v>
      </c>
      <c r="M616" s="989"/>
      <c r="R616" s="989"/>
    </row>
    <row r="617" spans="1:18" s="915" customFormat="1" hidden="1">
      <c r="A617" s="996">
        <v>3</v>
      </c>
      <c r="B617" s="996" t="s">
        <v>924</v>
      </c>
      <c r="C617" s="996" t="s">
        <v>873</v>
      </c>
      <c r="D617" s="996" t="s">
        <v>78</v>
      </c>
      <c r="E617" s="996" t="s">
        <v>810</v>
      </c>
      <c r="F617" s="996" t="s">
        <v>1192</v>
      </c>
      <c r="G617" s="987">
        <v>24622000</v>
      </c>
      <c r="H617" s="74" t="s">
        <v>1340</v>
      </c>
      <c r="I617" s="74" t="s">
        <v>1340</v>
      </c>
      <c r="J617" s="74" t="s">
        <v>1328</v>
      </c>
      <c r="M617" s="989"/>
      <c r="R617" s="989"/>
    </row>
    <row r="618" spans="1:18" s="915" customFormat="1" hidden="1">
      <c r="A618" s="996">
        <v>3</v>
      </c>
      <c r="B618" s="996" t="s">
        <v>924</v>
      </c>
      <c r="C618" s="996" t="s">
        <v>873</v>
      </c>
      <c r="D618" s="996" t="s">
        <v>79</v>
      </c>
      <c r="E618" s="996" t="s">
        <v>801</v>
      </c>
      <c r="F618" s="996" t="s">
        <v>1168</v>
      </c>
      <c r="G618" s="987">
        <v>3832000</v>
      </c>
      <c r="H618" s="74" t="s">
        <v>1340</v>
      </c>
      <c r="I618" s="74" t="s">
        <v>1340</v>
      </c>
      <c r="J618" s="74" t="s">
        <v>1328</v>
      </c>
      <c r="M618" s="989"/>
      <c r="R618" s="989"/>
    </row>
    <row r="619" spans="1:18" s="915" customFormat="1" hidden="1">
      <c r="A619" s="996">
        <v>3</v>
      </c>
      <c r="B619" s="996" t="s">
        <v>924</v>
      </c>
      <c r="C619" s="996" t="s">
        <v>873</v>
      </c>
      <c r="D619" s="996" t="s">
        <v>82</v>
      </c>
      <c r="E619" s="996" t="s">
        <v>811</v>
      </c>
      <c r="F619" s="996" t="s">
        <v>1193</v>
      </c>
      <c r="G619" s="987">
        <v>28571000</v>
      </c>
      <c r="H619" s="74" t="s">
        <v>1340</v>
      </c>
      <c r="I619" s="74" t="s">
        <v>1340</v>
      </c>
      <c r="J619" s="74" t="s">
        <v>1328</v>
      </c>
      <c r="M619" s="989"/>
      <c r="R619" s="989"/>
    </row>
    <row r="620" spans="1:18" s="915" customFormat="1" hidden="1">
      <c r="A620" s="996">
        <v>3</v>
      </c>
      <c r="B620" s="996" t="s">
        <v>924</v>
      </c>
      <c r="C620" s="996" t="s">
        <v>873</v>
      </c>
      <c r="D620" s="996" t="s">
        <v>83</v>
      </c>
      <c r="E620" s="996" t="s">
        <v>812</v>
      </c>
      <c r="F620" s="996" t="s">
        <v>996</v>
      </c>
      <c r="G620" s="987">
        <v>1544000</v>
      </c>
      <c r="H620" s="74" t="s">
        <v>1340</v>
      </c>
      <c r="I620" s="74" t="s">
        <v>1340</v>
      </c>
      <c r="J620" s="74" t="s">
        <v>1328</v>
      </c>
      <c r="M620" s="989"/>
      <c r="R620" s="989"/>
    </row>
    <row r="621" spans="1:18" s="915" customFormat="1" hidden="1">
      <c r="A621" s="996">
        <v>3</v>
      </c>
      <c r="B621" s="996" t="s">
        <v>924</v>
      </c>
      <c r="C621" s="996" t="s">
        <v>873</v>
      </c>
      <c r="D621" s="996" t="s">
        <v>84</v>
      </c>
      <c r="E621" s="996" t="s">
        <v>813</v>
      </c>
      <c r="F621" s="996" t="s">
        <v>406</v>
      </c>
      <c r="G621" s="987">
        <v>4633000</v>
      </c>
      <c r="H621" s="74" t="s">
        <v>1340</v>
      </c>
      <c r="I621" s="74" t="s">
        <v>1340</v>
      </c>
      <c r="J621" s="74" t="s">
        <v>1328</v>
      </c>
      <c r="M621" s="989"/>
      <c r="R621" s="989"/>
    </row>
    <row r="622" spans="1:18" s="915" customFormat="1" hidden="1">
      <c r="A622" s="996">
        <v>3</v>
      </c>
      <c r="B622" s="996" t="s">
        <v>924</v>
      </c>
      <c r="C622" s="996" t="s">
        <v>873</v>
      </c>
      <c r="D622" s="996" t="s">
        <v>85</v>
      </c>
      <c r="E622" s="996" t="s">
        <v>814</v>
      </c>
      <c r="F622" s="996" t="s">
        <v>407</v>
      </c>
      <c r="G622" s="987">
        <v>15444000</v>
      </c>
      <c r="H622" s="74" t="s">
        <v>1340</v>
      </c>
      <c r="I622" s="74" t="s">
        <v>1340</v>
      </c>
      <c r="J622" s="74" t="s">
        <v>1328</v>
      </c>
      <c r="M622" s="989"/>
      <c r="R622" s="989"/>
    </row>
    <row r="623" spans="1:18" hidden="1">
      <c r="A623" s="996">
        <v>3</v>
      </c>
      <c r="B623" s="996" t="s">
        <v>924</v>
      </c>
      <c r="C623" s="996" t="s">
        <v>873</v>
      </c>
      <c r="D623" s="996" t="s">
        <v>86</v>
      </c>
      <c r="E623" s="996" t="s">
        <v>815</v>
      </c>
      <c r="F623" s="996" t="s">
        <v>408</v>
      </c>
      <c r="G623" s="987">
        <v>1544000</v>
      </c>
      <c r="H623" s="74" t="s">
        <v>1340</v>
      </c>
      <c r="I623" s="74" t="s">
        <v>1340</v>
      </c>
      <c r="J623" s="74" t="s">
        <v>1328</v>
      </c>
    </row>
    <row r="624" spans="1:18" hidden="1">
      <c r="A624" s="996">
        <v>3</v>
      </c>
      <c r="B624" s="996" t="s">
        <v>924</v>
      </c>
      <c r="C624" s="996" t="s">
        <v>873</v>
      </c>
      <c r="D624" s="996" t="s">
        <v>425</v>
      </c>
      <c r="E624" s="996" t="s">
        <v>816</v>
      </c>
      <c r="F624" s="996" t="s">
        <v>409</v>
      </c>
      <c r="G624" s="987">
        <v>16741000</v>
      </c>
      <c r="H624" s="74" t="s">
        <v>1340</v>
      </c>
      <c r="I624" s="74" t="s">
        <v>1340</v>
      </c>
      <c r="J624" s="74" t="s">
        <v>1328</v>
      </c>
    </row>
    <row r="625" spans="1:18" hidden="1">
      <c r="A625" s="996">
        <v>3</v>
      </c>
      <c r="B625" s="996" t="s">
        <v>924</v>
      </c>
      <c r="C625" s="996" t="s">
        <v>873</v>
      </c>
      <c r="D625" s="996" t="s">
        <v>89</v>
      </c>
      <c r="E625" s="996" t="s">
        <v>817</v>
      </c>
      <c r="F625" s="996" t="s">
        <v>409</v>
      </c>
      <c r="G625" s="987">
        <v>9266000</v>
      </c>
      <c r="H625" s="74" t="s">
        <v>1340</v>
      </c>
      <c r="I625" s="74" t="s">
        <v>1340</v>
      </c>
      <c r="J625" s="74" t="s">
        <v>1328</v>
      </c>
    </row>
    <row r="626" spans="1:18" hidden="1">
      <c r="A626" s="996">
        <v>3</v>
      </c>
      <c r="B626" s="996" t="s">
        <v>924</v>
      </c>
      <c r="C626" s="996" t="s">
        <v>873</v>
      </c>
      <c r="D626" s="996" t="s">
        <v>90</v>
      </c>
      <c r="E626" s="996" t="s">
        <v>818</v>
      </c>
      <c r="F626" s="996" t="s">
        <v>1002</v>
      </c>
      <c r="G626" s="987">
        <v>4633000</v>
      </c>
      <c r="H626" s="74" t="s">
        <v>1340</v>
      </c>
      <c r="I626" s="74" t="s">
        <v>1340</v>
      </c>
      <c r="J626" s="74" t="s">
        <v>1328</v>
      </c>
    </row>
    <row r="627" spans="1:18" hidden="1">
      <c r="A627" s="996">
        <v>3</v>
      </c>
      <c r="B627" s="996" t="s">
        <v>924</v>
      </c>
      <c r="C627" s="996" t="s">
        <v>874</v>
      </c>
      <c r="D627" s="996" t="s">
        <v>286</v>
      </c>
      <c r="E627" s="996" t="s">
        <v>980</v>
      </c>
      <c r="F627" s="996" t="s">
        <v>1194</v>
      </c>
      <c r="G627" s="997">
        <v>5035000</v>
      </c>
      <c r="H627" s="74" t="s">
        <v>448</v>
      </c>
      <c r="I627" s="74" t="s">
        <v>1339</v>
      </c>
      <c r="J627" s="74" t="s">
        <v>1328</v>
      </c>
    </row>
    <row r="628" spans="1:18" hidden="1">
      <c r="A628" s="996">
        <v>3</v>
      </c>
      <c r="B628" s="996" t="s">
        <v>924</v>
      </c>
      <c r="C628" s="996" t="s">
        <v>874</v>
      </c>
      <c r="D628" s="996" t="s">
        <v>131</v>
      </c>
      <c r="E628" s="996" t="s">
        <v>835</v>
      </c>
      <c r="F628" s="996" t="s">
        <v>1195</v>
      </c>
      <c r="G628" s="997">
        <v>745000</v>
      </c>
      <c r="H628" s="74" t="s">
        <v>448</v>
      </c>
      <c r="I628" s="74" t="s">
        <v>1339</v>
      </c>
      <c r="J628" s="74" t="s">
        <v>1328</v>
      </c>
    </row>
    <row r="629" spans="1:18">
      <c r="A629" s="996">
        <v>3</v>
      </c>
      <c r="B629" s="996" t="s">
        <v>924</v>
      </c>
      <c r="C629" s="996" t="s">
        <v>874</v>
      </c>
      <c r="D629" s="996" t="s">
        <v>133</v>
      </c>
      <c r="E629" s="996" t="s">
        <v>836</v>
      </c>
      <c r="F629" s="996" t="s">
        <v>1196</v>
      </c>
      <c r="G629" s="997">
        <v>14000000</v>
      </c>
      <c r="H629" s="74" t="s">
        <v>448</v>
      </c>
      <c r="I629" s="74" t="s">
        <v>1339</v>
      </c>
      <c r="J629" s="74" t="s">
        <v>1328</v>
      </c>
    </row>
    <row r="630" spans="1:18" hidden="1">
      <c r="A630" s="996">
        <v>3</v>
      </c>
      <c r="B630" s="996" t="s">
        <v>924</v>
      </c>
      <c r="C630" s="996" t="s">
        <v>874</v>
      </c>
      <c r="D630" s="996" t="s">
        <v>134</v>
      </c>
      <c r="E630" s="996" t="s">
        <v>837</v>
      </c>
      <c r="F630" s="996" t="s">
        <v>1197</v>
      </c>
      <c r="G630" s="997">
        <v>1200000</v>
      </c>
      <c r="H630" s="74" t="s">
        <v>448</v>
      </c>
      <c r="I630" s="74" t="s">
        <v>1339</v>
      </c>
      <c r="J630" s="74" t="s">
        <v>1328</v>
      </c>
    </row>
    <row r="631" spans="1:18" hidden="1">
      <c r="A631" s="996">
        <v>3</v>
      </c>
      <c r="B631" s="996" t="s">
        <v>924</v>
      </c>
      <c r="C631" s="996" t="s">
        <v>874</v>
      </c>
      <c r="D631" s="996" t="s">
        <v>136</v>
      </c>
      <c r="E631" s="996" t="s">
        <v>838</v>
      </c>
      <c r="F631" s="996" t="s">
        <v>1198</v>
      </c>
      <c r="G631" s="997">
        <v>1400000</v>
      </c>
      <c r="H631" s="74" t="s">
        <v>448</v>
      </c>
      <c r="I631" s="74" t="s">
        <v>1339</v>
      </c>
      <c r="J631" s="74" t="s">
        <v>1328</v>
      </c>
    </row>
    <row r="632" spans="1:18" hidden="1">
      <c r="A632" s="996">
        <v>3</v>
      </c>
      <c r="B632" s="996" t="s">
        <v>924</v>
      </c>
      <c r="C632" s="996" t="s">
        <v>874</v>
      </c>
      <c r="D632" s="996" t="s">
        <v>138</v>
      </c>
      <c r="E632" s="996" t="s">
        <v>985</v>
      </c>
      <c r="F632" s="996" t="s">
        <v>1199</v>
      </c>
      <c r="G632" s="997">
        <v>2754000</v>
      </c>
      <c r="H632" s="74" t="s">
        <v>448</v>
      </c>
      <c r="I632" s="74" t="s">
        <v>1339</v>
      </c>
      <c r="J632" s="74" t="s">
        <v>1328</v>
      </c>
    </row>
    <row r="633" spans="1:18" hidden="1">
      <c r="A633" s="996">
        <v>3</v>
      </c>
      <c r="B633" s="996" t="s">
        <v>924</v>
      </c>
      <c r="C633" s="996" t="s">
        <v>874</v>
      </c>
      <c r="D633" s="996" t="s">
        <v>142</v>
      </c>
      <c r="E633" s="996" t="s">
        <v>839</v>
      </c>
      <c r="F633" s="996" t="s">
        <v>1200</v>
      </c>
      <c r="G633" s="997">
        <v>825000</v>
      </c>
      <c r="H633" s="74" t="s">
        <v>448</v>
      </c>
      <c r="I633" s="74" t="s">
        <v>1339</v>
      </c>
      <c r="J633" s="74" t="s">
        <v>1328</v>
      </c>
    </row>
    <row r="634" spans="1:18" hidden="1">
      <c r="A634" s="996">
        <v>3</v>
      </c>
      <c r="B634" s="996" t="s">
        <v>924</v>
      </c>
      <c r="C634" s="996" t="s">
        <v>874</v>
      </c>
      <c r="D634" s="996" t="s">
        <v>153</v>
      </c>
      <c r="E634" s="996" t="s">
        <v>842</v>
      </c>
      <c r="F634" s="996" t="s">
        <v>1201</v>
      </c>
      <c r="G634" s="997">
        <v>3000000</v>
      </c>
      <c r="H634" s="74" t="s">
        <v>448</v>
      </c>
      <c r="I634" s="74" t="s">
        <v>1339</v>
      </c>
      <c r="J634" s="74" t="s">
        <v>1328</v>
      </c>
    </row>
    <row r="635" spans="1:18" hidden="1">
      <c r="A635" s="996">
        <v>3</v>
      </c>
      <c r="B635" s="996" t="s">
        <v>924</v>
      </c>
      <c r="C635" s="996" t="s">
        <v>888</v>
      </c>
      <c r="D635" s="996" t="s">
        <v>294</v>
      </c>
      <c r="E635" s="996" t="s">
        <v>866</v>
      </c>
      <c r="F635" s="996" t="s">
        <v>1202</v>
      </c>
      <c r="G635" s="997">
        <v>1400000</v>
      </c>
      <c r="H635" s="74" t="s">
        <v>448</v>
      </c>
      <c r="I635" s="74" t="s">
        <v>1339</v>
      </c>
      <c r="J635" s="74" t="s">
        <v>1328</v>
      </c>
    </row>
    <row r="636" spans="1:18" hidden="1">
      <c r="A636" s="996">
        <v>3</v>
      </c>
      <c r="B636" s="996" t="s">
        <v>925</v>
      </c>
      <c r="C636" s="996" t="s">
        <v>873</v>
      </c>
      <c r="D636" s="996" t="s">
        <v>67</v>
      </c>
      <c r="E636" s="996" t="s">
        <v>803</v>
      </c>
      <c r="F636" s="996" t="s">
        <v>991</v>
      </c>
      <c r="G636" s="987">
        <v>227065000</v>
      </c>
      <c r="H636" s="74" t="s">
        <v>1340</v>
      </c>
      <c r="I636" s="74" t="s">
        <v>1340</v>
      </c>
      <c r="J636" s="74" t="s">
        <v>1328</v>
      </c>
    </row>
    <row r="637" spans="1:18" s="916" customFormat="1" hidden="1">
      <c r="A637" s="916">
        <v>3</v>
      </c>
      <c r="B637" s="916" t="s">
        <v>925</v>
      </c>
      <c r="C637" s="916" t="s">
        <v>873</v>
      </c>
      <c r="D637" s="916" t="s">
        <v>68</v>
      </c>
      <c r="E637" s="916" t="s">
        <v>804</v>
      </c>
      <c r="F637" s="916" t="s">
        <v>1203</v>
      </c>
      <c r="G637" s="988">
        <v>12554000</v>
      </c>
      <c r="H637" s="916" t="s">
        <v>1340</v>
      </c>
      <c r="I637" s="916" t="s">
        <v>1340</v>
      </c>
      <c r="J637" s="916" t="s">
        <v>1328</v>
      </c>
      <c r="M637" s="988"/>
      <c r="R637" s="988"/>
    </row>
    <row r="638" spans="1:18" hidden="1">
      <c r="A638" s="996">
        <v>3</v>
      </c>
      <c r="B638" s="996" t="s">
        <v>925</v>
      </c>
      <c r="C638" s="996" t="s">
        <v>873</v>
      </c>
      <c r="D638" s="996" t="s">
        <v>71</v>
      </c>
      <c r="E638" s="996" t="s">
        <v>806</v>
      </c>
      <c r="F638" s="996" t="s">
        <v>1204</v>
      </c>
      <c r="G638" s="987">
        <v>5183000</v>
      </c>
      <c r="H638" s="74" t="s">
        <v>1340</v>
      </c>
      <c r="I638" s="74" t="s">
        <v>1340</v>
      </c>
      <c r="J638" s="74" t="s">
        <v>1328</v>
      </c>
    </row>
    <row r="639" spans="1:18" hidden="1">
      <c r="A639" s="996">
        <v>3</v>
      </c>
      <c r="B639" s="996" t="s">
        <v>925</v>
      </c>
      <c r="C639" s="996" t="s">
        <v>873</v>
      </c>
      <c r="D639" s="996" t="s">
        <v>75</v>
      </c>
      <c r="E639" s="996" t="s">
        <v>799</v>
      </c>
      <c r="F639" s="996" t="s">
        <v>399</v>
      </c>
      <c r="G639" s="987">
        <v>22168000</v>
      </c>
      <c r="H639" s="74" t="s">
        <v>1340</v>
      </c>
      <c r="I639" s="74" t="s">
        <v>1340</v>
      </c>
      <c r="J639" s="74" t="s">
        <v>1328</v>
      </c>
    </row>
    <row r="640" spans="1:18" hidden="1">
      <c r="A640" s="996">
        <v>3</v>
      </c>
      <c r="B640" s="996" t="s">
        <v>925</v>
      </c>
      <c r="C640" s="996" t="s">
        <v>873</v>
      </c>
      <c r="D640" s="996" t="s">
        <v>76</v>
      </c>
      <c r="E640" s="996" t="s">
        <v>800</v>
      </c>
      <c r="F640" s="996" t="s">
        <v>1014</v>
      </c>
      <c r="G640" s="987">
        <v>17937000</v>
      </c>
      <c r="H640" s="74" t="s">
        <v>1340</v>
      </c>
      <c r="I640" s="74" t="s">
        <v>1340</v>
      </c>
      <c r="J640" s="74" t="s">
        <v>1328</v>
      </c>
    </row>
    <row r="641" spans="1:18" hidden="1">
      <c r="A641" s="996">
        <v>3</v>
      </c>
      <c r="B641" s="996" t="s">
        <v>925</v>
      </c>
      <c r="C641" s="996" t="s">
        <v>873</v>
      </c>
      <c r="D641" s="996" t="s">
        <v>77</v>
      </c>
      <c r="E641" s="996" t="s">
        <v>809</v>
      </c>
      <c r="F641" s="996" t="s">
        <v>401</v>
      </c>
      <c r="G641" s="987">
        <v>26023000</v>
      </c>
      <c r="H641" s="74" t="s">
        <v>1340</v>
      </c>
      <c r="I641" s="74" t="s">
        <v>1340</v>
      </c>
      <c r="J641" s="74" t="s">
        <v>1328</v>
      </c>
    </row>
    <row r="642" spans="1:18" hidden="1">
      <c r="A642" s="996">
        <v>3</v>
      </c>
      <c r="B642" s="996" t="s">
        <v>925</v>
      </c>
      <c r="C642" s="996" t="s">
        <v>873</v>
      </c>
      <c r="D642" s="996" t="s">
        <v>78</v>
      </c>
      <c r="E642" s="996" t="s">
        <v>810</v>
      </c>
      <c r="F642" s="996" t="s">
        <v>994</v>
      </c>
      <c r="G642" s="987">
        <v>25009000</v>
      </c>
      <c r="H642" s="74" t="s">
        <v>1340</v>
      </c>
      <c r="I642" s="74" t="s">
        <v>1340</v>
      </c>
      <c r="J642" s="74" t="s">
        <v>1328</v>
      </c>
    </row>
    <row r="643" spans="1:18" hidden="1">
      <c r="A643" s="996">
        <v>3</v>
      </c>
      <c r="B643" s="996" t="s">
        <v>925</v>
      </c>
      <c r="C643" s="996" t="s">
        <v>873</v>
      </c>
      <c r="D643" s="996" t="s">
        <v>79</v>
      </c>
      <c r="E643" s="996" t="s">
        <v>801</v>
      </c>
      <c r="F643" s="996" t="s">
        <v>1016</v>
      </c>
      <c r="G643" s="987">
        <v>3355000</v>
      </c>
      <c r="H643" s="74" t="s">
        <v>1340</v>
      </c>
      <c r="I643" s="74" t="s">
        <v>1340</v>
      </c>
      <c r="J643" s="74" t="s">
        <v>1328</v>
      </c>
    </row>
    <row r="644" spans="1:18" hidden="1">
      <c r="A644" s="996">
        <v>3</v>
      </c>
      <c r="B644" s="996" t="s">
        <v>925</v>
      </c>
      <c r="C644" s="996" t="s">
        <v>873</v>
      </c>
      <c r="D644" s="996" t="s">
        <v>82</v>
      </c>
      <c r="E644" s="996" t="s">
        <v>811</v>
      </c>
      <c r="F644" s="996" t="s">
        <v>995</v>
      </c>
      <c r="G644" s="987">
        <v>28978000</v>
      </c>
      <c r="H644" s="74" t="s">
        <v>1340</v>
      </c>
      <c r="I644" s="74" t="s">
        <v>1340</v>
      </c>
      <c r="J644" s="74" t="s">
        <v>1328</v>
      </c>
    </row>
    <row r="645" spans="1:18" hidden="1">
      <c r="A645" s="996">
        <v>3</v>
      </c>
      <c r="B645" s="996" t="s">
        <v>925</v>
      </c>
      <c r="C645" s="996" t="s">
        <v>873</v>
      </c>
      <c r="D645" s="996" t="s">
        <v>83</v>
      </c>
      <c r="E645" s="996" t="s">
        <v>812</v>
      </c>
      <c r="F645" s="996" t="s">
        <v>996</v>
      </c>
      <c r="G645" s="987">
        <v>1566000</v>
      </c>
      <c r="H645" s="74" t="s">
        <v>1340</v>
      </c>
      <c r="I645" s="74" t="s">
        <v>1340</v>
      </c>
      <c r="J645" s="74" t="s">
        <v>1328</v>
      </c>
    </row>
    <row r="646" spans="1:18" hidden="1">
      <c r="A646" s="996">
        <v>3</v>
      </c>
      <c r="B646" s="996" t="s">
        <v>925</v>
      </c>
      <c r="C646" s="996" t="s">
        <v>873</v>
      </c>
      <c r="D646" s="996" t="s">
        <v>84</v>
      </c>
      <c r="E646" s="996" t="s">
        <v>813</v>
      </c>
      <c r="F646" s="996" t="s">
        <v>1170</v>
      </c>
      <c r="G646" s="987">
        <v>4699000</v>
      </c>
      <c r="H646" s="74" t="s">
        <v>1340</v>
      </c>
      <c r="I646" s="74" t="s">
        <v>1340</v>
      </c>
      <c r="J646" s="74" t="s">
        <v>1328</v>
      </c>
    </row>
    <row r="647" spans="1:18" s="915" customFormat="1" hidden="1">
      <c r="A647" s="996">
        <v>3</v>
      </c>
      <c r="B647" s="996" t="s">
        <v>925</v>
      </c>
      <c r="C647" s="996" t="s">
        <v>873</v>
      </c>
      <c r="D647" s="996" t="s">
        <v>85</v>
      </c>
      <c r="E647" s="996" t="s">
        <v>814</v>
      </c>
      <c r="F647" s="996" t="s">
        <v>998</v>
      </c>
      <c r="G647" s="987">
        <v>15664000</v>
      </c>
      <c r="H647" s="74" t="s">
        <v>1340</v>
      </c>
      <c r="I647" s="74" t="s">
        <v>1340</v>
      </c>
      <c r="J647" s="74" t="s">
        <v>1328</v>
      </c>
      <c r="M647" s="989"/>
      <c r="R647" s="989"/>
    </row>
    <row r="648" spans="1:18" s="915" customFormat="1" hidden="1">
      <c r="A648" s="996">
        <v>3</v>
      </c>
      <c r="B648" s="996" t="s">
        <v>925</v>
      </c>
      <c r="C648" s="996" t="s">
        <v>873</v>
      </c>
      <c r="D648" s="996" t="s">
        <v>86</v>
      </c>
      <c r="E648" s="996" t="s">
        <v>815</v>
      </c>
      <c r="F648" s="996" t="s">
        <v>999</v>
      </c>
      <c r="G648" s="987">
        <v>1566000</v>
      </c>
      <c r="H648" s="74" t="s">
        <v>1340</v>
      </c>
      <c r="I648" s="74" t="s">
        <v>1340</v>
      </c>
      <c r="J648" s="74" t="s">
        <v>1328</v>
      </c>
      <c r="M648" s="989"/>
      <c r="R648" s="989"/>
    </row>
    <row r="649" spans="1:18" s="915" customFormat="1" hidden="1">
      <c r="A649" s="996">
        <v>3</v>
      </c>
      <c r="B649" s="996" t="s">
        <v>925</v>
      </c>
      <c r="C649" s="996" t="s">
        <v>873</v>
      </c>
      <c r="D649" s="996" t="s">
        <v>425</v>
      </c>
      <c r="E649" s="996" t="s">
        <v>816</v>
      </c>
      <c r="F649" s="996" t="s">
        <v>1001</v>
      </c>
      <c r="G649" s="987">
        <v>16979000</v>
      </c>
      <c r="H649" s="74" t="s">
        <v>1340</v>
      </c>
      <c r="I649" s="74" t="s">
        <v>1340</v>
      </c>
      <c r="J649" s="74" t="s">
        <v>1328</v>
      </c>
      <c r="M649" s="989"/>
      <c r="R649" s="989"/>
    </row>
    <row r="650" spans="1:18" s="915" customFormat="1" hidden="1">
      <c r="A650" s="996">
        <v>3</v>
      </c>
      <c r="B650" s="996" t="s">
        <v>925</v>
      </c>
      <c r="C650" s="996" t="s">
        <v>873</v>
      </c>
      <c r="D650" s="996" t="s">
        <v>89</v>
      </c>
      <c r="E650" s="996" t="s">
        <v>817</v>
      </c>
      <c r="F650" s="996" t="s">
        <v>1001</v>
      </c>
      <c r="G650" s="987">
        <v>9398000</v>
      </c>
      <c r="H650" s="74" t="s">
        <v>1340</v>
      </c>
      <c r="I650" s="74" t="s">
        <v>1340</v>
      </c>
      <c r="J650" s="74" t="s">
        <v>1328</v>
      </c>
      <c r="M650" s="989"/>
      <c r="R650" s="989"/>
    </row>
    <row r="651" spans="1:18" s="915" customFormat="1" hidden="1">
      <c r="A651" s="996">
        <v>3</v>
      </c>
      <c r="B651" s="996" t="s">
        <v>925</v>
      </c>
      <c r="C651" s="996" t="s">
        <v>873</v>
      </c>
      <c r="D651" s="996" t="s">
        <v>90</v>
      </c>
      <c r="E651" s="996" t="s">
        <v>818</v>
      </c>
      <c r="F651" s="996" t="s">
        <v>1002</v>
      </c>
      <c r="G651" s="987">
        <v>4699000</v>
      </c>
      <c r="H651" s="74" t="s">
        <v>1340</v>
      </c>
      <c r="I651" s="74" t="s">
        <v>1340</v>
      </c>
      <c r="J651" s="74" t="s">
        <v>1328</v>
      </c>
      <c r="M651" s="989"/>
      <c r="R651" s="989"/>
    </row>
    <row r="652" spans="1:18" s="915" customFormat="1" hidden="1">
      <c r="A652" s="996">
        <v>3</v>
      </c>
      <c r="B652" s="996" t="s">
        <v>925</v>
      </c>
      <c r="C652" s="996" t="s">
        <v>874</v>
      </c>
      <c r="D652" s="996" t="s">
        <v>286</v>
      </c>
      <c r="E652" s="996" t="s">
        <v>980</v>
      </c>
      <c r="F652" s="996" t="s">
        <v>1205</v>
      </c>
      <c r="G652" s="997">
        <v>8567000</v>
      </c>
      <c r="H652" s="74" t="s">
        <v>448</v>
      </c>
      <c r="I652" s="74" t="s">
        <v>1339</v>
      </c>
      <c r="J652" s="74" t="s">
        <v>1328</v>
      </c>
      <c r="M652" s="989"/>
      <c r="R652" s="989"/>
    </row>
    <row r="653" spans="1:18" s="915" customFormat="1" hidden="1">
      <c r="A653" s="996">
        <v>3</v>
      </c>
      <c r="B653" s="996" t="s">
        <v>925</v>
      </c>
      <c r="C653" s="996" t="s">
        <v>874</v>
      </c>
      <c r="D653" s="996" t="s">
        <v>131</v>
      </c>
      <c r="E653" s="996" t="s">
        <v>835</v>
      </c>
      <c r="F653" s="996" t="s">
        <v>1206</v>
      </c>
      <c r="G653" s="997">
        <v>210000</v>
      </c>
      <c r="H653" s="74" t="s">
        <v>448</v>
      </c>
      <c r="I653" s="74" t="s">
        <v>1339</v>
      </c>
      <c r="J653" s="74" t="s">
        <v>1328</v>
      </c>
      <c r="M653" s="989"/>
      <c r="R653" s="989"/>
    </row>
    <row r="654" spans="1:18" s="915" customFormat="1">
      <c r="A654" s="996">
        <v>3</v>
      </c>
      <c r="B654" s="996" t="s">
        <v>925</v>
      </c>
      <c r="C654" s="996" t="s">
        <v>874</v>
      </c>
      <c r="D654" s="996" t="s">
        <v>133</v>
      </c>
      <c r="E654" s="996" t="s">
        <v>836</v>
      </c>
      <c r="F654" s="996" t="s">
        <v>1207</v>
      </c>
      <c r="G654" s="997">
        <v>50000000</v>
      </c>
      <c r="H654" s="74" t="s">
        <v>448</v>
      </c>
      <c r="I654" s="74" t="s">
        <v>1339</v>
      </c>
      <c r="J654" s="74" t="s">
        <v>1328</v>
      </c>
      <c r="M654" s="989"/>
      <c r="R654" s="989"/>
    </row>
    <row r="655" spans="1:18" s="915" customFormat="1" hidden="1">
      <c r="A655" s="996">
        <v>3</v>
      </c>
      <c r="B655" s="996" t="s">
        <v>925</v>
      </c>
      <c r="C655" s="996" t="s">
        <v>874</v>
      </c>
      <c r="D655" s="996" t="s">
        <v>138</v>
      </c>
      <c r="E655" s="996" t="s">
        <v>985</v>
      </c>
      <c r="F655" s="996" t="s">
        <v>1208</v>
      </c>
      <c r="G655" s="997">
        <v>2928000</v>
      </c>
      <c r="H655" s="74" t="s">
        <v>448</v>
      </c>
      <c r="I655" s="74" t="s">
        <v>1339</v>
      </c>
      <c r="J655" s="74" t="s">
        <v>1328</v>
      </c>
      <c r="M655" s="989"/>
      <c r="R655" s="989"/>
    </row>
    <row r="656" spans="1:18" s="915" customFormat="1" hidden="1">
      <c r="A656" s="996">
        <v>3</v>
      </c>
      <c r="B656" s="996" t="s">
        <v>925</v>
      </c>
      <c r="C656" s="996" t="s">
        <v>874</v>
      </c>
      <c r="D656" s="996" t="s">
        <v>142</v>
      </c>
      <c r="E656" s="996" t="s">
        <v>839</v>
      </c>
      <c r="F656" s="996" t="s">
        <v>1209</v>
      </c>
      <c r="G656" s="997">
        <v>6000000</v>
      </c>
      <c r="H656" s="74" t="s">
        <v>448</v>
      </c>
      <c r="I656" s="74" t="s">
        <v>1339</v>
      </c>
      <c r="J656" s="74" t="s">
        <v>1328</v>
      </c>
      <c r="M656" s="989"/>
      <c r="R656" s="989"/>
    </row>
    <row r="657" spans="1:18" s="915" customFormat="1" hidden="1">
      <c r="A657" s="996">
        <v>3</v>
      </c>
      <c r="B657" s="996" t="s">
        <v>925</v>
      </c>
      <c r="C657" s="996" t="s">
        <v>888</v>
      </c>
      <c r="D657" s="996" t="s">
        <v>294</v>
      </c>
      <c r="E657" s="996" t="s">
        <v>866</v>
      </c>
      <c r="F657" s="996" t="s">
        <v>1202</v>
      </c>
      <c r="G657" s="997">
        <v>1400000</v>
      </c>
      <c r="H657" s="74" t="s">
        <v>448</v>
      </c>
      <c r="I657" s="74" t="s">
        <v>1339</v>
      </c>
      <c r="J657" s="74" t="s">
        <v>1328</v>
      </c>
      <c r="M657" s="989"/>
      <c r="R657" s="989"/>
    </row>
    <row r="658" spans="1:18" s="915" customFormat="1" hidden="1">
      <c r="A658" s="996">
        <v>3</v>
      </c>
      <c r="B658" s="996" t="s">
        <v>926</v>
      </c>
      <c r="C658" s="996" t="s">
        <v>873</v>
      </c>
      <c r="D658" s="996" t="s">
        <v>67</v>
      </c>
      <c r="E658" s="996" t="s">
        <v>803</v>
      </c>
      <c r="F658" s="996" t="s">
        <v>991</v>
      </c>
      <c r="G658" s="987">
        <v>94154000</v>
      </c>
      <c r="H658" s="74" t="s">
        <v>1340</v>
      </c>
      <c r="I658" s="74" t="s">
        <v>1340</v>
      </c>
      <c r="J658" s="74" t="s">
        <v>1328</v>
      </c>
      <c r="M658" s="989"/>
      <c r="R658" s="989"/>
    </row>
    <row r="659" spans="1:18" s="915" customFormat="1" hidden="1">
      <c r="A659" s="996">
        <v>3</v>
      </c>
      <c r="B659" s="996" t="s">
        <v>926</v>
      </c>
      <c r="C659" s="996" t="s">
        <v>873</v>
      </c>
      <c r="D659" s="996" t="s">
        <v>71</v>
      </c>
      <c r="E659" s="996" t="s">
        <v>806</v>
      </c>
      <c r="F659" s="996" t="s">
        <v>1210</v>
      </c>
      <c r="G659" s="987">
        <v>1950000</v>
      </c>
      <c r="H659" s="74" t="s">
        <v>1340</v>
      </c>
      <c r="I659" s="74" t="s">
        <v>1340</v>
      </c>
      <c r="J659" s="74" t="s">
        <v>1328</v>
      </c>
      <c r="M659" s="989"/>
      <c r="R659" s="989"/>
    </row>
    <row r="660" spans="1:18" s="915" customFormat="1" hidden="1">
      <c r="A660" s="996">
        <v>3</v>
      </c>
      <c r="B660" s="996" t="s">
        <v>926</v>
      </c>
      <c r="C660" s="996" t="s">
        <v>873</v>
      </c>
      <c r="D660" s="996" t="s">
        <v>75</v>
      </c>
      <c r="E660" s="996" t="s">
        <v>799</v>
      </c>
      <c r="F660" s="996" t="s">
        <v>1013</v>
      </c>
      <c r="G660" s="987">
        <v>6563000</v>
      </c>
      <c r="H660" s="74" t="s">
        <v>1340</v>
      </c>
      <c r="I660" s="74" t="s">
        <v>1340</v>
      </c>
      <c r="J660" s="74" t="s">
        <v>1328</v>
      </c>
      <c r="M660" s="989"/>
      <c r="R660" s="989"/>
    </row>
    <row r="661" spans="1:18" hidden="1">
      <c r="A661" s="996">
        <v>3</v>
      </c>
      <c r="B661" s="996" t="s">
        <v>926</v>
      </c>
      <c r="C661" s="996" t="s">
        <v>873</v>
      </c>
      <c r="D661" s="996" t="s">
        <v>76</v>
      </c>
      <c r="E661" s="996" t="s">
        <v>800</v>
      </c>
      <c r="F661" s="996" t="s">
        <v>400</v>
      </c>
      <c r="G661" s="987">
        <v>10130000</v>
      </c>
      <c r="H661" s="74" t="s">
        <v>1340</v>
      </c>
      <c r="I661" s="74" t="s">
        <v>1340</v>
      </c>
      <c r="J661" s="74" t="s">
        <v>1328</v>
      </c>
    </row>
    <row r="662" spans="1:18" hidden="1">
      <c r="A662" s="996">
        <v>3</v>
      </c>
      <c r="B662" s="996" t="s">
        <v>926</v>
      </c>
      <c r="C662" s="996" t="s">
        <v>873</v>
      </c>
      <c r="D662" s="996" t="s">
        <v>77</v>
      </c>
      <c r="E662" s="996" t="s">
        <v>809</v>
      </c>
      <c r="F662" s="996" t="s">
        <v>401</v>
      </c>
      <c r="G662" s="987">
        <v>10347000</v>
      </c>
      <c r="H662" s="74" t="s">
        <v>1340</v>
      </c>
      <c r="I662" s="74" t="s">
        <v>1340</v>
      </c>
      <c r="J662" s="74" t="s">
        <v>1328</v>
      </c>
    </row>
    <row r="663" spans="1:18" hidden="1">
      <c r="A663" s="996">
        <v>3</v>
      </c>
      <c r="B663" s="996" t="s">
        <v>926</v>
      </c>
      <c r="C663" s="996" t="s">
        <v>873</v>
      </c>
      <c r="D663" s="996" t="s">
        <v>78</v>
      </c>
      <c r="E663" s="996" t="s">
        <v>810</v>
      </c>
      <c r="F663" s="996" t="s">
        <v>402</v>
      </c>
      <c r="G663" s="987">
        <v>9744000</v>
      </c>
      <c r="H663" s="74" t="s">
        <v>1340</v>
      </c>
      <c r="I663" s="74" t="s">
        <v>1340</v>
      </c>
      <c r="J663" s="74" t="s">
        <v>1328</v>
      </c>
    </row>
    <row r="664" spans="1:18" hidden="1">
      <c r="A664" s="996">
        <v>3</v>
      </c>
      <c r="B664" s="996" t="s">
        <v>926</v>
      </c>
      <c r="C664" s="996" t="s">
        <v>873</v>
      </c>
      <c r="D664" s="996" t="s">
        <v>79</v>
      </c>
      <c r="E664" s="996" t="s">
        <v>801</v>
      </c>
      <c r="F664" s="996" t="s">
        <v>403</v>
      </c>
      <c r="G664" s="987">
        <v>1814000</v>
      </c>
      <c r="H664" s="74" t="s">
        <v>1340</v>
      </c>
      <c r="I664" s="74" t="s">
        <v>1340</v>
      </c>
      <c r="J664" s="74" t="s">
        <v>1328</v>
      </c>
    </row>
    <row r="665" spans="1:18" hidden="1">
      <c r="A665" s="996">
        <v>3</v>
      </c>
      <c r="B665" s="996" t="s">
        <v>926</v>
      </c>
      <c r="C665" s="996" t="s">
        <v>873</v>
      </c>
      <c r="D665" s="996" t="s">
        <v>82</v>
      </c>
      <c r="E665" s="996" t="s">
        <v>811</v>
      </c>
      <c r="F665" s="996" t="s">
        <v>404</v>
      </c>
      <c r="G665" s="987">
        <v>11503000</v>
      </c>
      <c r="H665" s="74" t="s">
        <v>1340</v>
      </c>
      <c r="I665" s="74" t="s">
        <v>1340</v>
      </c>
      <c r="J665" s="74" t="s">
        <v>1328</v>
      </c>
    </row>
    <row r="666" spans="1:18" hidden="1">
      <c r="A666" s="996">
        <v>3</v>
      </c>
      <c r="B666" s="996" t="s">
        <v>926</v>
      </c>
      <c r="C666" s="996" t="s">
        <v>873</v>
      </c>
      <c r="D666" s="996" t="s">
        <v>83</v>
      </c>
      <c r="E666" s="996" t="s">
        <v>812</v>
      </c>
      <c r="F666" s="996" t="s">
        <v>996</v>
      </c>
      <c r="G666" s="987">
        <v>622000</v>
      </c>
      <c r="H666" s="74" t="s">
        <v>1340</v>
      </c>
      <c r="I666" s="74" t="s">
        <v>1340</v>
      </c>
      <c r="J666" s="74" t="s">
        <v>1328</v>
      </c>
    </row>
    <row r="667" spans="1:18" hidden="1">
      <c r="A667" s="996">
        <v>3</v>
      </c>
      <c r="B667" s="996" t="s">
        <v>926</v>
      </c>
      <c r="C667" s="996" t="s">
        <v>873</v>
      </c>
      <c r="D667" s="996" t="s">
        <v>84</v>
      </c>
      <c r="E667" s="996" t="s">
        <v>813</v>
      </c>
      <c r="F667" s="996" t="s">
        <v>997</v>
      </c>
      <c r="G667" s="987">
        <v>1865000</v>
      </c>
      <c r="H667" s="74" t="s">
        <v>1340</v>
      </c>
      <c r="I667" s="74" t="s">
        <v>1340</v>
      </c>
      <c r="J667" s="74" t="s">
        <v>1328</v>
      </c>
    </row>
    <row r="668" spans="1:18" hidden="1">
      <c r="A668" s="996">
        <v>3</v>
      </c>
      <c r="B668" s="996" t="s">
        <v>926</v>
      </c>
      <c r="C668" s="996" t="s">
        <v>873</v>
      </c>
      <c r="D668" s="996" t="s">
        <v>85</v>
      </c>
      <c r="E668" s="996" t="s">
        <v>814</v>
      </c>
      <c r="F668" s="996" t="s">
        <v>407</v>
      </c>
      <c r="G668" s="987">
        <v>6218000</v>
      </c>
      <c r="H668" s="74" t="s">
        <v>1340</v>
      </c>
      <c r="I668" s="74" t="s">
        <v>1340</v>
      </c>
      <c r="J668" s="74" t="s">
        <v>1328</v>
      </c>
    </row>
    <row r="669" spans="1:18" hidden="1">
      <c r="A669" s="996">
        <v>3</v>
      </c>
      <c r="B669" s="996" t="s">
        <v>926</v>
      </c>
      <c r="C669" s="996" t="s">
        <v>873</v>
      </c>
      <c r="D669" s="996" t="s">
        <v>86</v>
      </c>
      <c r="E669" s="996" t="s">
        <v>815</v>
      </c>
      <c r="F669" s="996" t="s">
        <v>408</v>
      </c>
      <c r="G669" s="987">
        <v>622000</v>
      </c>
      <c r="H669" s="74" t="s">
        <v>1340</v>
      </c>
      <c r="I669" s="74" t="s">
        <v>1340</v>
      </c>
      <c r="J669" s="74" t="s">
        <v>1328</v>
      </c>
    </row>
    <row r="670" spans="1:18" hidden="1">
      <c r="A670" s="996">
        <v>3</v>
      </c>
      <c r="B670" s="996" t="s">
        <v>926</v>
      </c>
      <c r="C670" s="996" t="s">
        <v>873</v>
      </c>
      <c r="D670" s="996" t="s">
        <v>425</v>
      </c>
      <c r="E670" s="996" t="s">
        <v>816</v>
      </c>
      <c r="F670" s="996" t="s">
        <v>409</v>
      </c>
      <c r="G670" s="987">
        <v>6740000</v>
      </c>
      <c r="H670" s="74" t="s">
        <v>1340</v>
      </c>
      <c r="I670" s="74" t="s">
        <v>1340</v>
      </c>
      <c r="J670" s="74" t="s">
        <v>1328</v>
      </c>
    </row>
    <row r="671" spans="1:18" hidden="1">
      <c r="A671" s="996">
        <v>3</v>
      </c>
      <c r="B671" s="996" t="s">
        <v>926</v>
      </c>
      <c r="C671" s="996" t="s">
        <v>873</v>
      </c>
      <c r="D671" s="996" t="s">
        <v>89</v>
      </c>
      <c r="E671" s="996" t="s">
        <v>817</v>
      </c>
      <c r="F671" s="996" t="s">
        <v>409</v>
      </c>
      <c r="G671" s="987">
        <v>3731000</v>
      </c>
      <c r="H671" s="74" t="s">
        <v>1340</v>
      </c>
      <c r="I671" s="74" t="s">
        <v>1340</v>
      </c>
      <c r="J671" s="74" t="s">
        <v>1328</v>
      </c>
    </row>
    <row r="672" spans="1:18" hidden="1">
      <c r="A672" s="996">
        <v>3</v>
      </c>
      <c r="B672" s="996" t="s">
        <v>926</v>
      </c>
      <c r="C672" s="996" t="s">
        <v>873</v>
      </c>
      <c r="D672" s="996" t="s">
        <v>90</v>
      </c>
      <c r="E672" s="996" t="s">
        <v>818</v>
      </c>
      <c r="F672" s="996" t="s">
        <v>714</v>
      </c>
      <c r="G672" s="987">
        <v>1865000</v>
      </c>
      <c r="H672" s="74" t="s">
        <v>1340</v>
      </c>
      <c r="I672" s="74" t="s">
        <v>1340</v>
      </c>
      <c r="J672" s="74" t="s">
        <v>1328</v>
      </c>
    </row>
    <row r="673" spans="1:10" hidden="1">
      <c r="A673" s="996">
        <v>3</v>
      </c>
      <c r="B673" s="996" t="s">
        <v>926</v>
      </c>
      <c r="C673" s="996" t="s">
        <v>874</v>
      </c>
      <c r="D673" s="996" t="s">
        <v>138</v>
      </c>
      <c r="E673" s="996" t="s">
        <v>985</v>
      </c>
      <c r="F673" s="996" t="s">
        <v>1211</v>
      </c>
      <c r="G673" s="997">
        <v>1158000</v>
      </c>
      <c r="H673" s="74" t="s">
        <v>448</v>
      </c>
      <c r="I673" s="74" t="s">
        <v>1339</v>
      </c>
      <c r="J673" s="74" t="s">
        <v>1328</v>
      </c>
    </row>
    <row r="674" spans="1:10" hidden="1">
      <c r="A674" s="996">
        <v>3</v>
      </c>
      <c r="B674" s="996" t="s">
        <v>926</v>
      </c>
      <c r="C674" s="996" t="s">
        <v>888</v>
      </c>
      <c r="D674" s="996" t="s">
        <v>294</v>
      </c>
      <c r="E674" s="996" t="s">
        <v>866</v>
      </c>
      <c r="F674" s="996" t="s">
        <v>1202</v>
      </c>
      <c r="G674" s="997">
        <v>1400000</v>
      </c>
      <c r="H674" s="74" t="s">
        <v>448</v>
      </c>
      <c r="I674" s="74" t="s">
        <v>1339</v>
      </c>
      <c r="J674" s="74" t="s">
        <v>1328</v>
      </c>
    </row>
    <row r="675" spans="1:10" hidden="1">
      <c r="A675" s="996">
        <v>3</v>
      </c>
      <c r="B675" s="996" t="s">
        <v>927</v>
      </c>
      <c r="C675" s="996" t="s">
        <v>873</v>
      </c>
      <c r="D675" s="996" t="s">
        <v>67</v>
      </c>
      <c r="E675" s="996" t="s">
        <v>803</v>
      </c>
      <c r="F675" s="996" t="s">
        <v>991</v>
      </c>
      <c r="G675" s="987">
        <v>72910000</v>
      </c>
      <c r="H675" s="74" t="s">
        <v>1340</v>
      </c>
      <c r="I675" s="74" t="s">
        <v>1340</v>
      </c>
      <c r="J675" s="74" t="s">
        <v>1328</v>
      </c>
    </row>
    <row r="676" spans="1:10" hidden="1">
      <c r="A676" s="996">
        <v>3</v>
      </c>
      <c r="B676" s="996" t="s">
        <v>927</v>
      </c>
      <c r="C676" s="996" t="s">
        <v>873</v>
      </c>
      <c r="D676" s="996" t="s">
        <v>71</v>
      </c>
      <c r="E676" s="996" t="s">
        <v>806</v>
      </c>
      <c r="F676" s="996" t="s">
        <v>1164</v>
      </c>
      <c r="G676" s="987">
        <v>184000</v>
      </c>
      <c r="H676" s="74" t="s">
        <v>1340</v>
      </c>
      <c r="I676" s="74" t="s">
        <v>1340</v>
      </c>
      <c r="J676" s="74" t="s">
        <v>1328</v>
      </c>
    </row>
    <row r="677" spans="1:10" hidden="1">
      <c r="A677" s="996">
        <v>3</v>
      </c>
      <c r="B677" s="996" t="s">
        <v>927</v>
      </c>
      <c r="C677" s="996" t="s">
        <v>873</v>
      </c>
      <c r="D677" s="996" t="s">
        <v>75</v>
      </c>
      <c r="E677" s="996" t="s">
        <v>799</v>
      </c>
      <c r="F677" s="996" t="s">
        <v>399</v>
      </c>
      <c r="G677" s="987">
        <v>7553000</v>
      </c>
      <c r="H677" s="74" t="s">
        <v>1340</v>
      </c>
      <c r="I677" s="74" t="s">
        <v>1340</v>
      </c>
      <c r="J677" s="74" t="s">
        <v>1328</v>
      </c>
    </row>
    <row r="678" spans="1:10" hidden="1">
      <c r="A678" s="996">
        <v>3</v>
      </c>
      <c r="B678" s="996" t="s">
        <v>927</v>
      </c>
      <c r="C678" s="996" t="s">
        <v>873</v>
      </c>
      <c r="D678" s="996" t="s">
        <v>76</v>
      </c>
      <c r="E678" s="996" t="s">
        <v>800</v>
      </c>
      <c r="F678" s="996" t="s">
        <v>400</v>
      </c>
      <c r="G678" s="987">
        <v>9729000</v>
      </c>
      <c r="H678" s="74" t="s">
        <v>1340</v>
      </c>
      <c r="I678" s="74" t="s">
        <v>1340</v>
      </c>
      <c r="J678" s="74" t="s">
        <v>1328</v>
      </c>
    </row>
    <row r="679" spans="1:10" hidden="1">
      <c r="A679" s="996">
        <v>3</v>
      </c>
      <c r="B679" s="996" t="s">
        <v>927</v>
      </c>
      <c r="C679" s="996" t="s">
        <v>873</v>
      </c>
      <c r="D679" s="996" t="s">
        <v>77</v>
      </c>
      <c r="E679" s="996" t="s">
        <v>809</v>
      </c>
      <c r="F679" s="996" t="s">
        <v>401</v>
      </c>
      <c r="G679" s="987">
        <v>8385000</v>
      </c>
      <c r="H679" s="74" t="s">
        <v>1340</v>
      </c>
      <c r="I679" s="74" t="s">
        <v>1340</v>
      </c>
      <c r="J679" s="74" t="s">
        <v>1328</v>
      </c>
    </row>
    <row r="680" spans="1:10" hidden="1">
      <c r="A680" s="996">
        <v>3</v>
      </c>
      <c r="B680" s="996" t="s">
        <v>927</v>
      </c>
      <c r="C680" s="996" t="s">
        <v>873</v>
      </c>
      <c r="D680" s="996" t="s">
        <v>78</v>
      </c>
      <c r="E680" s="996" t="s">
        <v>810</v>
      </c>
      <c r="F680" s="996" t="s">
        <v>994</v>
      </c>
      <c r="G680" s="987">
        <v>7870000</v>
      </c>
      <c r="H680" s="74" t="s">
        <v>1340</v>
      </c>
      <c r="I680" s="74" t="s">
        <v>1340</v>
      </c>
      <c r="J680" s="74" t="s">
        <v>1328</v>
      </c>
    </row>
    <row r="681" spans="1:10" hidden="1">
      <c r="A681" s="996">
        <v>3</v>
      </c>
      <c r="B681" s="996" t="s">
        <v>927</v>
      </c>
      <c r="C681" s="996" t="s">
        <v>873</v>
      </c>
      <c r="D681" s="996" t="s">
        <v>79</v>
      </c>
      <c r="E681" s="996" t="s">
        <v>801</v>
      </c>
      <c r="F681" s="996" t="s">
        <v>403</v>
      </c>
      <c r="G681" s="987">
        <v>2509000</v>
      </c>
      <c r="H681" s="74" t="s">
        <v>1340</v>
      </c>
      <c r="I681" s="74" t="s">
        <v>1340</v>
      </c>
      <c r="J681" s="74" t="s">
        <v>1328</v>
      </c>
    </row>
    <row r="682" spans="1:10" hidden="1">
      <c r="A682" s="996">
        <v>3</v>
      </c>
      <c r="B682" s="996" t="s">
        <v>927</v>
      </c>
      <c r="C682" s="996" t="s">
        <v>873</v>
      </c>
      <c r="D682" s="996" t="s">
        <v>82</v>
      </c>
      <c r="E682" s="996" t="s">
        <v>811</v>
      </c>
      <c r="F682" s="996" t="s">
        <v>404</v>
      </c>
      <c r="G682" s="987">
        <v>9320000</v>
      </c>
      <c r="H682" s="74" t="s">
        <v>1340</v>
      </c>
      <c r="I682" s="74" t="s">
        <v>1340</v>
      </c>
      <c r="J682" s="74" t="s">
        <v>1328</v>
      </c>
    </row>
    <row r="683" spans="1:10" hidden="1">
      <c r="A683" s="996">
        <v>3</v>
      </c>
      <c r="B683" s="996" t="s">
        <v>927</v>
      </c>
      <c r="C683" s="996" t="s">
        <v>873</v>
      </c>
      <c r="D683" s="996" t="s">
        <v>83</v>
      </c>
      <c r="E683" s="996" t="s">
        <v>812</v>
      </c>
      <c r="F683" s="996" t="s">
        <v>405</v>
      </c>
      <c r="G683" s="987">
        <v>504000</v>
      </c>
      <c r="H683" s="74" t="s">
        <v>1340</v>
      </c>
      <c r="I683" s="74" t="s">
        <v>1340</v>
      </c>
      <c r="J683" s="74" t="s">
        <v>1328</v>
      </c>
    </row>
    <row r="684" spans="1:10" hidden="1">
      <c r="A684" s="996">
        <v>3</v>
      </c>
      <c r="B684" s="996" t="s">
        <v>927</v>
      </c>
      <c r="C684" s="996" t="s">
        <v>873</v>
      </c>
      <c r="D684" s="996" t="s">
        <v>84</v>
      </c>
      <c r="E684" s="996" t="s">
        <v>813</v>
      </c>
      <c r="F684" s="996" t="s">
        <v>997</v>
      </c>
      <c r="G684" s="987">
        <v>1511000</v>
      </c>
      <c r="H684" s="74" t="s">
        <v>1340</v>
      </c>
      <c r="I684" s="74" t="s">
        <v>1340</v>
      </c>
      <c r="J684" s="74" t="s">
        <v>1328</v>
      </c>
    </row>
    <row r="685" spans="1:10" hidden="1">
      <c r="A685" s="996">
        <v>3</v>
      </c>
      <c r="B685" s="996" t="s">
        <v>927</v>
      </c>
      <c r="C685" s="996" t="s">
        <v>873</v>
      </c>
      <c r="D685" s="996" t="s">
        <v>85</v>
      </c>
      <c r="E685" s="996" t="s">
        <v>814</v>
      </c>
      <c r="F685" s="996" t="s">
        <v>407</v>
      </c>
      <c r="G685" s="987">
        <v>5038000</v>
      </c>
      <c r="H685" s="74" t="s">
        <v>1340</v>
      </c>
      <c r="I685" s="74" t="s">
        <v>1340</v>
      </c>
      <c r="J685" s="74" t="s">
        <v>1328</v>
      </c>
    </row>
    <row r="686" spans="1:10" hidden="1">
      <c r="A686" s="996">
        <v>3</v>
      </c>
      <c r="B686" s="996" t="s">
        <v>927</v>
      </c>
      <c r="C686" s="996" t="s">
        <v>873</v>
      </c>
      <c r="D686" s="996" t="s">
        <v>86</v>
      </c>
      <c r="E686" s="996" t="s">
        <v>815</v>
      </c>
      <c r="F686" s="996" t="s">
        <v>999</v>
      </c>
      <c r="G686" s="987">
        <v>504000</v>
      </c>
      <c r="H686" s="74" t="s">
        <v>1340</v>
      </c>
      <c r="I686" s="74" t="s">
        <v>1340</v>
      </c>
      <c r="J686" s="74" t="s">
        <v>1328</v>
      </c>
    </row>
    <row r="687" spans="1:10" hidden="1">
      <c r="A687" s="996">
        <v>3</v>
      </c>
      <c r="B687" s="996" t="s">
        <v>927</v>
      </c>
      <c r="C687" s="996" t="s">
        <v>873</v>
      </c>
      <c r="D687" s="996" t="s">
        <v>425</v>
      </c>
      <c r="E687" s="996" t="s">
        <v>816</v>
      </c>
      <c r="F687" s="996" t="s">
        <v>409</v>
      </c>
      <c r="G687" s="987">
        <v>5461000</v>
      </c>
      <c r="H687" s="74" t="s">
        <v>1340</v>
      </c>
      <c r="I687" s="74" t="s">
        <v>1340</v>
      </c>
      <c r="J687" s="74" t="s">
        <v>1328</v>
      </c>
    </row>
    <row r="688" spans="1:10" hidden="1">
      <c r="A688" s="996">
        <v>3</v>
      </c>
      <c r="B688" s="996" t="s">
        <v>927</v>
      </c>
      <c r="C688" s="996" t="s">
        <v>873</v>
      </c>
      <c r="D688" s="996" t="s">
        <v>89</v>
      </c>
      <c r="E688" s="996" t="s">
        <v>817</v>
      </c>
      <c r="F688" s="996" t="s">
        <v>1001</v>
      </c>
      <c r="G688" s="987">
        <v>3023000</v>
      </c>
      <c r="H688" s="74" t="s">
        <v>1340</v>
      </c>
      <c r="I688" s="74" t="s">
        <v>1340</v>
      </c>
      <c r="J688" s="74" t="s">
        <v>1328</v>
      </c>
    </row>
    <row r="689" spans="1:18" hidden="1">
      <c r="A689" s="996">
        <v>3</v>
      </c>
      <c r="B689" s="996" t="s">
        <v>927</v>
      </c>
      <c r="C689" s="996" t="s">
        <v>873</v>
      </c>
      <c r="D689" s="996" t="s">
        <v>90</v>
      </c>
      <c r="E689" s="996" t="s">
        <v>818</v>
      </c>
      <c r="F689" s="996" t="s">
        <v>714</v>
      </c>
      <c r="G689" s="987">
        <v>1511000</v>
      </c>
      <c r="H689" s="74" t="s">
        <v>1340</v>
      </c>
      <c r="I689" s="74" t="s">
        <v>1340</v>
      </c>
      <c r="J689" s="74" t="s">
        <v>1328</v>
      </c>
    </row>
    <row r="690" spans="1:18">
      <c r="A690" s="996">
        <v>3</v>
      </c>
      <c r="B690" s="996" t="s">
        <v>927</v>
      </c>
      <c r="C690" s="996" t="s">
        <v>874</v>
      </c>
      <c r="D690" s="996" t="s">
        <v>133</v>
      </c>
      <c r="E690" s="996" t="s">
        <v>836</v>
      </c>
      <c r="F690" s="996" t="s">
        <v>1212</v>
      </c>
      <c r="G690" s="997">
        <v>80000</v>
      </c>
      <c r="H690" s="74" t="s">
        <v>448</v>
      </c>
      <c r="I690" s="74" t="s">
        <v>1339</v>
      </c>
      <c r="J690" s="74" t="s">
        <v>1328</v>
      </c>
    </row>
    <row r="691" spans="1:18" hidden="1">
      <c r="A691" s="996">
        <v>3</v>
      </c>
      <c r="B691" s="996" t="s">
        <v>927</v>
      </c>
      <c r="C691" s="996" t="s">
        <v>874</v>
      </c>
      <c r="D691" s="996" t="s">
        <v>138</v>
      </c>
      <c r="E691" s="996" t="s">
        <v>985</v>
      </c>
      <c r="F691" s="996" t="s">
        <v>1213</v>
      </c>
      <c r="G691" s="997">
        <v>938000</v>
      </c>
      <c r="H691" s="74" t="s">
        <v>448</v>
      </c>
      <c r="I691" s="74" t="s">
        <v>1339</v>
      </c>
      <c r="J691" s="74" t="s">
        <v>1328</v>
      </c>
    </row>
    <row r="692" spans="1:18" hidden="1">
      <c r="A692" s="996">
        <v>3</v>
      </c>
      <c r="B692" s="996" t="s">
        <v>1214</v>
      </c>
      <c r="C692" s="996" t="s">
        <v>873</v>
      </c>
      <c r="D692" s="996" t="s">
        <v>68</v>
      </c>
      <c r="E692" s="996" t="s">
        <v>804</v>
      </c>
      <c r="F692" s="996" t="s">
        <v>1132</v>
      </c>
      <c r="G692" s="997">
        <v>1085037000</v>
      </c>
      <c r="H692" s="74" t="s">
        <v>1338</v>
      </c>
      <c r="I692" s="74" t="s">
        <v>1338</v>
      </c>
      <c r="J692" s="74" t="s">
        <v>1338</v>
      </c>
    </row>
    <row r="693" spans="1:18" hidden="1">
      <c r="A693" s="996">
        <v>3</v>
      </c>
      <c r="B693" s="996" t="s">
        <v>1214</v>
      </c>
      <c r="C693" s="996" t="s">
        <v>873</v>
      </c>
      <c r="D693" s="996" t="s">
        <v>71</v>
      </c>
      <c r="E693" s="996" t="s">
        <v>806</v>
      </c>
      <c r="F693" s="996" t="s">
        <v>663</v>
      </c>
      <c r="G693" s="997">
        <v>15500000</v>
      </c>
      <c r="H693" s="74" t="s">
        <v>1338</v>
      </c>
      <c r="I693" s="74" t="s">
        <v>1338</v>
      </c>
      <c r="J693" s="74" t="s">
        <v>1338</v>
      </c>
    </row>
    <row r="694" spans="1:18" s="915" customFormat="1" hidden="1">
      <c r="A694" s="996">
        <v>3</v>
      </c>
      <c r="B694" s="996" t="s">
        <v>1214</v>
      </c>
      <c r="C694" s="996" t="s">
        <v>873</v>
      </c>
      <c r="D694" s="996" t="s">
        <v>77</v>
      </c>
      <c r="E694" s="996" t="s">
        <v>809</v>
      </c>
      <c r="F694" s="996" t="s">
        <v>401</v>
      </c>
      <c r="G694" s="997">
        <v>99351000</v>
      </c>
      <c r="H694" s="74" t="s">
        <v>1338</v>
      </c>
      <c r="I694" s="74" t="s">
        <v>1338</v>
      </c>
      <c r="J694" s="74" t="s">
        <v>1338</v>
      </c>
      <c r="M694" s="989"/>
      <c r="R694" s="989"/>
    </row>
    <row r="695" spans="1:18" s="915" customFormat="1" hidden="1">
      <c r="A695" s="996">
        <v>3</v>
      </c>
      <c r="B695" s="996" t="s">
        <v>1214</v>
      </c>
      <c r="C695" s="996" t="s">
        <v>873</v>
      </c>
      <c r="D695" s="996" t="s">
        <v>78</v>
      </c>
      <c r="E695" s="996" t="s">
        <v>810</v>
      </c>
      <c r="F695" s="996" t="s">
        <v>402</v>
      </c>
      <c r="G695" s="997">
        <v>91675000</v>
      </c>
      <c r="H695" s="74" t="s">
        <v>1338</v>
      </c>
      <c r="I695" s="74" t="s">
        <v>1338</v>
      </c>
      <c r="J695" s="74" t="s">
        <v>1338</v>
      </c>
      <c r="M695" s="989"/>
      <c r="R695" s="989"/>
    </row>
    <row r="696" spans="1:18" s="915" customFormat="1" hidden="1">
      <c r="A696" s="996">
        <v>3</v>
      </c>
      <c r="B696" s="996" t="s">
        <v>1214</v>
      </c>
      <c r="C696" s="996" t="s">
        <v>873</v>
      </c>
      <c r="D696" s="996" t="s">
        <v>82</v>
      </c>
      <c r="E696" s="996" t="s">
        <v>811</v>
      </c>
      <c r="F696" s="996" t="s">
        <v>404</v>
      </c>
      <c r="G696" s="997">
        <v>110280000</v>
      </c>
      <c r="H696" s="74" t="s">
        <v>1338</v>
      </c>
      <c r="I696" s="74" t="s">
        <v>1338</v>
      </c>
      <c r="J696" s="74" t="s">
        <v>1338</v>
      </c>
      <c r="M696" s="989"/>
      <c r="R696" s="989"/>
    </row>
    <row r="697" spans="1:18" s="915" customFormat="1" hidden="1">
      <c r="A697" s="996">
        <v>3</v>
      </c>
      <c r="B697" s="996" t="s">
        <v>1214</v>
      </c>
      <c r="C697" s="996" t="s">
        <v>873</v>
      </c>
      <c r="D697" s="996" t="s">
        <v>83</v>
      </c>
      <c r="E697" s="996" t="s">
        <v>812</v>
      </c>
      <c r="F697" s="996" t="s">
        <v>405</v>
      </c>
      <c r="G697" s="997">
        <v>5961000</v>
      </c>
      <c r="H697" s="74" t="s">
        <v>1338</v>
      </c>
      <c r="I697" s="74" t="s">
        <v>1338</v>
      </c>
      <c r="J697" s="74" t="s">
        <v>1338</v>
      </c>
      <c r="M697" s="989"/>
      <c r="R697" s="989"/>
    </row>
    <row r="698" spans="1:18" s="915" customFormat="1" hidden="1">
      <c r="A698" s="996">
        <v>3</v>
      </c>
      <c r="B698" s="996" t="s">
        <v>1214</v>
      </c>
      <c r="C698" s="996" t="s">
        <v>873</v>
      </c>
      <c r="D698" s="996" t="s">
        <v>84</v>
      </c>
      <c r="E698" s="996" t="s">
        <v>813</v>
      </c>
      <c r="F698" s="996" t="s">
        <v>406</v>
      </c>
      <c r="G698" s="997">
        <v>17883000</v>
      </c>
      <c r="H698" s="74" t="s">
        <v>1338</v>
      </c>
      <c r="I698" s="74" t="s">
        <v>1338</v>
      </c>
      <c r="J698" s="74" t="s">
        <v>1338</v>
      </c>
      <c r="M698" s="989"/>
      <c r="R698" s="989"/>
    </row>
    <row r="699" spans="1:18" s="915" customFormat="1" hidden="1">
      <c r="A699" s="996">
        <v>3</v>
      </c>
      <c r="B699" s="996" t="s">
        <v>1214</v>
      </c>
      <c r="C699" s="996" t="s">
        <v>873</v>
      </c>
      <c r="D699" s="996" t="s">
        <v>85</v>
      </c>
      <c r="E699" s="996" t="s">
        <v>814</v>
      </c>
      <c r="F699" s="996" t="s">
        <v>407</v>
      </c>
      <c r="G699" s="997">
        <v>59611000</v>
      </c>
      <c r="H699" s="74" t="s">
        <v>1338</v>
      </c>
      <c r="I699" s="74" t="s">
        <v>1338</v>
      </c>
      <c r="J699" s="74" t="s">
        <v>1338</v>
      </c>
      <c r="M699" s="989"/>
      <c r="R699" s="989"/>
    </row>
    <row r="700" spans="1:18" s="915" customFormat="1" hidden="1">
      <c r="A700" s="996">
        <v>3</v>
      </c>
      <c r="B700" s="996" t="s">
        <v>1214</v>
      </c>
      <c r="C700" s="996" t="s">
        <v>873</v>
      </c>
      <c r="D700" s="996" t="s">
        <v>86</v>
      </c>
      <c r="E700" s="996" t="s">
        <v>815</v>
      </c>
      <c r="F700" s="996" t="s">
        <v>408</v>
      </c>
      <c r="G700" s="997">
        <v>5961000</v>
      </c>
      <c r="H700" s="74" t="s">
        <v>1338</v>
      </c>
      <c r="I700" s="74" t="s">
        <v>1338</v>
      </c>
      <c r="J700" s="74" t="s">
        <v>1338</v>
      </c>
      <c r="M700" s="989"/>
      <c r="R700" s="989"/>
    </row>
    <row r="701" spans="1:18" s="915" customFormat="1" hidden="1">
      <c r="A701" s="996">
        <v>3</v>
      </c>
      <c r="B701" s="996" t="s">
        <v>1214</v>
      </c>
      <c r="C701" s="996" t="s">
        <v>873</v>
      </c>
      <c r="D701" s="996" t="s">
        <v>425</v>
      </c>
      <c r="E701" s="996" t="s">
        <v>816</v>
      </c>
      <c r="F701" s="996" t="s">
        <v>945</v>
      </c>
      <c r="G701" s="997">
        <v>64618000</v>
      </c>
      <c r="H701" s="74" t="s">
        <v>1338</v>
      </c>
      <c r="I701" s="74" t="s">
        <v>1338</v>
      </c>
      <c r="J701" s="74" t="s">
        <v>1338</v>
      </c>
      <c r="M701" s="989"/>
      <c r="R701" s="989"/>
    </row>
    <row r="702" spans="1:18" s="915" customFormat="1" hidden="1">
      <c r="A702" s="996">
        <v>3</v>
      </c>
      <c r="B702" s="996" t="s">
        <v>1214</v>
      </c>
      <c r="C702" s="996" t="s">
        <v>873</v>
      </c>
      <c r="D702" s="996" t="s">
        <v>89</v>
      </c>
      <c r="E702" s="996" t="s">
        <v>817</v>
      </c>
      <c r="F702" s="996" t="s">
        <v>409</v>
      </c>
      <c r="G702" s="997">
        <v>35766000</v>
      </c>
      <c r="H702" s="74" t="s">
        <v>1338</v>
      </c>
      <c r="I702" s="74" t="s">
        <v>1338</v>
      </c>
      <c r="J702" s="74" t="s">
        <v>1338</v>
      </c>
      <c r="M702" s="989"/>
      <c r="R702" s="989"/>
    </row>
    <row r="703" spans="1:18" s="915" customFormat="1" hidden="1">
      <c r="A703" s="996">
        <v>3</v>
      </c>
      <c r="B703" s="996" t="s">
        <v>1214</v>
      </c>
      <c r="C703" s="996" t="s">
        <v>873</v>
      </c>
      <c r="D703" s="996" t="s">
        <v>90</v>
      </c>
      <c r="E703" s="996" t="s">
        <v>818</v>
      </c>
      <c r="F703" s="996" t="s">
        <v>714</v>
      </c>
      <c r="G703" s="997">
        <v>17883000</v>
      </c>
      <c r="H703" s="74" t="s">
        <v>1338</v>
      </c>
      <c r="I703" s="74" t="s">
        <v>1338</v>
      </c>
      <c r="J703" s="74" t="s">
        <v>1338</v>
      </c>
      <c r="M703" s="989"/>
      <c r="R703" s="989"/>
    </row>
    <row r="704" spans="1:18" s="915" customFormat="1" hidden="1">
      <c r="A704" s="996">
        <v>3</v>
      </c>
      <c r="B704" s="996" t="s">
        <v>1214</v>
      </c>
      <c r="C704" s="996" t="s">
        <v>874</v>
      </c>
      <c r="D704" s="996" t="s">
        <v>286</v>
      </c>
      <c r="E704" s="996" t="s">
        <v>980</v>
      </c>
      <c r="F704" s="996" t="s">
        <v>1215</v>
      </c>
      <c r="G704" s="997">
        <v>13200000</v>
      </c>
      <c r="H704" s="74" t="s">
        <v>1338</v>
      </c>
      <c r="I704" s="74" t="s">
        <v>1338</v>
      </c>
      <c r="J704" s="74" t="s">
        <v>1338</v>
      </c>
      <c r="M704" s="989"/>
      <c r="R704" s="989"/>
    </row>
    <row r="705" spans="1:18" s="915" customFormat="1" hidden="1">
      <c r="A705" s="996">
        <v>3</v>
      </c>
      <c r="B705" s="996" t="s">
        <v>1214</v>
      </c>
      <c r="C705" s="996" t="s">
        <v>874</v>
      </c>
      <c r="D705" s="996" t="s">
        <v>116</v>
      </c>
      <c r="E705" s="996" t="s">
        <v>828</v>
      </c>
      <c r="F705" s="996" t="s">
        <v>1085</v>
      </c>
      <c r="G705" s="997">
        <v>150000</v>
      </c>
      <c r="H705" s="74" t="s">
        <v>1338</v>
      </c>
      <c r="I705" s="74" t="s">
        <v>1338</v>
      </c>
      <c r="J705" s="74" t="s">
        <v>1338</v>
      </c>
      <c r="M705" s="989"/>
      <c r="R705" s="989"/>
    </row>
    <row r="706" spans="1:18" s="915" customFormat="1" hidden="1">
      <c r="A706" s="996">
        <v>3</v>
      </c>
      <c r="B706" s="996" t="s">
        <v>1214</v>
      </c>
      <c r="C706" s="996" t="s">
        <v>874</v>
      </c>
      <c r="D706" s="996" t="s">
        <v>123</v>
      </c>
      <c r="E706" s="996" t="s">
        <v>1069</v>
      </c>
      <c r="F706" s="996" t="s">
        <v>1372</v>
      </c>
      <c r="G706" s="997">
        <v>54000000</v>
      </c>
      <c r="H706" s="74" t="s">
        <v>1338</v>
      </c>
      <c r="I706" s="74" t="s">
        <v>1338</v>
      </c>
      <c r="J706" s="74" t="s">
        <v>1338</v>
      </c>
      <c r="M706" s="989"/>
      <c r="R706" s="989"/>
    </row>
    <row r="707" spans="1:18" s="915" customFormat="1" hidden="1">
      <c r="A707" s="996">
        <v>3</v>
      </c>
      <c r="B707" s="996" t="s">
        <v>1214</v>
      </c>
      <c r="C707" s="996" t="s">
        <v>874</v>
      </c>
      <c r="D707" s="996" t="s">
        <v>123</v>
      </c>
      <c r="E707" s="996" t="s">
        <v>1069</v>
      </c>
      <c r="F707" s="996" t="s">
        <v>1373</v>
      </c>
      <c r="G707" s="997">
        <v>17000000</v>
      </c>
      <c r="H707" s="74" t="s">
        <v>1338</v>
      </c>
      <c r="I707" s="74" t="s">
        <v>1338</v>
      </c>
      <c r="J707" s="74" t="s">
        <v>1338</v>
      </c>
      <c r="M707" s="989"/>
      <c r="R707" s="989"/>
    </row>
    <row r="708" spans="1:18" s="915" customFormat="1" ht="60" hidden="1">
      <c r="A708" s="996">
        <v>3</v>
      </c>
      <c r="B708" s="996" t="s">
        <v>1214</v>
      </c>
      <c r="C708" s="996" t="s">
        <v>874</v>
      </c>
      <c r="D708" s="996" t="s">
        <v>125</v>
      </c>
      <c r="E708" s="996" t="s">
        <v>833</v>
      </c>
      <c r="F708" s="998" t="s">
        <v>1216</v>
      </c>
      <c r="G708" s="997">
        <v>400000</v>
      </c>
      <c r="H708" s="74" t="s">
        <v>1338</v>
      </c>
      <c r="I708" s="74" t="s">
        <v>1338</v>
      </c>
      <c r="J708" s="74" t="s">
        <v>1338</v>
      </c>
      <c r="M708" s="989"/>
      <c r="R708" s="989"/>
    </row>
    <row r="709" spans="1:18" s="915" customFormat="1" hidden="1">
      <c r="A709" s="996">
        <v>3</v>
      </c>
      <c r="B709" s="996" t="s">
        <v>1214</v>
      </c>
      <c r="C709" s="996" t="s">
        <v>874</v>
      </c>
      <c r="D709" s="996" t="s">
        <v>131</v>
      </c>
      <c r="E709" s="996" t="s">
        <v>835</v>
      </c>
      <c r="F709" s="996" t="s">
        <v>1217</v>
      </c>
      <c r="G709" s="997">
        <v>600000</v>
      </c>
      <c r="H709" s="74" t="s">
        <v>1338</v>
      </c>
      <c r="I709" s="74" t="s">
        <v>1338</v>
      </c>
      <c r="J709" s="74" t="s">
        <v>1338</v>
      </c>
      <c r="M709" s="989"/>
      <c r="R709" s="989"/>
    </row>
    <row r="710" spans="1:18" s="915" customFormat="1">
      <c r="A710" s="996">
        <v>3</v>
      </c>
      <c r="B710" s="996" t="s">
        <v>1214</v>
      </c>
      <c r="C710" s="996" t="s">
        <v>874</v>
      </c>
      <c r="D710" s="996" t="s">
        <v>133</v>
      </c>
      <c r="E710" s="996" t="s">
        <v>836</v>
      </c>
      <c r="F710" s="996" t="s">
        <v>1218</v>
      </c>
      <c r="G710" s="997">
        <v>67500000</v>
      </c>
      <c r="H710" s="74" t="s">
        <v>1338</v>
      </c>
      <c r="I710" s="74" t="s">
        <v>1338</v>
      </c>
      <c r="J710" s="74" t="s">
        <v>1338</v>
      </c>
      <c r="M710" s="989"/>
      <c r="R710" s="989"/>
    </row>
    <row r="711" spans="1:18" hidden="1">
      <c r="A711" s="996">
        <v>3</v>
      </c>
      <c r="B711" s="996" t="s">
        <v>1214</v>
      </c>
      <c r="C711" s="996" t="s">
        <v>874</v>
      </c>
      <c r="D711" s="996" t="s">
        <v>134</v>
      </c>
      <c r="E711" s="996" t="s">
        <v>837</v>
      </c>
      <c r="F711" s="996" t="s">
        <v>1219</v>
      </c>
      <c r="G711" s="997">
        <v>1500000</v>
      </c>
      <c r="H711" s="74" t="s">
        <v>1338</v>
      </c>
      <c r="I711" s="74" t="s">
        <v>1338</v>
      </c>
      <c r="J711" s="74" t="s">
        <v>1338</v>
      </c>
    </row>
    <row r="712" spans="1:18" hidden="1">
      <c r="A712" s="996">
        <v>3</v>
      </c>
      <c r="B712" s="996" t="s">
        <v>1214</v>
      </c>
      <c r="C712" s="996" t="s">
        <v>874</v>
      </c>
      <c r="D712" s="996" t="s">
        <v>136</v>
      </c>
      <c r="E712" s="996" t="s">
        <v>838</v>
      </c>
      <c r="F712" s="996" t="s">
        <v>1220</v>
      </c>
      <c r="G712" s="997">
        <v>1950000</v>
      </c>
      <c r="H712" s="74" t="s">
        <v>1338</v>
      </c>
      <c r="I712" s="74" t="s">
        <v>1338</v>
      </c>
      <c r="J712" s="74" t="s">
        <v>1338</v>
      </c>
    </row>
    <row r="713" spans="1:18" hidden="1">
      <c r="A713" s="996">
        <v>3</v>
      </c>
      <c r="B713" s="996" t="s">
        <v>1214</v>
      </c>
      <c r="C713" s="996" t="s">
        <v>874</v>
      </c>
      <c r="D713" s="996" t="s">
        <v>138</v>
      </c>
      <c r="E713" s="996" t="s">
        <v>985</v>
      </c>
      <c r="F713" s="996" t="s">
        <v>1221</v>
      </c>
      <c r="G713" s="997">
        <v>11106000</v>
      </c>
      <c r="H713" s="74" t="s">
        <v>1338</v>
      </c>
      <c r="I713" s="74" t="s">
        <v>1338</v>
      </c>
      <c r="J713" s="74" t="s">
        <v>1338</v>
      </c>
    </row>
    <row r="714" spans="1:18" hidden="1">
      <c r="A714" s="996">
        <v>3</v>
      </c>
      <c r="B714" s="996" t="s">
        <v>1214</v>
      </c>
      <c r="C714" s="996" t="s">
        <v>874</v>
      </c>
      <c r="D714" s="996" t="s">
        <v>142</v>
      </c>
      <c r="E714" s="996" t="s">
        <v>839</v>
      </c>
      <c r="F714" s="996" t="s">
        <v>1222</v>
      </c>
      <c r="G714" s="997">
        <v>19220000</v>
      </c>
      <c r="H714" s="74" t="s">
        <v>1338</v>
      </c>
      <c r="I714" s="74" t="s">
        <v>1338</v>
      </c>
      <c r="J714" s="74" t="s">
        <v>1338</v>
      </c>
    </row>
    <row r="715" spans="1:18" hidden="1">
      <c r="A715" s="996">
        <v>3</v>
      </c>
      <c r="B715" s="996" t="s">
        <v>1214</v>
      </c>
      <c r="C715" s="996" t="s">
        <v>874</v>
      </c>
      <c r="D715" s="996" t="s">
        <v>153</v>
      </c>
      <c r="E715" s="996" t="s">
        <v>842</v>
      </c>
      <c r="F715" s="996" t="s">
        <v>1223</v>
      </c>
      <c r="G715" s="997">
        <v>21150000</v>
      </c>
      <c r="H715" s="74" t="s">
        <v>1338</v>
      </c>
      <c r="I715" s="74" t="s">
        <v>1338</v>
      </c>
      <c r="J715" s="74" t="s">
        <v>1338</v>
      </c>
    </row>
    <row r="716" spans="1:18" hidden="1">
      <c r="A716" s="996">
        <v>3</v>
      </c>
      <c r="B716" s="996" t="s">
        <v>1214</v>
      </c>
      <c r="C716" s="996" t="s">
        <v>874</v>
      </c>
      <c r="D716" s="996" t="s">
        <v>347</v>
      </c>
      <c r="E716" s="996" t="s">
        <v>847</v>
      </c>
      <c r="F716" s="996" t="s">
        <v>1224</v>
      </c>
      <c r="G716" s="997">
        <v>350000</v>
      </c>
      <c r="H716" s="74" t="s">
        <v>1338</v>
      </c>
      <c r="I716" s="74" t="s">
        <v>1338</v>
      </c>
      <c r="J716" s="74" t="s">
        <v>1338</v>
      </c>
    </row>
    <row r="717" spans="1:18" hidden="1">
      <c r="A717" s="996">
        <v>3</v>
      </c>
      <c r="B717" s="996" t="s">
        <v>1214</v>
      </c>
      <c r="C717" s="996" t="s">
        <v>874</v>
      </c>
      <c r="D717" s="996" t="s">
        <v>162</v>
      </c>
      <c r="E717" s="996" t="s">
        <v>850</v>
      </c>
      <c r="F717" s="996" t="s">
        <v>1225</v>
      </c>
      <c r="G717" s="997">
        <v>30000</v>
      </c>
      <c r="H717" s="74" t="s">
        <v>1338</v>
      </c>
      <c r="I717" s="74" t="s">
        <v>1338</v>
      </c>
      <c r="J717" s="74" t="s">
        <v>1338</v>
      </c>
    </row>
    <row r="718" spans="1:18" hidden="1">
      <c r="A718" s="996">
        <v>3</v>
      </c>
      <c r="B718" s="996" t="s">
        <v>1214</v>
      </c>
      <c r="C718" s="996" t="s">
        <v>891</v>
      </c>
      <c r="D718" s="996" t="s">
        <v>166</v>
      </c>
      <c r="E718" s="996" t="s">
        <v>851</v>
      </c>
      <c r="F718" s="996" t="s">
        <v>1226</v>
      </c>
      <c r="G718" s="997">
        <v>27000634</v>
      </c>
      <c r="H718" s="74" t="s">
        <v>1338</v>
      </c>
      <c r="I718" s="74" t="s">
        <v>1338</v>
      </c>
      <c r="J718" s="74" t="s">
        <v>1338</v>
      </c>
    </row>
    <row r="719" spans="1:18" hidden="1">
      <c r="A719" s="996">
        <v>3</v>
      </c>
      <c r="B719" s="996" t="s">
        <v>1214</v>
      </c>
      <c r="C719" s="996" t="s">
        <v>891</v>
      </c>
      <c r="D719" s="996" t="s">
        <v>168</v>
      </c>
      <c r="E719" s="996" t="s">
        <v>852</v>
      </c>
      <c r="F719" s="996" t="s">
        <v>907</v>
      </c>
      <c r="G719" s="997">
        <v>1628250</v>
      </c>
      <c r="H719" s="74" t="s">
        <v>1338</v>
      </c>
      <c r="I719" s="74" t="s">
        <v>1338</v>
      </c>
      <c r="J719" s="74" t="s">
        <v>1338</v>
      </c>
    </row>
    <row r="720" spans="1:18" hidden="1">
      <c r="A720" s="996">
        <v>3</v>
      </c>
      <c r="B720" s="996" t="s">
        <v>1214</v>
      </c>
      <c r="C720" s="996" t="s">
        <v>891</v>
      </c>
      <c r="D720" s="996" t="s">
        <v>178</v>
      </c>
      <c r="E720" s="996" t="s">
        <v>854</v>
      </c>
      <c r="F720" s="996" t="s">
        <v>1227</v>
      </c>
      <c r="G720" s="997">
        <v>500000</v>
      </c>
      <c r="H720" s="74" t="s">
        <v>1338</v>
      </c>
      <c r="I720" s="74" t="s">
        <v>1338</v>
      </c>
      <c r="J720" s="74" t="s">
        <v>1338</v>
      </c>
    </row>
    <row r="721" spans="1:18" hidden="1">
      <c r="A721" s="996">
        <v>3</v>
      </c>
      <c r="B721" s="996" t="s">
        <v>1214</v>
      </c>
      <c r="C721" s="996" t="s">
        <v>891</v>
      </c>
      <c r="D721" s="996" t="s">
        <v>189</v>
      </c>
      <c r="E721" s="996" t="s">
        <v>855</v>
      </c>
      <c r="F721" s="996" t="s">
        <v>909</v>
      </c>
      <c r="G721" s="997">
        <v>1558350</v>
      </c>
      <c r="H721" s="74" t="s">
        <v>1338</v>
      </c>
      <c r="I721" s="74" t="s">
        <v>1338</v>
      </c>
      <c r="J721" s="74" t="s">
        <v>1338</v>
      </c>
    </row>
    <row r="722" spans="1:18" hidden="1">
      <c r="A722" s="996">
        <v>3</v>
      </c>
      <c r="B722" s="996" t="s">
        <v>1214</v>
      </c>
      <c r="C722" s="996" t="s">
        <v>891</v>
      </c>
      <c r="D722" s="996" t="s">
        <v>192</v>
      </c>
      <c r="E722" s="996" t="s">
        <v>856</v>
      </c>
      <c r="F722" s="996" t="s">
        <v>1228</v>
      </c>
      <c r="G722" s="997">
        <v>1853460</v>
      </c>
      <c r="H722" s="74" t="s">
        <v>1338</v>
      </c>
      <c r="I722" s="74" t="s">
        <v>1338</v>
      </c>
      <c r="J722" s="74" t="s">
        <v>1338</v>
      </c>
    </row>
    <row r="723" spans="1:18" hidden="1">
      <c r="A723" s="996">
        <v>3</v>
      </c>
      <c r="B723" s="996" t="s">
        <v>1214</v>
      </c>
      <c r="C723" s="996" t="s">
        <v>891</v>
      </c>
      <c r="D723" s="996" t="s">
        <v>194</v>
      </c>
      <c r="E723" s="996" t="s">
        <v>857</v>
      </c>
      <c r="F723" s="996" t="s">
        <v>933</v>
      </c>
      <c r="G723" s="997">
        <v>52500</v>
      </c>
      <c r="H723" s="74" t="s">
        <v>1338</v>
      </c>
      <c r="I723" s="74" t="s">
        <v>1338</v>
      </c>
      <c r="J723" s="74" t="s">
        <v>1338</v>
      </c>
    </row>
    <row r="724" spans="1:18" hidden="1">
      <c r="A724" s="996">
        <v>3</v>
      </c>
      <c r="B724" s="996" t="s">
        <v>1214</v>
      </c>
      <c r="C724" s="996" t="s">
        <v>891</v>
      </c>
      <c r="D724" s="996" t="s">
        <v>195</v>
      </c>
      <c r="E724" s="996" t="s">
        <v>858</v>
      </c>
      <c r="F724" s="996" t="s">
        <v>1229</v>
      </c>
      <c r="G724" s="997">
        <v>340730</v>
      </c>
      <c r="H724" s="74" t="s">
        <v>1338</v>
      </c>
      <c r="I724" s="74" t="s">
        <v>1338</v>
      </c>
      <c r="J724" s="74" t="s">
        <v>1338</v>
      </c>
    </row>
    <row r="725" spans="1:18" hidden="1">
      <c r="A725" s="996">
        <v>3</v>
      </c>
      <c r="B725" s="996" t="s">
        <v>1214</v>
      </c>
      <c r="C725" s="996" t="s">
        <v>891</v>
      </c>
      <c r="D725" s="996" t="s">
        <v>197</v>
      </c>
      <c r="E725" s="996" t="s">
        <v>859</v>
      </c>
      <c r="F725" s="996" t="s">
        <v>1230</v>
      </c>
      <c r="G725" s="997">
        <v>7933810</v>
      </c>
      <c r="H725" s="74" t="s">
        <v>1338</v>
      </c>
      <c r="I725" s="74" t="s">
        <v>1338</v>
      </c>
      <c r="J725" s="74" t="s">
        <v>1338</v>
      </c>
    </row>
    <row r="726" spans="1:18" hidden="1">
      <c r="A726" s="996">
        <v>3</v>
      </c>
      <c r="B726" s="996" t="s">
        <v>1214</v>
      </c>
      <c r="C726" s="996" t="s">
        <v>891</v>
      </c>
      <c r="D726" s="996" t="s">
        <v>203</v>
      </c>
      <c r="E726" s="996" t="s">
        <v>862</v>
      </c>
      <c r="F726" s="996" t="s">
        <v>1231</v>
      </c>
      <c r="G726" s="997">
        <v>284800</v>
      </c>
      <c r="H726" s="74" t="s">
        <v>1338</v>
      </c>
      <c r="I726" s="74" t="s">
        <v>1338</v>
      </c>
      <c r="J726" s="74" t="s">
        <v>1338</v>
      </c>
    </row>
    <row r="727" spans="1:18" hidden="1">
      <c r="A727" s="996">
        <v>3</v>
      </c>
      <c r="B727" s="996" t="s">
        <v>1214</v>
      </c>
      <c r="C727" s="996" t="s">
        <v>895</v>
      </c>
      <c r="D727" s="996" t="s">
        <v>206</v>
      </c>
      <c r="E727" s="996" t="s">
        <v>896</v>
      </c>
      <c r="F727" s="996" t="s">
        <v>1232</v>
      </c>
      <c r="G727" s="997">
        <v>300000000</v>
      </c>
      <c r="H727" s="74" t="s">
        <v>1338</v>
      </c>
      <c r="I727" s="74" t="s">
        <v>1338</v>
      </c>
      <c r="J727" s="74" t="s">
        <v>1338</v>
      </c>
    </row>
    <row r="728" spans="1:18" hidden="1">
      <c r="A728" s="996">
        <v>3</v>
      </c>
      <c r="B728" s="996" t="s">
        <v>1214</v>
      </c>
      <c r="C728" s="996" t="s">
        <v>895</v>
      </c>
      <c r="D728" s="996" t="s">
        <v>212</v>
      </c>
      <c r="E728" s="996" t="s">
        <v>864</v>
      </c>
      <c r="F728" s="996"/>
      <c r="G728" s="997">
        <v>213866468.75</v>
      </c>
      <c r="H728" s="74" t="s">
        <v>1338</v>
      </c>
      <c r="I728" s="74" t="s">
        <v>1338</v>
      </c>
      <c r="J728" s="74" t="s">
        <v>1338</v>
      </c>
    </row>
    <row r="729" spans="1:18" hidden="1">
      <c r="A729" s="996">
        <v>3</v>
      </c>
      <c r="B729" s="996" t="s">
        <v>1214</v>
      </c>
      <c r="C729" s="996" t="s">
        <v>895</v>
      </c>
      <c r="D729" s="996" t="s">
        <v>352</v>
      </c>
      <c r="E729" s="996" t="s">
        <v>1077</v>
      </c>
      <c r="F729" s="996"/>
      <c r="G729" s="997">
        <v>19339073</v>
      </c>
      <c r="H729" s="74" t="s">
        <v>1338</v>
      </c>
      <c r="I729" s="74" t="s">
        <v>1338</v>
      </c>
      <c r="J729" s="74" t="s">
        <v>1338</v>
      </c>
    </row>
    <row r="730" spans="1:18" hidden="1">
      <c r="A730" s="996">
        <v>3</v>
      </c>
      <c r="B730" s="996" t="s">
        <v>1214</v>
      </c>
      <c r="C730" s="996" t="s">
        <v>888</v>
      </c>
      <c r="D730" s="996" t="s">
        <v>294</v>
      </c>
      <c r="E730" s="996" t="s">
        <v>866</v>
      </c>
      <c r="F730" s="996" t="s">
        <v>917</v>
      </c>
      <c r="G730" s="997">
        <v>2000000</v>
      </c>
      <c r="H730" s="74" t="s">
        <v>1338</v>
      </c>
      <c r="I730" s="74" t="s">
        <v>1338</v>
      </c>
      <c r="J730" s="74" t="s">
        <v>1338</v>
      </c>
    </row>
    <row r="731" spans="1:18" hidden="1">
      <c r="A731" s="996">
        <v>3</v>
      </c>
      <c r="B731" s="996" t="s">
        <v>928</v>
      </c>
      <c r="C731" s="996" t="s">
        <v>873</v>
      </c>
      <c r="D731" s="996" t="s">
        <v>67</v>
      </c>
      <c r="E731" s="996" t="s">
        <v>803</v>
      </c>
      <c r="F731" s="996" t="s">
        <v>989</v>
      </c>
      <c r="G731" s="1116">
        <v>27678000</v>
      </c>
      <c r="H731" s="74" t="s">
        <v>1330</v>
      </c>
      <c r="I731" s="74" t="s">
        <v>1340</v>
      </c>
      <c r="J731" s="74" t="s">
        <v>1328</v>
      </c>
    </row>
    <row r="732" spans="1:18" hidden="1">
      <c r="A732" s="996">
        <v>3</v>
      </c>
      <c r="B732" s="996" t="s">
        <v>928</v>
      </c>
      <c r="C732" s="996" t="s">
        <v>873</v>
      </c>
      <c r="D732" s="996" t="s">
        <v>75</v>
      </c>
      <c r="E732" s="996" t="s">
        <v>799</v>
      </c>
      <c r="F732" s="996" t="s">
        <v>399</v>
      </c>
      <c r="G732" s="987">
        <v>3679000</v>
      </c>
      <c r="H732" s="74" t="s">
        <v>1340</v>
      </c>
      <c r="I732" s="74" t="s">
        <v>1340</v>
      </c>
      <c r="J732" s="74" t="s">
        <v>1328</v>
      </c>
    </row>
    <row r="733" spans="1:18" hidden="1">
      <c r="A733" s="996">
        <v>3</v>
      </c>
      <c r="B733" s="996" t="s">
        <v>928</v>
      </c>
      <c r="C733" s="996" t="s">
        <v>873</v>
      </c>
      <c r="D733" s="996" t="s">
        <v>76</v>
      </c>
      <c r="E733" s="996" t="s">
        <v>800</v>
      </c>
      <c r="F733" s="996" t="s">
        <v>400</v>
      </c>
      <c r="G733" s="987">
        <v>2302000</v>
      </c>
      <c r="H733" s="74" t="s">
        <v>1340</v>
      </c>
      <c r="I733" s="74" t="s">
        <v>1340</v>
      </c>
      <c r="J733" s="74" t="s">
        <v>1328</v>
      </c>
    </row>
    <row r="734" spans="1:18" hidden="1">
      <c r="A734" s="996">
        <v>3</v>
      </c>
      <c r="B734" s="996" t="s">
        <v>928</v>
      </c>
      <c r="C734" s="996" t="s">
        <v>873</v>
      </c>
      <c r="D734" s="996" t="s">
        <v>77</v>
      </c>
      <c r="E734" s="996" t="s">
        <v>809</v>
      </c>
      <c r="F734" s="996" t="s">
        <v>401</v>
      </c>
      <c r="G734" s="987">
        <v>3046000</v>
      </c>
      <c r="H734" s="74" t="s">
        <v>1340</v>
      </c>
      <c r="I734" s="74" t="s">
        <v>1340</v>
      </c>
      <c r="J734" s="74" t="s">
        <v>1328</v>
      </c>
    </row>
    <row r="735" spans="1:18" s="915" customFormat="1" hidden="1">
      <c r="A735" s="996">
        <v>3</v>
      </c>
      <c r="B735" s="996" t="s">
        <v>928</v>
      </c>
      <c r="C735" s="996" t="s">
        <v>873</v>
      </c>
      <c r="D735" s="996" t="s">
        <v>78</v>
      </c>
      <c r="E735" s="996" t="s">
        <v>810</v>
      </c>
      <c r="F735" s="996" t="s">
        <v>402</v>
      </c>
      <c r="G735" s="987">
        <v>2811000</v>
      </c>
      <c r="H735" s="74" t="s">
        <v>1340</v>
      </c>
      <c r="I735" s="74" t="s">
        <v>1340</v>
      </c>
      <c r="J735" s="74" t="s">
        <v>1328</v>
      </c>
      <c r="M735" s="989"/>
      <c r="R735" s="989"/>
    </row>
    <row r="736" spans="1:18" s="915" customFormat="1" hidden="1">
      <c r="A736" s="996">
        <v>3</v>
      </c>
      <c r="B736" s="996" t="s">
        <v>928</v>
      </c>
      <c r="C736" s="996" t="s">
        <v>873</v>
      </c>
      <c r="D736" s="996" t="s">
        <v>79</v>
      </c>
      <c r="E736" s="996" t="s">
        <v>801</v>
      </c>
      <c r="F736" s="996" t="s">
        <v>403</v>
      </c>
      <c r="G736" s="987">
        <v>82000</v>
      </c>
      <c r="H736" s="74" t="s">
        <v>1340</v>
      </c>
      <c r="I736" s="74" t="s">
        <v>1340</v>
      </c>
      <c r="J736" s="74" t="s">
        <v>1328</v>
      </c>
      <c r="M736" s="989"/>
      <c r="R736" s="989"/>
    </row>
    <row r="737" spans="1:18" s="915" customFormat="1" hidden="1">
      <c r="A737" s="996">
        <v>3</v>
      </c>
      <c r="B737" s="996" t="s">
        <v>928</v>
      </c>
      <c r="C737" s="996" t="s">
        <v>873</v>
      </c>
      <c r="D737" s="996" t="s">
        <v>82</v>
      </c>
      <c r="E737" s="996" t="s">
        <v>811</v>
      </c>
      <c r="F737" s="996" t="s">
        <v>404</v>
      </c>
      <c r="G737" s="987">
        <v>3381000</v>
      </c>
      <c r="H737" s="74" t="s">
        <v>1340</v>
      </c>
      <c r="I737" s="74" t="s">
        <v>1340</v>
      </c>
      <c r="J737" s="74" t="s">
        <v>1328</v>
      </c>
      <c r="M737" s="989"/>
      <c r="R737" s="989"/>
    </row>
    <row r="738" spans="1:18" s="915" customFormat="1" hidden="1">
      <c r="A738" s="996">
        <v>3</v>
      </c>
      <c r="B738" s="996" t="s">
        <v>928</v>
      </c>
      <c r="C738" s="996" t="s">
        <v>873</v>
      </c>
      <c r="D738" s="996" t="s">
        <v>83</v>
      </c>
      <c r="E738" s="996" t="s">
        <v>812</v>
      </c>
      <c r="F738" s="996" t="s">
        <v>405</v>
      </c>
      <c r="G738" s="987">
        <v>183000</v>
      </c>
      <c r="H738" s="74" t="s">
        <v>1340</v>
      </c>
      <c r="I738" s="74" t="s">
        <v>1340</v>
      </c>
      <c r="J738" s="74" t="s">
        <v>1328</v>
      </c>
      <c r="M738" s="989"/>
      <c r="R738" s="989"/>
    </row>
    <row r="739" spans="1:18" s="915" customFormat="1" hidden="1">
      <c r="A739" s="996">
        <v>3</v>
      </c>
      <c r="B739" s="996" t="s">
        <v>928</v>
      </c>
      <c r="C739" s="996" t="s">
        <v>873</v>
      </c>
      <c r="D739" s="996" t="s">
        <v>84</v>
      </c>
      <c r="E739" s="996" t="s">
        <v>813</v>
      </c>
      <c r="F739" s="996" t="s">
        <v>406</v>
      </c>
      <c r="G739" s="987">
        <v>548000</v>
      </c>
      <c r="H739" s="74" t="s">
        <v>1340</v>
      </c>
      <c r="I739" s="74" t="s">
        <v>1340</v>
      </c>
      <c r="J739" s="74" t="s">
        <v>1328</v>
      </c>
      <c r="M739" s="989"/>
      <c r="R739" s="989"/>
    </row>
    <row r="740" spans="1:18" s="915" customFormat="1" hidden="1">
      <c r="A740" s="996">
        <v>3</v>
      </c>
      <c r="B740" s="996" t="s">
        <v>928</v>
      </c>
      <c r="C740" s="996" t="s">
        <v>873</v>
      </c>
      <c r="D740" s="996" t="s">
        <v>85</v>
      </c>
      <c r="E740" s="996" t="s">
        <v>814</v>
      </c>
      <c r="F740" s="996" t="s">
        <v>407</v>
      </c>
      <c r="G740" s="987">
        <v>1828000</v>
      </c>
      <c r="H740" s="74" t="s">
        <v>1340</v>
      </c>
      <c r="I740" s="74" t="s">
        <v>1340</v>
      </c>
      <c r="J740" s="74" t="s">
        <v>1328</v>
      </c>
      <c r="M740" s="989"/>
      <c r="R740" s="989"/>
    </row>
    <row r="741" spans="1:18" s="915" customFormat="1" hidden="1">
      <c r="A741" s="996">
        <v>3</v>
      </c>
      <c r="B741" s="996" t="s">
        <v>928</v>
      </c>
      <c r="C741" s="996" t="s">
        <v>873</v>
      </c>
      <c r="D741" s="996" t="s">
        <v>86</v>
      </c>
      <c r="E741" s="996" t="s">
        <v>815</v>
      </c>
      <c r="F741" s="996" t="s">
        <v>408</v>
      </c>
      <c r="G741" s="987">
        <v>183000</v>
      </c>
      <c r="H741" s="74" t="s">
        <v>1340</v>
      </c>
      <c r="I741" s="74" t="s">
        <v>1340</v>
      </c>
      <c r="J741" s="74" t="s">
        <v>1328</v>
      </c>
      <c r="M741" s="989"/>
      <c r="R741" s="989"/>
    </row>
    <row r="742" spans="1:18" s="915" customFormat="1" hidden="1">
      <c r="A742" s="996">
        <v>3</v>
      </c>
      <c r="B742" s="996" t="s">
        <v>928</v>
      </c>
      <c r="C742" s="996" t="s">
        <v>873</v>
      </c>
      <c r="D742" s="996" t="s">
        <v>425</v>
      </c>
      <c r="E742" s="996" t="s">
        <v>816</v>
      </c>
      <c r="F742" s="996" t="s">
        <v>945</v>
      </c>
      <c r="G742" s="987">
        <v>1981000</v>
      </c>
      <c r="H742" s="74" t="s">
        <v>1340</v>
      </c>
      <c r="I742" s="74" t="s">
        <v>1340</v>
      </c>
      <c r="J742" s="74" t="s">
        <v>1328</v>
      </c>
      <c r="M742" s="989"/>
      <c r="R742" s="989"/>
    </row>
    <row r="743" spans="1:18" s="915" customFormat="1" hidden="1">
      <c r="A743" s="996">
        <v>3</v>
      </c>
      <c r="B743" s="996" t="s">
        <v>928</v>
      </c>
      <c r="C743" s="996" t="s">
        <v>873</v>
      </c>
      <c r="D743" s="996" t="s">
        <v>89</v>
      </c>
      <c r="E743" s="996" t="s">
        <v>817</v>
      </c>
      <c r="F743" s="996" t="s">
        <v>409</v>
      </c>
      <c r="G743" s="987">
        <v>1097000</v>
      </c>
      <c r="H743" s="74" t="s">
        <v>1340</v>
      </c>
      <c r="I743" s="74" t="s">
        <v>1340</v>
      </c>
      <c r="J743" s="74" t="s">
        <v>1328</v>
      </c>
      <c r="M743" s="989"/>
      <c r="R743" s="989"/>
    </row>
    <row r="744" spans="1:18" s="915" customFormat="1" hidden="1">
      <c r="A744" s="996">
        <v>3</v>
      </c>
      <c r="B744" s="996" t="s">
        <v>928</v>
      </c>
      <c r="C744" s="996" t="s">
        <v>873</v>
      </c>
      <c r="D744" s="996" t="s">
        <v>90</v>
      </c>
      <c r="E744" s="996" t="s">
        <v>818</v>
      </c>
      <c r="F744" s="996" t="s">
        <v>714</v>
      </c>
      <c r="G744" s="987">
        <v>548000</v>
      </c>
      <c r="H744" s="74" t="s">
        <v>1340</v>
      </c>
      <c r="I744" s="74" t="s">
        <v>1340</v>
      </c>
      <c r="J744" s="74" t="s">
        <v>1328</v>
      </c>
      <c r="M744" s="989"/>
      <c r="R744" s="989"/>
    </row>
    <row r="745" spans="1:18" s="915" customFormat="1" hidden="1">
      <c r="A745" s="996">
        <v>3</v>
      </c>
      <c r="B745" s="996" t="s">
        <v>1214</v>
      </c>
      <c r="C745" s="996" t="s">
        <v>874</v>
      </c>
      <c r="D745" s="996" t="s">
        <v>138</v>
      </c>
      <c r="E745" s="996" t="s">
        <v>985</v>
      </c>
      <c r="F745" s="996" t="s">
        <v>1233</v>
      </c>
      <c r="G745" s="997">
        <v>20000000</v>
      </c>
      <c r="H745" s="74" t="s">
        <v>1338</v>
      </c>
      <c r="I745" s="74" t="s">
        <v>1338</v>
      </c>
      <c r="J745" s="74" t="s">
        <v>1338</v>
      </c>
      <c r="M745" s="989"/>
      <c r="R745" s="989"/>
    </row>
    <row r="746" spans="1:18" s="915" customFormat="1" hidden="1">
      <c r="A746" s="996">
        <v>3</v>
      </c>
      <c r="B746" s="996" t="s">
        <v>928</v>
      </c>
      <c r="C746" s="996" t="s">
        <v>874</v>
      </c>
      <c r="D746" s="996" t="s">
        <v>138</v>
      </c>
      <c r="E746" s="996" t="s">
        <v>985</v>
      </c>
      <c r="F746" s="996" t="s">
        <v>1234</v>
      </c>
      <c r="G746" s="997">
        <v>340000</v>
      </c>
      <c r="H746" s="74" t="s">
        <v>448</v>
      </c>
      <c r="I746" s="74" t="s">
        <v>1339</v>
      </c>
      <c r="J746" s="74" t="s">
        <v>1328</v>
      </c>
      <c r="M746" s="989"/>
      <c r="R746" s="989"/>
    </row>
    <row r="747" spans="1:18" s="915" customFormat="1" hidden="1">
      <c r="A747" s="996">
        <v>3</v>
      </c>
      <c r="B747" s="996" t="s">
        <v>929</v>
      </c>
      <c r="C747" s="996" t="s">
        <v>888</v>
      </c>
      <c r="D747" s="996" t="s">
        <v>302</v>
      </c>
      <c r="E747" s="996" t="s">
        <v>865</v>
      </c>
      <c r="F747" s="996" t="s">
        <v>1235</v>
      </c>
      <c r="G747" s="997">
        <v>411894272</v>
      </c>
      <c r="H747" s="74" t="s">
        <v>448</v>
      </c>
      <c r="I747" s="74" t="s">
        <v>1339</v>
      </c>
      <c r="J747" s="74" t="s">
        <v>1328</v>
      </c>
      <c r="M747" s="989"/>
      <c r="R747" s="989"/>
    </row>
    <row r="748" spans="1:18" s="915" customFormat="1" hidden="1">
      <c r="A748" s="996">
        <v>3</v>
      </c>
      <c r="B748" s="996" t="s">
        <v>1425</v>
      </c>
      <c r="C748" s="996" t="s">
        <v>873</v>
      </c>
      <c r="D748" s="996" t="s">
        <v>67</v>
      </c>
      <c r="E748" s="996" t="s">
        <v>803</v>
      </c>
      <c r="F748" s="996" t="s">
        <v>991</v>
      </c>
      <c r="G748" s="1116">
        <v>71309784</v>
      </c>
      <c r="H748" s="74" t="s">
        <v>1330</v>
      </c>
      <c r="I748" s="74" t="s">
        <v>1340</v>
      </c>
      <c r="J748" s="74" t="s">
        <v>1328</v>
      </c>
      <c r="M748" s="989"/>
      <c r="R748" s="989"/>
    </row>
    <row r="749" spans="1:18" s="1162" customFormat="1" hidden="1">
      <c r="A749" s="1161">
        <v>3</v>
      </c>
      <c r="B749" s="1161" t="s">
        <v>1425</v>
      </c>
      <c r="C749" s="1161" t="s">
        <v>873</v>
      </c>
      <c r="D749" s="1161" t="s">
        <v>68</v>
      </c>
      <c r="E749" s="1161" t="s">
        <v>804</v>
      </c>
      <c r="F749" s="1161" t="s">
        <v>1261</v>
      </c>
      <c r="G749" s="987">
        <v>10115400</v>
      </c>
      <c r="H749" s="1161" t="s">
        <v>1330</v>
      </c>
      <c r="I749" s="1161" t="s">
        <v>1340</v>
      </c>
      <c r="J749" s="1161" t="s">
        <v>1328</v>
      </c>
      <c r="M749" s="1163"/>
      <c r="R749" s="1163"/>
    </row>
    <row r="750" spans="1:18" hidden="1">
      <c r="A750" s="996">
        <v>3</v>
      </c>
      <c r="B750" s="996" t="s">
        <v>1425</v>
      </c>
      <c r="C750" s="996" t="s">
        <v>873</v>
      </c>
      <c r="D750" s="996" t="s">
        <v>71</v>
      </c>
      <c r="E750" s="996" t="s">
        <v>806</v>
      </c>
      <c r="F750" s="996" t="s">
        <v>663</v>
      </c>
      <c r="G750" s="1116">
        <v>2050000</v>
      </c>
      <c r="H750" s="74" t="s">
        <v>1330</v>
      </c>
      <c r="I750" s="74" t="s">
        <v>1340</v>
      </c>
      <c r="J750" s="74" t="s">
        <v>1328</v>
      </c>
    </row>
    <row r="751" spans="1:18" hidden="1">
      <c r="A751" s="996">
        <v>3</v>
      </c>
      <c r="B751" s="996" t="s">
        <v>1425</v>
      </c>
      <c r="C751" s="996" t="s">
        <v>873</v>
      </c>
      <c r="D751" s="996" t="s">
        <v>75</v>
      </c>
      <c r="E751" s="996" t="s">
        <v>799</v>
      </c>
      <c r="F751" s="996" t="s">
        <v>1013</v>
      </c>
      <c r="G751" s="1116">
        <v>12444000</v>
      </c>
      <c r="H751" s="74" t="s">
        <v>1330</v>
      </c>
      <c r="I751" s="74" t="s">
        <v>1340</v>
      </c>
      <c r="J751" s="74" t="s">
        <v>1328</v>
      </c>
    </row>
    <row r="752" spans="1:18" hidden="1">
      <c r="A752" s="996">
        <v>3</v>
      </c>
      <c r="B752" s="996" t="s">
        <v>1425</v>
      </c>
      <c r="C752" s="996" t="s">
        <v>873</v>
      </c>
      <c r="D752" s="996" t="s">
        <v>76</v>
      </c>
      <c r="E752" s="996" t="s">
        <v>800</v>
      </c>
      <c r="F752" s="996" t="s">
        <v>400</v>
      </c>
      <c r="G752" s="1116">
        <v>21200000</v>
      </c>
      <c r="H752" s="74" t="s">
        <v>1330</v>
      </c>
      <c r="I752" s="74" t="s">
        <v>1340</v>
      </c>
      <c r="J752" s="74" t="s">
        <v>1328</v>
      </c>
    </row>
    <row r="753" spans="1:10" hidden="1">
      <c r="A753" s="996">
        <v>3</v>
      </c>
      <c r="B753" s="996" t="s">
        <v>1425</v>
      </c>
      <c r="C753" s="996" t="s">
        <v>873</v>
      </c>
      <c r="D753" s="996" t="s">
        <v>77</v>
      </c>
      <c r="E753" s="996" t="s">
        <v>809</v>
      </c>
      <c r="F753" s="996" t="s">
        <v>401</v>
      </c>
      <c r="G753" s="1116">
        <v>10945000</v>
      </c>
      <c r="H753" s="74" t="s">
        <v>1330</v>
      </c>
      <c r="I753" s="74" t="s">
        <v>1340</v>
      </c>
      <c r="J753" s="74" t="s">
        <v>1328</v>
      </c>
    </row>
    <row r="754" spans="1:10" hidden="1">
      <c r="A754" s="996">
        <v>3</v>
      </c>
      <c r="B754" s="996" t="s">
        <v>1425</v>
      </c>
      <c r="C754" s="996" t="s">
        <v>873</v>
      </c>
      <c r="D754" s="996" t="s">
        <v>78</v>
      </c>
      <c r="E754" s="996" t="s">
        <v>810</v>
      </c>
      <c r="F754" s="996" t="s">
        <v>402</v>
      </c>
      <c r="G754" s="1116">
        <v>10301000</v>
      </c>
      <c r="H754" s="74" t="s">
        <v>1330</v>
      </c>
      <c r="I754" s="74" t="s">
        <v>1340</v>
      </c>
      <c r="J754" s="74" t="s">
        <v>1328</v>
      </c>
    </row>
    <row r="755" spans="1:10" hidden="1">
      <c r="A755" s="996">
        <v>3</v>
      </c>
      <c r="B755" s="996" t="s">
        <v>1425</v>
      </c>
      <c r="C755" s="996" t="s">
        <v>873</v>
      </c>
      <c r="D755" s="996" t="s">
        <v>79</v>
      </c>
      <c r="E755" s="996" t="s">
        <v>801</v>
      </c>
      <c r="F755" s="996" t="s">
        <v>403</v>
      </c>
      <c r="G755" s="987">
        <v>4119000</v>
      </c>
      <c r="H755" s="74" t="s">
        <v>1340</v>
      </c>
      <c r="I755" s="74" t="s">
        <v>1340</v>
      </c>
      <c r="J755" s="74" t="s">
        <v>1328</v>
      </c>
    </row>
    <row r="756" spans="1:10" hidden="1">
      <c r="A756" s="996">
        <v>3</v>
      </c>
      <c r="B756" s="996" t="s">
        <v>1425</v>
      </c>
      <c r="C756" s="996" t="s">
        <v>873</v>
      </c>
      <c r="D756" s="996" t="s">
        <v>82</v>
      </c>
      <c r="E756" s="996" t="s">
        <v>811</v>
      </c>
      <c r="F756" s="996" t="s">
        <v>995</v>
      </c>
      <c r="G756" s="1116">
        <v>12167000</v>
      </c>
      <c r="H756" s="74" t="s">
        <v>1330</v>
      </c>
      <c r="I756" s="74" t="s">
        <v>1340</v>
      </c>
      <c r="J756" s="74" t="s">
        <v>1328</v>
      </c>
    </row>
    <row r="757" spans="1:10" hidden="1">
      <c r="A757" s="996">
        <v>3</v>
      </c>
      <c r="B757" s="996" t="s">
        <v>1425</v>
      </c>
      <c r="C757" s="996" t="s">
        <v>873</v>
      </c>
      <c r="D757" s="996" t="s">
        <v>83</v>
      </c>
      <c r="E757" s="996" t="s">
        <v>812</v>
      </c>
      <c r="F757" s="996" t="s">
        <v>996</v>
      </c>
      <c r="G757" s="1116">
        <v>580816</v>
      </c>
      <c r="H757" s="74" t="s">
        <v>1330</v>
      </c>
      <c r="I757" s="74" t="s">
        <v>1340</v>
      </c>
      <c r="J757" s="74" t="s">
        <v>1328</v>
      </c>
    </row>
    <row r="758" spans="1:10" hidden="1">
      <c r="A758" s="996">
        <v>3</v>
      </c>
      <c r="B758" s="996" t="s">
        <v>1425</v>
      </c>
      <c r="C758" s="996" t="s">
        <v>873</v>
      </c>
      <c r="D758" s="996" t="s">
        <v>83</v>
      </c>
      <c r="E758" s="996" t="s">
        <v>812</v>
      </c>
      <c r="F758" s="996" t="s">
        <v>996</v>
      </c>
      <c r="G758" s="987">
        <v>77184</v>
      </c>
      <c r="H758" s="74" t="s">
        <v>1340</v>
      </c>
      <c r="I758" s="74" t="s">
        <v>1340</v>
      </c>
      <c r="J758" s="74" t="s">
        <v>1328</v>
      </c>
    </row>
    <row r="759" spans="1:10" hidden="1">
      <c r="A759" s="996">
        <v>3</v>
      </c>
      <c r="B759" s="996" t="s">
        <v>1425</v>
      </c>
      <c r="C759" s="996" t="s">
        <v>873</v>
      </c>
      <c r="D759" s="996" t="s">
        <v>84</v>
      </c>
      <c r="E759" s="996" t="s">
        <v>813</v>
      </c>
      <c r="F759" s="996" t="s">
        <v>406</v>
      </c>
      <c r="G759" s="1116">
        <v>1973000</v>
      </c>
      <c r="H759" s="74" t="s">
        <v>1330</v>
      </c>
      <c r="I759" s="74" t="s">
        <v>1340</v>
      </c>
      <c r="J759" s="74" t="s">
        <v>1328</v>
      </c>
    </row>
    <row r="760" spans="1:10" hidden="1">
      <c r="A760" s="996">
        <v>3</v>
      </c>
      <c r="B760" s="996" t="s">
        <v>1425</v>
      </c>
      <c r="C760" s="996" t="s">
        <v>873</v>
      </c>
      <c r="D760" s="996" t="s">
        <v>85</v>
      </c>
      <c r="E760" s="996" t="s">
        <v>814</v>
      </c>
      <c r="F760" s="996" t="s">
        <v>407</v>
      </c>
      <c r="G760" s="1116">
        <v>6577000</v>
      </c>
      <c r="H760" s="74" t="s">
        <v>1330</v>
      </c>
      <c r="I760" s="74" t="s">
        <v>1340</v>
      </c>
      <c r="J760" s="74" t="s">
        <v>1328</v>
      </c>
    </row>
    <row r="761" spans="1:10" hidden="1">
      <c r="A761" s="996">
        <v>3</v>
      </c>
      <c r="B761" s="996" t="s">
        <v>1425</v>
      </c>
      <c r="C761" s="996" t="s">
        <v>873</v>
      </c>
      <c r="D761" s="996" t="s">
        <v>86</v>
      </c>
      <c r="E761" s="996" t="s">
        <v>815</v>
      </c>
      <c r="F761" s="996" t="s">
        <v>408</v>
      </c>
      <c r="G761" s="1116">
        <v>658000</v>
      </c>
      <c r="H761" s="74" t="s">
        <v>1330</v>
      </c>
      <c r="I761" s="74" t="s">
        <v>1340</v>
      </c>
      <c r="J761" s="74" t="s">
        <v>1328</v>
      </c>
    </row>
    <row r="762" spans="1:10" hidden="1">
      <c r="A762" s="996">
        <v>3</v>
      </c>
      <c r="B762" s="996" t="s">
        <v>1425</v>
      </c>
      <c r="C762" s="996" t="s">
        <v>873</v>
      </c>
      <c r="D762" s="996" t="s">
        <v>425</v>
      </c>
      <c r="E762" s="996" t="s">
        <v>816</v>
      </c>
      <c r="F762" s="996" t="s">
        <v>409</v>
      </c>
      <c r="G762" s="1116">
        <v>7129000</v>
      </c>
      <c r="H762" s="74" t="s">
        <v>1330</v>
      </c>
      <c r="I762" s="74" t="s">
        <v>1340</v>
      </c>
      <c r="J762" s="74" t="s">
        <v>1328</v>
      </c>
    </row>
    <row r="763" spans="1:10" hidden="1">
      <c r="A763" s="996">
        <v>3</v>
      </c>
      <c r="B763" s="996" t="s">
        <v>1425</v>
      </c>
      <c r="C763" s="996" t="s">
        <v>873</v>
      </c>
      <c r="D763" s="996" t="s">
        <v>89</v>
      </c>
      <c r="E763" s="996" t="s">
        <v>817</v>
      </c>
      <c r="F763" s="996" t="s">
        <v>409</v>
      </c>
      <c r="G763" s="1116">
        <v>3946000</v>
      </c>
      <c r="H763" s="74" t="s">
        <v>1330</v>
      </c>
      <c r="I763" s="74" t="s">
        <v>1340</v>
      </c>
      <c r="J763" s="74" t="s">
        <v>1328</v>
      </c>
    </row>
    <row r="764" spans="1:10" hidden="1">
      <c r="A764" s="996">
        <v>3</v>
      </c>
      <c r="B764" s="996" t="s">
        <v>1425</v>
      </c>
      <c r="C764" s="996" t="s">
        <v>873</v>
      </c>
      <c r="D764" s="996" t="s">
        <v>90</v>
      </c>
      <c r="E764" s="996" t="s">
        <v>818</v>
      </c>
      <c r="F764" s="996" t="s">
        <v>714</v>
      </c>
      <c r="G764" s="1116">
        <v>1973000</v>
      </c>
      <c r="H764" s="74" t="s">
        <v>1330</v>
      </c>
      <c r="I764" s="74" t="s">
        <v>1340</v>
      </c>
      <c r="J764" s="74" t="s">
        <v>1328</v>
      </c>
    </row>
    <row r="765" spans="1:10" hidden="1">
      <c r="A765" s="996">
        <v>3</v>
      </c>
      <c r="B765" s="996" t="s">
        <v>1425</v>
      </c>
      <c r="C765" s="996" t="s">
        <v>874</v>
      </c>
      <c r="D765" s="996" t="s">
        <v>134</v>
      </c>
      <c r="E765" s="996" t="s">
        <v>837</v>
      </c>
      <c r="F765" s="996" t="s">
        <v>1236</v>
      </c>
      <c r="G765" s="997">
        <v>1500000</v>
      </c>
      <c r="H765" s="74" t="s">
        <v>448</v>
      </c>
      <c r="I765" s="74" t="s">
        <v>1339</v>
      </c>
      <c r="J765" s="74" t="s">
        <v>1328</v>
      </c>
    </row>
    <row r="766" spans="1:10" ht="90" hidden="1">
      <c r="A766" s="996">
        <v>3</v>
      </c>
      <c r="B766" s="996" t="s">
        <v>1425</v>
      </c>
      <c r="C766" s="996" t="s">
        <v>874</v>
      </c>
      <c r="D766" s="996" t="s">
        <v>136</v>
      </c>
      <c r="E766" s="996" t="s">
        <v>838</v>
      </c>
      <c r="F766" s="998" t="s">
        <v>1477</v>
      </c>
      <c r="G766" s="997">
        <v>3500000</v>
      </c>
      <c r="H766" s="74" t="s">
        <v>448</v>
      </c>
      <c r="I766" s="74" t="s">
        <v>1339</v>
      </c>
      <c r="J766" s="74" t="s">
        <v>1328</v>
      </c>
    </row>
    <row r="767" spans="1:10" hidden="1">
      <c r="A767" s="996">
        <v>3</v>
      </c>
      <c r="B767" s="996" t="s">
        <v>1425</v>
      </c>
      <c r="C767" s="996" t="s">
        <v>874</v>
      </c>
      <c r="D767" s="996" t="s">
        <v>138</v>
      </c>
      <c r="E767" s="996" t="s">
        <v>985</v>
      </c>
      <c r="F767" s="996" t="s">
        <v>1237</v>
      </c>
      <c r="G767" s="997">
        <v>1004000</v>
      </c>
      <c r="H767" s="74" t="s">
        <v>448</v>
      </c>
      <c r="I767" s="74" t="s">
        <v>1339</v>
      </c>
      <c r="J767" s="74" t="s">
        <v>1328</v>
      </c>
    </row>
    <row r="768" spans="1:10" ht="90" hidden="1">
      <c r="A768" s="996">
        <v>3</v>
      </c>
      <c r="B768" s="996" t="s">
        <v>931</v>
      </c>
      <c r="C768" s="996" t="s">
        <v>873</v>
      </c>
      <c r="D768" s="996" t="s">
        <v>67</v>
      </c>
      <c r="E768" s="996" t="s">
        <v>803</v>
      </c>
      <c r="F768" s="998" t="s">
        <v>989</v>
      </c>
      <c r="G768" s="1116">
        <v>45825000</v>
      </c>
      <c r="H768" s="74" t="s">
        <v>1330</v>
      </c>
      <c r="I768" s="74" t="s">
        <v>1340</v>
      </c>
      <c r="J768" s="74" t="s">
        <v>1328</v>
      </c>
    </row>
    <row r="769" spans="1:18" s="1161" customFormat="1" hidden="1">
      <c r="A769" s="1161">
        <v>3</v>
      </c>
      <c r="B769" s="1161" t="s">
        <v>931</v>
      </c>
      <c r="C769" s="1161" t="s">
        <v>873</v>
      </c>
      <c r="D769" s="1161" t="s">
        <v>68</v>
      </c>
      <c r="E769" s="1161" t="s">
        <v>804</v>
      </c>
      <c r="F769" s="1161" t="s">
        <v>1132</v>
      </c>
      <c r="G769" s="987">
        <v>21100000</v>
      </c>
      <c r="H769" s="1161" t="s">
        <v>1330</v>
      </c>
      <c r="I769" s="1161" t="s">
        <v>1340</v>
      </c>
      <c r="J769" s="1161" t="s">
        <v>1328</v>
      </c>
      <c r="M769" s="987"/>
      <c r="R769" s="987"/>
    </row>
    <row r="770" spans="1:18" hidden="1">
      <c r="A770" s="996">
        <v>3</v>
      </c>
      <c r="B770" s="996" t="s">
        <v>931</v>
      </c>
      <c r="C770" s="996" t="s">
        <v>873</v>
      </c>
      <c r="D770" s="996" t="s">
        <v>71</v>
      </c>
      <c r="E770" s="996" t="s">
        <v>806</v>
      </c>
      <c r="F770" s="996" t="s">
        <v>663</v>
      </c>
      <c r="G770" s="1116">
        <v>131000</v>
      </c>
      <c r="H770" s="74" t="s">
        <v>1330</v>
      </c>
      <c r="I770" s="74" t="s">
        <v>1340</v>
      </c>
      <c r="J770" s="74" t="s">
        <v>1328</v>
      </c>
    </row>
    <row r="771" spans="1:18" hidden="1">
      <c r="A771" s="996">
        <v>3</v>
      </c>
      <c r="B771" s="996" t="s">
        <v>931</v>
      </c>
      <c r="C771" s="996" t="s">
        <v>873</v>
      </c>
      <c r="D771" s="996" t="s">
        <v>75</v>
      </c>
      <c r="E771" s="996" t="s">
        <v>799</v>
      </c>
      <c r="F771" s="996" t="s">
        <v>399</v>
      </c>
      <c r="G771" s="1116">
        <v>3656000</v>
      </c>
      <c r="H771" s="74" t="s">
        <v>1330</v>
      </c>
      <c r="I771" s="74" t="s">
        <v>1340</v>
      </c>
      <c r="J771" s="74" t="s">
        <v>1328</v>
      </c>
    </row>
    <row r="772" spans="1:18" hidden="1">
      <c r="A772" s="996">
        <v>3</v>
      </c>
      <c r="B772" s="996" t="s">
        <v>931</v>
      </c>
      <c r="C772" s="996" t="s">
        <v>873</v>
      </c>
      <c r="D772" s="996" t="s">
        <v>76</v>
      </c>
      <c r="E772" s="996" t="s">
        <v>800</v>
      </c>
      <c r="F772" s="996" t="s">
        <v>400</v>
      </c>
      <c r="G772" s="1116">
        <v>5065000</v>
      </c>
      <c r="H772" s="74" t="s">
        <v>1330</v>
      </c>
      <c r="I772" s="74" t="s">
        <v>1340</v>
      </c>
      <c r="J772" s="74" t="s">
        <v>1328</v>
      </c>
    </row>
    <row r="773" spans="1:18" s="915" customFormat="1" hidden="1">
      <c r="A773" s="996">
        <v>3</v>
      </c>
      <c r="B773" s="996" t="s">
        <v>931</v>
      </c>
      <c r="C773" s="996" t="s">
        <v>873</v>
      </c>
      <c r="D773" s="996" t="s">
        <v>77</v>
      </c>
      <c r="E773" s="996" t="s">
        <v>809</v>
      </c>
      <c r="F773" s="996" t="s">
        <v>401</v>
      </c>
      <c r="G773" s="1116">
        <v>6986000</v>
      </c>
      <c r="H773" s="74" t="s">
        <v>1330</v>
      </c>
      <c r="I773" s="74" t="s">
        <v>1340</v>
      </c>
      <c r="J773" s="74" t="s">
        <v>1328</v>
      </c>
      <c r="M773" s="989"/>
      <c r="R773" s="989"/>
    </row>
    <row r="774" spans="1:18" s="915" customFormat="1" hidden="1">
      <c r="A774" s="996">
        <v>3</v>
      </c>
      <c r="B774" s="996" t="s">
        <v>931</v>
      </c>
      <c r="C774" s="996" t="s">
        <v>873</v>
      </c>
      <c r="D774" s="996" t="s">
        <v>78</v>
      </c>
      <c r="E774" s="996" t="s">
        <v>810</v>
      </c>
      <c r="F774" s="996" t="s">
        <v>402</v>
      </c>
      <c r="G774" s="1116">
        <v>7816000</v>
      </c>
      <c r="H774" s="74" t="s">
        <v>1330</v>
      </c>
      <c r="I774" s="74" t="s">
        <v>1340</v>
      </c>
      <c r="J774" s="74" t="s">
        <v>1328</v>
      </c>
      <c r="M774" s="989"/>
      <c r="R774" s="989"/>
    </row>
    <row r="775" spans="1:18" s="915" customFormat="1" hidden="1">
      <c r="A775" s="996">
        <v>3</v>
      </c>
      <c r="B775" s="996" t="s">
        <v>931</v>
      </c>
      <c r="C775" s="996" t="s">
        <v>873</v>
      </c>
      <c r="D775" s="996" t="s">
        <v>79</v>
      </c>
      <c r="E775" s="996" t="s">
        <v>801</v>
      </c>
      <c r="F775" s="996" t="s">
        <v>403</v>
      </c>
      <c r="G775" s="1116">
        <v>1609000</v>
      </c>
      <c r="H775" s="74" t="s">
        <v>1330</v>
      </c>
      <c r="I775" s="74" t="s">
        <v>1340</v>
      </c>
      <c r="J775" s="74" t="s">
        <v>1328</v>
      </c>
      <c r="M775" s="989"/>
      <c r="R775" s="989"/>
    </row>
    <row r="776" spans="1:18" s="915" customFormat="1" hidden="1">
      <c r="A776" s="996">
        <v>3</v>
      </c>
      <c r="B776" s="996" t="s">
        <v>931</v>
      </c>
      <c r="C776" s="996" t="s">
        <v>873</v>
      </c>
      <c r="D776" s="996" t="s">
        <v>82</v>
      </c>
      <c r="E776" s="996" t="s">
        <v>811</v>
      </c>
      <c r="F776" s="996" t="s">
        <v>404</v>
      </c>
      <c r="G776" s="1116">
        <v>7881000</v>
      </c>
      <c r="H776" s="74" t="s">
        <v>1330</v>
      </c>
      <c r="I776" s="74" t="s">
        <v>1340</v>
      </c>
      <c r="J776" s="74" t="s">
        <v>1328</v>
      </c>
      <c r="M776" s="989"/>
      <c r="R776" s="989"/>
    </row>
    <row r="777" spans="1:18" s="915" customFormat="1" hidden="1">
      <c r="A777" s="996">
        <v>3</v>
      </c>
      <c r="B777" s="996" t="s">
        <v>931</v>
      </c>
      <c r="C777" s="996" t="s">
        <v>873</v>
      </c>
      <c r="D777" s="996" t="s">
        <v>83</v>
      </c>
      <c r="E777" s="996" t="s">
        <v>812</v>
      </c>
      <c r="F777" s="996" t="s">
        <v>405</v>
      </c>
      <c r="G777" s="1116">
        <v>426000</v>
      </c>
      <c r="H777" s="74" t="s">
        <v>1330</v>
      </c>
      <c r="I777" s="74" t="s">
        <v>1340</v>
      </c>
      <c r="J777" s="74" t="s">
        <v>1328</v>
      </c>
      <c r="M777" s="989"/>
      <c r="R777" s="989"/>
    </row>
    <row r="778" spans="1:18" s="915" customFormat="1" hidden="1">
      <c r="A778" s="996">
        <v>3</v>
      </c>
      <c r="B778" s="996" t="s">
        <v>931</v>
      </c>
      <c r="C778" s="996" t="s">
        <v>873</v>
      </c>
      <c r="D778" s="996" t="s">
        <v>84</v>
      </c>
      <c r="E778" s="996" t="s">
        <v>813</v>
      </c>
      <c r="F778" s="996" t="s">
        <v>406</v>
      </c>
      <c r="G778" s="1116">
        <v>1278000</v>
      </c>
      <c r="H778" s="74" t="s">
        <v>1330</v>
      </c>
      <c r="I778" s="74" t="s">
        <v>1340</v>
      </c>
      <c r="J778" s="74" t="s">
        <v>1328</v>
      </c>
      <c r="M778" s="989"/>
      <c r="R778" s="989"/>
    </row>
    <row r="779" spans="1:18" s="915" customFormat="1" hidden="1">
      <c r="A779" s="996">
        <v>3</v>
      </c>
      <c r="B779" s="996" t="s">
        <v>931</v>
      </c>
      <c r="C779" s="996" t="s">
        <v>873</v>
      </c>
      <c r="D779" s="996" t="s">
        <v>85</v>
      </c>
      <c r="E779" s="996" t="s">
        <v>814</v>
      </c>
      <c r="F779" s="996" t="s">
        <v>407</v>
      </c>
      <c r="G779" s="1116">
        <v>4260000</v>
      </c>
      <c r="H779" s="74" t="s">
        <v>1330</v>
      </c>
      <c r="I779" s="74" t="s">
        <v>1340</v>
      </c>
      <c r="J779" s="74" t="s">
        <v>1328</v>
      </c>
      <c r="M779" s="989"/>
      <c r="R779" s="989"/>
    </row>
    <row r="780" spans="1:18" s="915" customFormat="1" hidden="1">
      <c r="A780" s="996">
        <v>3</v>
      </c>
      <c r="B780" s="996" t="s">
        <v>931</v>
      </c>
      <c r="C780" s="996" t="s">
        <v>873</v>
      </c>
      <c r="D780" s="996" t="s">
        <v>86</v>
      </c>
      <c r="E780" s="996" t="s">
        <v>815</v>
      </c>
      <c r="F780" s="996" t="s">
        <v>408</v>
      </c>
      <c r="G780" s="1116">
        <v>426000</v>
      </c>
      <c r="H780" s="74" t="s">
        <v>1330</v>
      </c>
      <c r="I780" s="74" t="s">
        <v>1340</v>
      </c>
      <c r="J780" s="74" t="s">
        <v>1328</v>
      </c>
      <c r="M780" s="989"/>
      <c r="R780" s="989"/>
    </row>
    <row r="781" spans="1:18" s="915" customFormat="1" hidden="1">
      <c r="A781" s="996">
        <v>3</v>
      </c>
      <c r="B781" s="996" t="s">
        <v>931</v>
      </c>
      <c r="C781" s="996" t="s">
        <v>873</v>
      </c>
      <c r="D781" s="996" t="s">
        <v>425</v>
      </c>
      <c r="E781" s="996" t="s">
        <v>816</v>
      </c>
      <c r="F781" s="996" t="s">
        <v>945</v>
      </c>
      <c r="G781" s="1116">
        <v>4618000</v>
      </c>
      <c r="H781" s="74" t="s">
        <v>1330</v>
      </c>
      <c r="I781" s="74" t="s">
        <v>1340</v>
      </c>
      <c r="J781" s="74" t="s">
        <v>1328</v>
      </c>
      <c r="M781" s="989"/>
      <c r="R781" s="989"/>
    </row>
    <row r="782" spans="1:18" s="915" customFormat="1" hidden="1">
      <c r="A782" s="996">
        <v>3</v>
      </c>
      <c r="B782" s="996" t="s">
        <v>931</v>
      </c>
      <c r="C782" s="996" t="s">
        <v>873</v>
      </c>
      <c r="D782" s="996" t="s">
        <v>89</v>
      </c>
      <c r="E782" s="996" t="s">
        <v>817</v>
      </c>
      <c r="F782" s="996" t="s">
        <v>409</v>
      </c>
      <c r="G782" s="1116">
        <v>2556000</v>
      </c>
      <c r="H782" s="74" t="s">
        <v>1330</v>
      </c>
      <c r="I782" s="74" t="s">
        <v>1340</v>
      </c>
      <c r="J782" s="74" t="s">
        <v>1328</v>
      </c>
      <c r="M782" s="989"/>
      <c r="R782" s="989"/>
    </row>
    <row r="783" spans="1:18" s="915" customFormat="1" hidden="1">
      <c r="A783" s="996">
        <v>3</v>
      </c>
      <c r="B783" s="996" t="s">
        <v>931</v>
      </c>
      <c r="C783" s="996" t="s">
        <v>873</v>
      </c>
      <c r="D783" s="996" t="s">
        <v>90</v>
      </c>
      <c r="E783" s="996" t="s">
        <v>818</v>
      </c>
      <c r="F783" s="996" t="s">
        <v>714</v>
      </c>
      <c r="G783" s="1116">
        <v>1278000</v>
      </c>
      <c r="H783" s="74" t="s">
        <v>1330</v>
      </c>
      <c r="I783" s="74" t="s">
        <v>1340</v>
      </c>
      <c r="J783" s="74" t="s">
        <v>1328</v>
      </c>
      <c r="M783" s="989"/>
      <c r="R783" s="989"/>
    </row>
    <row r="784" spans="1:18" s="915" customFormat="1" hidden="1">
      <c r="A784" s="996">
        <v>3</v>
      </c>
      <c r="B784" s="996" t="s">
        <v>931</v>
      </c>
      <c r="C784" s="996" t="s">
        <v>874</v>
      </c>
      <c r="D784" s="996" t="s">
        <v>94</v>
      </c>
      <c r="E784" s="996" t="s">
        <v>819</v>
      </c>
      <c r="F784" s="996" t="s">
        <v>977</v>
      </c>
      <c r="G784" s="997">
        <v>6094000</v>
      </c>
      <c r="H784" s="74" t="s">
        <v>448</v>
      </c>
      <c r="I784" s="74" t="s">
        <v>1339</v>
      </c>
      <c r="J784" s="74" t="s">
        <v>1328</v>
      </c>
      <c r="M784" s="989"/>
      <c r="R784" s="989"/>
    </row>
    <row r="785" spans="1:18" s="915" customFormat="1" hidden="1">
      <c r="A785" s="996">
        <v>3</v>
      </c>
      <c r="B785" s="996" t="s">
        <v>931</v>
      </c>
      <c r="C785" s="996" t="s">
        <v>874</v>
      </c>
      <c r="D785" s="996" t="s">
        <v>103</v>
      </c>
      <c r="E785" s="996" t="s">
        <v>821</v>
      </c>
      <c r="F785" s="996" t="s">
        <v>978</v>
      </c>
      <c r="G785" s="997">
        <v>262000</v>
      </c>
      <c r="H785" s="74" t="s">
        <v>448</v>
      </c>
      <c r="I785" s="74" t="s">
        <v>1339</v>
      </c>
      <c r="J785" s="74" t="s">
        <v>1328</v>
      </c>
      <c r="M785" s="989"/>
      <c r="R785" s="989"/>
    </row>
    <row r="786" spans="1:18" s="915" customFormat="1" hidden="1">
      <c r="A786" s="996">
        <v>3</v>
      </c>
      <c r="B786" s="996" t="s">
        <v>931</v>
      </c>
      <c r="C786" s="996" t="s">
        <v>874</v>
      </c>
      <c r="D786" s="996" t="s">
        <v>105</v>
      </c>
      <c r="E786" s="996" t="s">
        <v>822</v>
      </c>
      <c r="F786" s="996" t="s">
        <v>979</v>
      </c>
      <c r="G786" s="997">
        <v>824000</v>
      </c>
      <c r="H786" s="74" t="s">
        <v>448</v>
      </c>
      <c r="I786" s="74" t="s">
        <v>1339</v>
      </c>
      <c r="J786" s="74" t="s">
        <v>1328</v>
      </c>
      <c r="M786" s="989"/>
      <c r="R786" s="989"/>
    </row>
    <row r="787" spans="1:18" s="915" customFormat="1" hidden="1">
      <c r="A787" s="996">
        <v>3</v>
      </c>
      <c r="B787" s="996" t="s">
        <v>931</v>
      </c>
      <c r="C787" s="996" t="s">
        <v>874</v>
      </c>
      <c r="D787" s="996" t="s">
        <v>286</v>
      </c>
      <c r="E787" s="996" t="s">
        <v>980</v>
      </c>
      <c r="F787" s="996" t="s">
        <v>981</v>
      </c>
      <c r="G787" s="997">
        <v>428000</v>
      </c>
      <c r="H787" s="74" t="s">
        <v>448</v>
      </c>
      <c r="I787" s="74" t="s">
        <v>1339</v>
      </c>
      <c r="J787" s="74" t="s">
        <v>1328</v>
      </c>
      <c r="M787" s="989"/>
      <c r="R787" s="989"/>
    </row>
    <row r="788" spans="1:18" s="915" customFormat="1" hidden="1">
      <c r="A788" s="996">
        <v>3</v>
      </c>
      <c r="B788" s="996" t="s">
        <v>931</v>
      </c>
      <c r="C788" s="996" t="s">
        <v>874</v>
      </c>
      <c r="D788" s="996" t="s">
        <v>125</v>
      </c>
      <c r="E788" s="996" t="s">
        <v>833</v>
      </c>
      <c r="F788" s="996" t="s">
        <v>1238</v>
      </c>
      <c r="G788" s="997">
        <v>2016000</v>
      </c>
      <c r="H788" s="74" t="s">
        <v>448</v>
      </c>
      <c r="I788" s="74" t="s">
        <v>1339</v>
      </c>
      <c r="J788" s="74" t="s">
        <v>1328</v>
      </c>
      <c r="M788" s="989"/>
      <c r="R788" s="989"/>
    </row>
    <row r="789" spans="1:18" hidden="1">
      <c r="A789" s="996">
        <v>3</v>
      </c>
      <c r="B789" s="996" t="s">
        <v>931</v>
      </c>
      <c r="C789" s="996" t="s">
        <v>874</v>
      </c>
      <c r="D789" s="996" t="s">
        <v>138</v>
      </c>
      <c r="E789" s="996" t="s">
        <v>985</v>
      </c>
      <c r="F789" s="996" t="s">
        <v>1239</v>
      </c>
      <c r="G789" s="997">
        <v>793000</v>
      </c>
      <c r="H789" s="74" t="s">
        <v>448</v>
      </c>
      <c r="I789" s="74" t="s">
        <v>1339</v>
      </c>
      <c r="J789" s="74" t="s">
        <v>1328</v>
      </c>
    </row>
    <row r="790" spans="1:18" hidden="1">
      <c r="A790" s="996">
        <v>3</v>
      </c>
      <c r="B790" s="996" t="s">
        <v>931</v>
      </c>
      <c r="C790" s="996" t="s">
        <v>874</v>
      </c>
      <c r="D790" s="996" t="s">
        <v>127</v>
      </c>
      <c r="E790" s="996" t="s">
        <v>983</v>
      </c>
      <c r="F790" s="996" t="s">
        <v>1334</v>
      </c>
      <c r="G790" s="997">
        <v>50000000</v>
      </c>
      <c r="H790" s="74" t="s">
        <v>448</v>
      </c>
      <c r="I790" s="74" t="s">
        <v>1339</v>
      </c>
      <c r="J790" s="74" t="s">
        <v>1328</v>
      </c>
    </row>
    <row r="791" spans="1:18" hidden="1">
      <c r="A791" s="996">
        <v>3</v>
      </c>
      <c r="B791" s="996" t="s">
        <v>932</v>
      </c>
      <c r="C791" s="996" t="s">
        <v>873</v>
      </c>
      <c r="D791" s="996" t="s">
        <v>68</v>
      </c>
      <c r="E791" s="996" t="s">
        <v>804</v>
      </c>
      <c r="F791" s="996" t="s">
        <v>1132</v>
      </c>
      <c r="G791" s="997">
        <v>719919000</v>
      </c>
      <c r="H791" s="74" t="s">
        <v>1338</v>
      </c>
      <c r="I791" s="74" t="s">
        <v>1338</v>
      </c>
      <c r="J791" s="74" t="s">
        <v>1338</v>
      </c>
    </row>
    <row r="792" spans="1:18" hidden="1">
      <c r="A792" s="996">
        <v>3</v>
      </c>
      <c r="B792" s="996" t="s">
        <v>932</v>
      </c>
      <c r="C792" s="996" t="s">
        <v>873</v>
      </c>
      <c r="D792" s="996" t="s">
        <v>71</v>
      </c>
      <c r="E792" s="996" t="s">
        <v>806</v>
      </c>
      <c r="F792" s="996" t="s">
        <v>663</v>
      </c>
      <c r="G792" s="997">
        <v>51900000</v>
      </c>
      <c r="H792" s="74" t="s">
        <v>1338</v>
      </c>
      <c r="I792" s="74" t="s">
        <v>1338</v>
      </c>
      <c r="J792" s="74" t="s">
        <v>1338</v>
      </c>
    </row>
    <row r="793" spans="1:18" ht="60" hidden="1">
      <c r="A793" s="996">
        <v>3</v>
      </c>
      <c r="B793" s="996" t="s">
        <v>932</v>
      </c>
      <c r="C793" s="996" t="s">
        <v>873</v>
      </c>
      <c r="D793" s="996" t="s">
        <v>77</v>
      </c>
      <c r="E793" s="996" t="s">
        <v>809</v>
      </c>
      <c r="F793" s="998" t="s">
        <v>401</v>
      </c>
      <c r="G793" s="997">
        <v>69676000</v>
      </c>
      <c r="H793" s="74" t="s">
        <v>1338</v>
      </c>
      <c r="I793" s="74" t="s">
        <v>1338</v>
      </c>
      <c r="J793" s="74" t="s">
        <v>1338</v>
      </c>
    </row>
    <row r="794" spans="1:18" hidden="1">
      <c r="A794" s="996">
        <v>3</v>
      </c>
      <c r="B794" s="996" t="s">
        <v>932</v>
      </c>
      <c r="C794" s="996" t="s">
        <v>873</v>
      </c>
      <c r="D794" s="996" t="s">
        <v>78</v>
      </c>
      <c r="E794" s="996" t="s">
        <v>810</v>
      </c>
      <c r="F794" s="996" t="s">
        <v>402</v>
      </c>
      <c r="G794" s="997">
        <v>64369000</v>
      </c>
      <c r="H794" s="74" t="s">
        <v>1338</v>
      </c>
      <c r="I794" s="74" t="s">
        <v>1338</v>
      </c>
      <c r="J794" s="74" t="s">
        <v>1338</v>
      </c>
      <c r="L794" s="74">
        <v>653830000</v>
      </c>
      <c r="M794" s="985">
        <f>+G794-L794</f>
        <v>-589461000</v>
      </c>
    </row>
    <row r="795" spans="1:18" hidden="1">
      <c r="A795" s="996">
        <v>3</v>
      </c>
      <c r="B795" s="996" t="s">
        <v>932</v>
      </c>
      <c r="C795" s="996" t="s">
        <v>873</v>
      </c>
      <c r="D795" s="996" t="s">
        <v>82</v>
      </c>
      <c r="E795" s="996" t="s">
        <v>811</v>
      </c>
      <c r="F795" s="996" t="s">
        <v>404</v>
      </c>
      <c r="G795" s="997">
        <v>77347000</v>
      </c>
      <c r="H795" s="74" t="s">
        <v>1338</v>
      </c>
      <c r="I795" s="74" t="s">
        <v>1338</v>
      </c>
      <c r="J795" s="74" t="s">
        <v>1338</v>
      </c>
      <c r="L795" s="74">
        <v>51900000</v>
      </c>
      <c r="M795" s="985">
        <f t="shared" ref="M795:M805" si="1">+G795-L795</f>
        <v>25447000</v>
      </c>
    </row>
    <row r="796" spans="1:18" hidden="1">
      <c r="A796" s="996">
        <v>3</v>
      </c>
      <c r="B796" s="996" t="s">
        <v>932</v>
      </c>
      <c r="C796" s="996" t="s">
        <v>873</v>
      </c>
      <c r="D796" s="996" t="s">
        <v>83</v>
      </c>
      <c r="E796" s="996" t="s">
        <v>812</v>
      </c>
      <c r="F796" s="996" t="s">
        <v>405</v>
      </c>
      <c r="G796" s="997">
        <v>4181000</v>
      </c>
      <c r="H796" s="74" t="s">
        <v>1338</v>
      </c>
      <c r="I796" s="74" t="s">
        <v>1338</v>
      </c>
      <c r="J796" s="74" t="s">
        <v>1338</v>
      </c>
      <c r="L796" s="74">
        <v>63710000</v>
      </c>
      <c r="M796" s="985">
        <f t="shared" si="1"/>
        <v>-59529000</v>
      </c>
    </row>
    <row r="797" spans="1:18" hidden="1">
      <c r="A797" s="996">
        <v>3</v>
      </c>
      <c r="B797" s="996" t="s">
        <v>932</v>
      </c>
      <c r="C797" s="996" t="s">
        <v>873</v>
      </c>
      <c r="D797" s="996" t="s">
        <v>84</v>
      </c>
      <c r="E797" s="996" t="s">
        <v>813</v>
      </c>
      <c r="F797" s="996" t="s">
        <v>406</v>
      </c>
      <c r="G797" s="997">
        <v>12543000</v>
      </c>
      <c r="H797" s="74" t="s">
        <v>1338</v>
      </c>
      <c r="I797" s="74" t="s">
        <v>1338</v>
      </c>
      <c r="J797" s="74" t="s">
        <v>1338</v>
      </c>
      <c r="L797" s="74">
        <v>58864000</v>
      </c>
      <c r="M797" s="985">
        <f t="shared" si="1"/>
        <v>-46321000</v>
      </c>
    </row>
    <row r="798" spans="1:18" hidden="1">
      <c r="A798" s="996">
        <v>3</v>
      </c>
      <c r="B798" s="996" t="s">
        <v>932</v>
      </c>
      <c r="C798" s="996" t="s">
        <v>873</v>
      </c>
      <c r="D798" s="996" t="s">
        <v>85</v>
      </c>
      <c r="E798" s="996" t="s">
        <v>814</v>
      </c>
      <c r="F798" s="996" t="s">
        <v>407</v>
      </c>
      <c r="G798" s="997">
        <v>41809000</v>
      </c>
      <c r="H798" s="74" t="s">
        <v>1338</v>
      </c>
      <c r="I798" s="74" t="s">
        <v>1338</v>
      </c>
      <c r="J798" s="74" t="s">
        <v>1338</v>
      </c>
      <c r="L798" s="74">
        <v>70725000</v>
      </c>
      <c r="M798" s="985">
        <f t="shared" si="1"/>
        <v>-28916000</v>
      </c>
    </row>
    <row r="799" spans="1:18" hidden="1">
      <c r="A799" s="996">
        <v>3</v>
      </c>
      <c r="B799" s="996" t="s">
        <v>932</v>
      </c>
      <c r="C799" s="996" t="s">
        <v>873</v>
      </c>
      <c r="D799" s="996" t="s">
        <v>86</v>
      </c>
      <c r="E799" s="996" t="s">
        <v>815</v>
      </c>
      <c r="F799" s="996" t="s">
        <v>408</v>
      </c>
      <c r="G799" s="997">
        <v>4181000</v>
      </c>
      <c r="H799" s="74" t="s">
        <v>1338</v>
      </c>
      <c r="I799" s="74" t="s">
        <v>1338</v>
      </c>
      <c r="J799" s="74" t="s">
        <v>1338</v>
      </c>
      <c r="L799" s="74">
        <v>3823000</v>
      </c>
      <c r="M799" s="985">
        <f t="shared" si="1"/>
        <v>358000</v>
      </c>
    </row>
    <row r="800" spans="1:18" hidden="1">
      <c r="A800" s="996">
        <v>3</v>
      </c>
      <c r="B800" s="996" t="s">
        <v>932</v>
      </c>
      <c r="C800" s="996" t="s">
        <v>873</v>
      </c>
      <c r="D800" s="996" t="s">
        <v>425</v>
      </c>
      <c r="E800" s="996" t="s">
        <v>816</v>
      </c>
      <c r="F800" s="996" t="s">
        <v>945</v>
      </c>
      <c r="G800" s="997">
        <v>45321000</v>
      </c>
      <c r="H800" s="74" t="s">
        <v>1338</v>
      </c>
      <c r="I800" s="74" t="s">
        <v>1338</v>
      </c>
      <c r="J800" s="74" t="s">
        <v>1338</v>
      </c>
      <c r="L800" s="74">
        <v>11469000</v>
      </c>
      <c r="M800" s="985">
        <f t="shared" si="1"/>
        <v>33852000</v>
      </c>
    </row>
    <row r="801" spans="1:18" hidden="1">
      <c r="A801" s="996">
        <v>3</v>
      </c>
      <c r="B801" s="996" t="s">
        <v>932</v>
      </c>
      <c r="C801" s="996" t="s">
        <v>873</v>
      </c>
      <c r="D801" s="996" t="s">
        <v>89</v>
      </c>
      <c r="E801" s="996" t="s">
        <v>817</v>
      </c>
      <c r="F801" s="996" t="s">
        <v>409</v>
      </c>
      <c r="G801" s="997">
        <v>25086000</v>
      </c>
      <c r="H801" s="74" t="s">
        <v>1338</v>
      </c>
      <c r="I801" s="74" t="s">
        <v>1338</v>
      </c>
      <c r="J801" s="74" t="s">
        <v>1338</v>
      </c>
      <c r="L801" s="74">
        <v>38230000</v>
      </c>
      <c r="M801" s="985">
        <f t="shared" si="1"/>
        <v>-13144000</v>
      </c>
    </row>
    <row r="802" spans="1:18" hidden="1">
      <c r="A802" s="996">
        <v>3</v>
      </c>
      <c r="B802" s="996" t="s">
        <v>932</v>
      </c>
      <c r="C802" s="996" t="s">
        <v>873</v>
      </c>
      <c r="D802" s="996" t="s">
        <v>90</v>
      </c>
      <c r="E802" s="996" t="s">
        <v>818</v>
      </c>
      <c r="F802" s="996" t="s">
        <v>714</v>
      </c>
      <c r="G802" s="997">
        <v>12543000</v>
      </c>
      <c r="H802" s="74" t="s">
        <v>1338</v>
      </c>
      <c r="I802" s="74" t="s">
        <v>1338</v>
      </c>
      <c r="J802" s="74" t="s">
        <v>1338</v>
      </c>
      <c r="L802" s="74">
        <v>3823000</v>
      </c>
      <c r="M802" s="985">
        <f t="shared" si="1"/>
        <v>8720000</v>
      </c>
    </row>
    <row r="803" spans="1:18" hidden="1">
      <c r="A803" s="996">
        <v>3</v>
      </c>
      <c r="B803" s="996" t="s">
        <v>932</v>
      </c>
      <c r="C803" s="996" t="s">
        <v>874</v>
      </c>
      <c r="D803" s="996" t="s">
        <v>95</v>
      </c>
      <c r="E803" s="996" t="s">
        <v>820</v>
      </c>
      <c r="F803" s="996" t="s">
        <v>1240</v>
      </c>
      <c r="G803" s="997">
        <v>64000000</v>
      </c>
      <c r="H803" s="74" t="s">
        <v>1338</v>
      </c>
      <c r="I803" s="74" t="s">
        <v>1338</v>
      </c>
      <c r="J803" s="74" t="s">
        <v>1338</v>
      </c>
      <c r="L803" s="74">
        <v>41441000</v>
      </c>
      <c r="M803" s="985">
        <f t="shared" si="1"/>
        <v>22559000</v>
      </c>
    </row>
    <row r="804" spans="1:18" hidden="1">
      <c r="A804" s="996">
        <v>3</v>
      </c>
      <c r="B804" s="996" t="s">
        <v>932</v>
      </c>
      <c r="C804" s="996" t="s">
        <v>874</v>
      </c>
      <c r="D804" s="996" t="s">
        <v>286</v>
      </c>
      <c r="E804" s="996" t="s">
        <v>980</v>
      </c>
      <c r="F804" s="996" t="s">
        <v>1241</v>
      </c>
      <c r="G804" s="997">
        <v>4200000</v>
      </c>
      <c r="H804" s="74" t="s">
        <v>1338</v>
      </c>
      <c r="I804" s="74" t="s">
        <v>1338</v>
      </c>
      <c r="J804" s="74" t="s">
        <v>1338</v>
      </c>
      <c r="L804" s="74">
        <v>22938000</v>
      </c>
      <c r="M804" s="985">
        <f t="shared" si="1"/>
        <v>-18738000</v>
      </c>
    </row>
    <row r="805" spans="1:18" hidden="1">
      <c r="A805" s="996">
        <v>3</v>
      </c>
      <c r="B805" s="996" t="s">
        <v>932</v>
      </c>
      <c r="C805" s="996" t="s">
        <v>874</v>
      </c>
      <c r="D805" s="996" t="s">
        <v>115</v>
      </c>
      <c r="E805" s="996" t="s">
        <v>827</v>
      </c>
      <c r="F805" s="996" t="s">
        <v>1242</v>
      </c>
      <c r="G805" s="997">
        <v>4000000</v>
      </c>
      <c r="H805" s="74" t="s">
        <v>1338</v>
      </c>
      <c r="I805" s="74" t="s">
        <v>1338</v>
      </c>
      <c r="J805" s="74" t="s">
        <v>1338</v>
      </c>
      <c r="L805" s="74">
        <v>11469000</v>
      </c>
      <c r="M805" s="985">
        <f t="shared" si="1"/>
        <v>-7469000</v>
      </c>
    </row>
    <row r="806" spans="1:18" hidden="1">
      <c r="A806" s="996">
        <v>3</v>
      </c>
      <c r="B806" s="996" t="s">
        <v>932</v>
      </c>
      <c r="C806" s="996" t="s">
        <v>874</v>
      </c>
      <c r="D806" s="996" t="s">
        <v>116</v>
      </c>
      <c r="E806" s="996" t="s">
        <v>828</v>
      </c>
      <c r="F806" s="996" t="s">
        <v>1243</v>
      </c>
      <c r="G806" s="997">
        <v>250000</v>
      </c>
      <c r="H806" s="74" t="s">
        <v>1338</v>
      </c>
      <c r="I806" s="74" t="s">
        <v>1338</v>
      </c>
      <c r="J806" s="74" t="s">
        <v>1338</v>
      </c>
    </row>
    <row r="807" spans="1:18" hidden="1">
      <c r="A807" s="996">
        <v>3</v>
      </c>
      <c r="B807" s="996" t="s">
        <v>932</v>
      </c>
      <c r="C807" s="996" t="s">
        <v>874</v>
      </c>
      <c r="D807" s="996" t="s">
        <v>125</v>
      </c>
      <c r="E807" s="996" t="s">
        <v>833</v>
      </c>
      <c r="F807" s="996" t="s">
        <v>1244</v>
      </c>
      <c r="G807" s="997">
        <v>1915000</v>
      </c>
      <c r="H807" s="74" t="s">
        <v>1338</v>
      </c>
      <c r="I807" s="74" t="s">
        <v>1338</v>
      </c>
      <c r="J807" s="74" t="s">
        <v>1338</v>
      </c>
    </row>
    <row r="808" spans="1:18" hidden="1">
      <c r="A808" s="996">
        <v>3</v>
      </c>
      <c r="B808" s="996" t="s">
        <v>932</v>
      </c>
      <c r="C808" s="996" t="s">
        <v>874</v>
      </c>
      <c r="D808" s="996" t="s">
        <v>131</v>
      </c>
      <c r="E808" s="996" t="s">
        <v>835</v>
      </c>
      <c r="F808" s="996" t="s">
        <v>1245</v>
      </c>
      <c r="G808" s="997">
        <v>350000</v>
      </c>
      <c r="H808" s="74" t="s">
        <v>1338</v>
      </c>
      <c r="I808" s="74" t="s">
        <v>1338</v>
      </c>
      <c r="J808" s="74" t="s">
        <v>1338</v>
      </c>
    </row>
    <row r="809" spans="1:18">
      <c r="A809" s="996">
        <v>3</v>
      </c>
      <c r="B809" s="996" t="s">
        <v>932</v>
      </c>
      <c r="C809" s="996" t="s">
        <v>874</v>
      </c>
      <c r="D809" s="996" t="s">
        <v>133</v>
      </c>
      <c r="E809" s="996" t="s">
        <v>836</v>
      </c>
      <c r="F809" s="996" t="s">
        <v>1246</v>
      </c>
      <c r="G809" s="997">
        <v>266000000</v>
      </c>
      <c r="H809" s="74" t="s">
        <v>1338</v>
      </c>
      <c r="I809" s="74" t="s">
        <v>1338</v>
      </c>
      <c r="J809" s="74" t="s">
        <v>1338</v>
      </c>
    </row>
    <row r="810" spans="1:18" hidden="1">
      <c r="A810" s="996">
        <v>3</v>
      </c>
      <c r="B810" s="996" t="s">
        <v>932</v>
      </c>
      <c r="C810" s="996" t="s">
        <v>874</v>
      </c>
      <c r="D810" s="996" t="s">
        <v>138</v>
      </c>
      <c r="E810" s="996" t="s">
        <v>985</v>
      </c>
      <c r="F810" s="996" t="s">
        <v>1247</v>
      </c>
      <c r="G810" s="997">
        <v>7293000</v>
      </c>
      <c r="H810" s="74" t="s">
        <v>1338</v>
      </c>
      <c r="I810" s="74" t="s">
        <v>1338</v>
      </c>
      <c r="J810" s="74" t="s">
        <v>1338</v>
      </c>
    </row>
    <row r="811" spans="1:18" hidden="1">
      <c r="A811" s="996">
        <v>3</v>
      </c>
      <c r="B811" s="996" t="s">
        <v>932</v>
      </c>
      <c r="C811" s="996" t="s">
        <v>874</v>
      </c>
      <c r="D811" s="996" t="s">
        <v>142</v>
      </c>
      <c r="E811" s="996" t="s">
        <v>839</v>
      </c>
      <c r="F811" s="996" t="s">
        <v>1426</v>
      </c>
      <c r="G811" s="997">
        <v>57600000</v>
      </c>
      <c r="H811" s="74" t="s">
        <v>1338</v>
      </c>
      <c r="I811" s="74" t="s">
        <v>1338</v>
      </c>
      <c r="J811" s="74" t="s">
        <v>1338</v>
      </c>
    </row>
    <row r="812" spans="1:18" hidden="1">
      <c r="A812" s="996">
        <v>3</v>
      </c>
      <c r="B812" s="996" t="s">
        <v>932</v>
      </c>
      <c r="C812" s="996" t="s">
        <v>874</v>
      </c>
      <c r="D812" s="996" t="s">
        <v>153</v>
      </c>
      <c r="E812" s="996" t="s">
        <v>842</v>
      </c>
      <c r="F812" s="996" t="s">
        <v>1248</v>
      </c>
      <c r="G812" s="997">
        <v>20195000</v>
      </c>
      <c r="H812" s="74" t="s">
        <v>1338</v>
      </c>
      <c r="I812" s="74" t="s">
        <v>1338</v>
      </c>
      <c r="J812" s="74" t="s">
        <v>1338</v>
      </c>
    </row>
    <row r="813" spans="1:18" hidden="1">
      <c r="A813" s="996">
        <v>3</v>
      </c>
      <c r="B813" s="996" t="s">
        <v>932</v>
      </c>
      <c r="C813" s="996" t="s">
        <v>874</v>
      </c>
      <c r="D813" s="996" t="s">
        <v>162</v>
      </c>
      <c r="E813" s="996" t="s">
        <v>850</v>
      </c>
      <c r="F813" s="996" t="s">
        <v>1249</v>
      </c>
      <c r="G813" s="997">
        <v>60000</v>
      </c>
      <c r="H813" s="74" t="s">
        <v>1338</v>
      </c>
      <c r="I813" s="74" t="s">
        <v>1338</v>
      </c>
      <c r="J813" s="74" t="s">
        <v>1338</v>
      </c>
    </row>
    <row r="814" spans="1:18" s="915" customFormat="1" ht="15" hidden="1" customHeight="1">
      <c r="A814" s="996">
        <v>3</v>
      </c>
      <c r="B814" s="996" t="s">
        <v>932</v>
      </c>
      <c r="C814" s="996" t="s">
        <v>891</v>
      </c>
      <c r="D814" s="996" t="s">
        <v>166</v>
      </c>
      <c r="E814" s="996" t="s">
        <v>851</v>
      </c>
      <c r="F814" s="998" t="s">
        <v>1250</v>
      </c>
      <c r="G814" s="997">
        <v>24000002</v>
      </c>
      <c r="H814" s="74" t="s">
        <v>1338</v>
      </c>
      <c r="I814" s="74" t="s">
        <v>1338</v>
      </c>
      <c r="J814" s="74" t="s">
        <v>1338</v>
      </c>
      <c r="M814" s="989"/>
      <c r="R814" s="989"/>
    </row>
    <row r="815" spans="1:18" s="915" customFormat="1" hidden="1">
      <c r="A815" s="996">
        <v>3</v>
      </c>
      <c r="B815" s="996" t="s">
        <v>932</v>
      </c>
      <c r="C815" s="996" t="s">
        <v>891</v>
      </c>
      <c r="D815" s="996" t="s">
        <v>168</v>
      </c>
      <c r="E815" s="996" t="s">
        <v>852</v>
      </c>
      <c r="F815" s="996" t="s">
        <v>1251</v>
      </c>
      <c r="G815" s="997">
        <v>4383750</v>
      </c>
      <c r="H815" s="74" t="s">
        <v>1338</v>
      </c>
      <c r="I815" s="74" t="s">
        <v>1338</v>
      </c>
      <c r="J815" s="74" t="s">
        <v>1338</v>
      </c>
      <c r="M815" s="989"/>
      <c r="R815" s="989"/>
    </row>
    <row r="816" spans="1:18" s="915" customFormat="1" hidden="1">
      <c r="A816" s="996">
        <v>3</v>
      </c>
      <c r="B816" s="996" t="s">
        <v>932</v>
      </c>
      <c r="C816" s="996" t="s">
        <v>891</v>
      </c>
      <c r="D816" s="996" t="s">
        <v>170</v>
      </c>
      <c r="E816" s="996" t="s">
        <v>853</v>
      </c>
      <c r="F816" s="996" t="s">
        <v>1252</v>
      </c>
      <c r="G816" s="997">
        <v>62000</v>
      </c>
      <c r="H816" s="74" t="s">
        <v>1338</v>
      </c>
      <c r="I816" s="74" t="s">
        <v>1338</v>
      </c>
      <c r="J816" s="74" t="s">
        <v>1338</v>
      </c>
      <c r="M816" s="989"/>
      <c r="R816" s="989"/>
    </row>
    <row r="817" spans="1:18" s="915" customFormat="1" hidden="1">
      <c r="A817" s="996">
        <v>3</v>
      </c>
      <c r="B817" s="996" t="s">
        <v>932</v>
      </c>
      <c r="C817" s="996" t="s">
        <v>891</v>
      </c>
      <c r="D817" s="996" t="s">
        <v>178</v>
      </c>
      <c r="E817" s="996" t="s">
        <v>854</v>
      </c>
      <c r="F817" s="996" t="s">
        <v>1253</v>
      </c>
      <c r="G817" s="997">
        <v>1000000</v>
      </c>
      <c r="H817" s="74" t="s">
        <v>1338</v>
      </c>
      <c r="I817" s="74" t="s">
        <v>1338</v>
      </c>
      <c r="J817" s="74" t="s">
        <v>1338</v>
      </c>
      <c r="M817" s="989"/>
      <c r="R817" s="989"/>
    </row>
    <row r="818" spans="1:18" s="915" customFormat="1" hidden="1">
      <c r="A818" s="996">
        <v>3</v>
      </c>
      <c r="B818" s="996" t="s">
        <v>932</v>
      </c>
      <c r="C818" s="996" t="s">
        <v>891</v>
      </c>
      <c r="D818" s="996" t="s">
        <v>189</v>
      </c>
      <c r="E818" s="996" t="s">
        <v>855</v>
      </c>
      <c r="F818" s="996" t="s">
        <v>909</v>
      </c>
      <c r="G818" s="997">
        <v>1824990</v>
      </c>
      <c r="H818" s="74" t="s">
        <v>1338</v>
      </c>
      <c r="I818" s="74" t="s">
        <v>1338</v>
      </c>
      <c r="J818" s="74" t="s">
        <v>1338</v>
      </c>
      <c r="M818" s="989"/>
      <c r="R818" s="989"/>
    </row>
    <row r="819" spans="1:18" s="915" customFormat="1" hidden="1">
      <c r="A819" s="996">
        <v>3</v>
      </c>
      <c r="B819" s="996" t="s">
        <v>932</v>
      </c>
      <c r="C819" s="996" t="s">
        <v>891</v>
      </c>
      <c r="D819" s="996" t="s">
        <v>192</v>
      </c>
      <c r="E819" s="996" t="s">
        <v>856</v>
      </c>
      <c r="F819" s="996" t="s">
        <v>1254</v>
      </c>
      <c r="G819" s="997">
        <v>1494300</v>
      </c>
      <c r="H819" s="74" t="s">
        <v>1338</v>
      </c>
      <c r="I819" s="74" t="s">
        <v>1338</v>
      </c>
      <c r="J819" s="74" t="s">
        <v>1338</v>
      </c>
      <c r="M819" s="989"/>
      <c r="R819" s="989"/>
    </row>
    <row r="820" spans="1:18" s="915" customFormat="1" hidden="1">
      <c r="A820" s="996">
        <v>3</v>
      </c>
      <c r="B820" s="996" t="s">
        <v>932</v>
      </c>
      <c r="C820" s="996" t="s">
        <v>891</v>
      </c>
      <c r="D820" s="996" t="s">
        <v>195</v>
      </c>
      <c r="E820" s="996" t="s">
        <v>858</v>
      </c>
      <c r="F820" s="996" t="s">
        <v>1255</v>
      </c>
      <c r="G820" s="997">
        <v>741880</v>
      </c>
      <c r="H820" s="74" t="s">
        <v>1338</v>
      </c>
      <c r="I820" s="74" t="s">
        <v>1338</v>
      </c>
      <c r="J820" s="74" t="s">
        <v>1338</v>
      </c>
      <c r="M820" s="989"/>
      <c r="R820" s="989"/>
    </row>
    <row r="821" spans="1:18" s="915" customFormat="1" hidden="1">
      <c r="A821" s="996">
        <v>3</v>
      </c>
      <c r="B821" s="996" t="s">
        <v>932</v>
      </c>
      <c r="C821" s="996" t="s">
        <v>891</v>
      </c>
      <c r="D821" s="996" t="s">
        <v>197</v>
      </c>
      <c r="E821" s="996" t="s">
        <v>859</v>
      </c>
      <c r="F821" s="996" t="s">
        <v>1256</v>
      </c>
      <c r="G821" s="997">
        <v>12167925</v>
      </c>
      <c r="H821" s="74" t="s">
        <v>1338</v>
      </c>
      <c r="I821" s="74" t="s">
        <v>1338</v>
      </c>
      <c r="J821" s="74" t="s">
        <v>1338</v>
      </c>
      <c r="M821" s="989"/>
      <c r="R821" s="989"/>
    </row>
    <row r="822" spans="1:18" s="915" customFormat="1" hidden="1">
      <c r="A822" s="996">
        <v>3</v>
      </c>
      <c r="B822" s="996" t="s">
        <v>932</v>
      </c>
      <c r="C822" s="996" t="s">
        <v>891</v>
      </c>
      <c r="D822" s="996" t="s">
        <v>199</v>
      </c>
      <c r="E822" s="996" t="s">
        <v>860</v>
      </c>
      <c r="F822" s="996" t="s">
        <v>1257</v>
      </c>
      <c r="G822" s="997">
        <v>66500</v>
      </c>
      <c r="H822" s="74" t="s">
        <v>1338</v>
      </c>
      <c r="I822" s="74" t="s">
        <v>1338</v>
      </c>
      <c r="J822" s="74" t="s">
        <v>1338</v>
      </c>
      <c r="M822" s="989"/>
      <c r="R822" s="989"/>
    </row>
    <row r="823" spans="1:18" s="915" customFormat="1" hidden="1">
      <c r="A823" s="996">
        <v>3</v>
      </c>
      <c r="B823" s="996" t="s">
        <v>932</v>
      </c>
      <c r="C823" s="996" t="s">
        <v>891</v>
      </c>
      <c r="D823" s="996" t="s">
        <v>203</v>
      </c>
      <c r="E823" s="996" t="s">
        <v>862</v>
      </c>
      <c r="F823" s="996"/>
      <c r="G823" s="997">
        <v>311500</v>
      </c>
      <c r="H823" s="74" t="s">
        <v>1338</v>
      </c>
      <c r="I823" s="74" t="s">
        <v>1338</v>
      </c>
      <c r="J823" s="74" t="s">
        <v>1338</v>
      </c>
      <c r="M823" s="989"/>
      <c r="R823" s="989"/>
    </row>
    <row r="824" spans="1:18" s="915" customFormat="1" hidden="1">
      <c r="A824" s="996">
        <v>2</v>
      </c>
      <c r="B824" s="996" t="s">
        <v>905</v>
      </c>
      <c r="C824" s="996" t="s">
        <v>895</v>
      </c>
      <c r="D824" s="996" t="s">
        <v>208</v>
      </c>
      <c r="E824" s="996" t="s">
        <v>863</v>
      </c>
      <c r="F824" s="996" t="s">
        <v>1335</v>
      </c>
      <c r="G824" s="997">
        <v>500000</v>
      </c>
      <c r="H824" s="74" t="s">
        <v>448</v>
      </c>
      <c r="I824" s="74" t="s">
        <v>1339</v>
      </c>
      <c r="J824" s="74" t="s">
        <v>1328</v>
      </c>
      <c r="M824" s="989"/>
      <c r="R824" s="989"/>
    </row>
    <row r="825" spans="1:18" s="915" customFormat="1" hidden="1">
      <c r="A825" s="996">
        <v>2</v>
      </c>
      <c r="B825" s="996" t="s">
        <v>905</v>
      </c>
      <c r="C825" s="996" t="s">
        <v>895</v>
      </c>
      <c r="D825" s="996" t="s">
        <v>208</v>
      </c>
      <c r="E825" s="996" t="s">
        <v>863</v>
      </c>
      <c r="F825" s="996" t="s">
        <v>1336</v>
      </c>
      <c r="G825" s="997">
        <v>2500000</v>
      </c>
      <c r="H825" s="74" t="s">
        <v>448</v>
      </c>
      <c r="I825" s="74" t="s">
        <v>1339</v>
      </c>
      <c r="J825" s="74" t="s">
        <v>1328</v>
      </c>
      <c r="M825" s="989"/>
      <c r="R825" s="989"/>
    </row>
    <row r="826" spans="1:18" s="915" customFormat="1" hidden="1">
      <c r="A826" s="996">
        <v>3</v>
      </c>
      <c r="B826" s="996" t="s">
        <v>932</v>
      </c>
      <c r="C826" s="996" t="s">
        <v>895</v>
      </c>
      <c r="D826" s="996" t="s">
        <v>208</v>
      </c>
      <c r="E826" s="996" t="s">
        <v>863</v>
      </c>
      <c r="F826" s="996" t="s">
        <v>1258</v>
      </c>
      <c r="G826" s="997">
        <v>44660000</v>
      </c>
      <c r="H826" s="74" t="s">
        <v>1338</v>
      </c>
      <c r="I826" s="74" t="s">
        <v>1338</v>
      </c>
      <c r="J826" s="74" t="s">
        <v>1338</v>
      </c>
      <c r="M826" s="989"/>
      <c r="R826" s="989"/>
    </row>
    <row r="827" spans="1:18" s="915" customFormat="1" ht="120" hidden="1">
      <c r="A827" s="996">
        <v>3</v>
      </c>
      <c r="B827" s="996" t="s">
        <v>932</v>
      </c>
      <c r="C827" s="996" t="s">
        <v>895</v>
      </c>
      <c r="D827" s="996" t="s">
        <v>212</v>
      </c>
      <c r="E827" s="996" t="s">
        <v>864</v>
      </c>
      <c r="F827" s="998" t="s">
        <v>1259</v>
      </c>
      <c r="G827" s="997">
        <v>124162500</v>
      </c>
      <c r="H827" s="74" t="s">
        <v>1338</v>
      </c>
      <c r="I827" s="74" t="s">
        <v>1338</v>
      </c>
      <c r="J827" s="74" t="s">
        <v>1338</v>
      </c>
      <c r="M827" s="989"/>
      <c r="R827" s="989"/>
    </row>
    <row r="828" spans="1:18" s="915" customFormat="1" ht="45" hidden="1">
      <c r="A828" s="996">
        <v>3</v>
      </c>
      <c r="B828" s="996" t="s">
        <v>932</v>
      </c>
      <c r="C828" s="996" t="s">
        <v>888</v>
      </c>
      <c r="D828" s="996" t="s">
        <v>294</v>
      </c>
      <c r="E828" s="996" t="s">
        <v>866</v>
      </c>
      <c r="F828" s="998" t="s">
        <v>917</v>
      </c>
      <c r="G828" s="997">
        <v>3000000</v>
      </c>
      <c r="H828" s="74" t="s">
        <v>1338</v>
      </c>
      <c r="I828" s="74" t="s">
        <v>1338</v>
      </c>
      <c r="J828" s="74" t="s">
        <v>1338</v>
      </c>
      <c r="M828" s="989"/>
      <c r="R828" s="989"/>
    </row>
    <row r="829" spans="1:18" s="915" customFormat="1" hidden="1">
      <c r="A829" s="996">
        <v>3</v>
      </c>
      <c r="B829" s="996" t="s">
        <v>1260</v>
      </c>
      <c r="C829" s="996" t="s">
        <v>873</v>
      </c>
      <c r="D829" s="996" t="s">
        <v>68</v>
      </c>
      <c r="E829" s="996" t="s">
        <v>804</v>
      </c>
      <c r="F829" s="996" t="s">
        <v>1261</v>
      </c>
      <c r="G829" s="997">
        <v>74666000</v>
      </c>
      <c r="H829" s="74" t="s">
        <v>1338</v>
      </c>
      <c r="I829" s="74" t="s">
        <v>1338</v>
      </c>
      <c r="J829" s="74" t="s">
        <v>1338</v>
      </c>
      <c r="M829" s="989"/>
      <c r="R829" s="989"/>
    </row>
    <row r="830" spans="1:18" hidden="1">
      <c r="A830" s="996">
        <v>3</v>
      </c>
      <c r="B830" s="996" t="s">
        <v>1260</v>
      </c>
      <c r="C830" s="996" t="s">
        <v>873</v>
      </c>
      <c r="D830" s="996" t="s">
        <v>71</v>
      </c>
      <c r="E830" s="996" t="s">
        <v>806</v>
      </c>
      <c r="F830" s="996" t="s">
        <v>1262</v>
      </c>
      <c r="G830" s="997">
        <v>5506000</v>
      </c>
      <c r="H830" s="74" t="s">
        <v>1338</v>
      </c>
      <c r="I830" s="74" t="s">
        <v>1338</v>
      </c>
      <c r="J830" s="74" t="s">
        <v>1338</v>
      </c>
    </row>
    <row r="831" spans="1:18" hidden="1">
      <c r="A831" s="996">
        <v>3</v>
      </c>
      <c r="B831" s="996" t="s">
        <v>1260</v>
      </c>
      <c r="C831" s="996" t="s">
        <v>873</v>
      </c>
      <c r="D831" s="996" t="s">
        <v>75</v>
      </c>
      <c r="E831" s="996" t="s">
        <v>799</v>
      </c>
      <c r="F831" s="996" t="s">
        <v>399</v>
      </c>
      <c r="G831" s="997">
        <v>0</v>
      </c>
      <c r="H831" s="74" t="s">
        <v>1338</v>
      </c>
      <c r="I831" s="74" t="s">
        <v>1338</v>
      </c>
      <c r="J831" s="74" t="s">
        <v>1338</v>
      </c>
    </row>
    <row r="832" spans="1:18" hidden="1">
      <c r="A832" s="996">
        <v>3</v>
      </c>
      <c r="B832" s="996" t="s">
        <v>1260</v>
      </c>
      <c r="C832" s="996" t="s">
        <v>873</v>
      </c>
      <c r="D832" s="996" t="s">
        <v>76</v>
      </c>
      <c r="E832" s="996" t="s">
        <v>800</v>
      </c>
      <c r="F832" s="996" t="s">
        <v>400</v>
      </c>
      <c r="G832" s="997">
        <v>0</v>
      </c>
      <c r="H832" s="74" t="s">
        <v>1338</v>
      </c>
      <c r="I832" s="74" t="s">
        <v>1338</v>
      </c>
      <c r="J832" s="74" t="s">
        <v>1338</v>
      </c>
    </row>
    <row r="833" spans="1:10" hidden="1">
      <c r="A833" s="996">
        <v>3</v>
      </c>
      <c r="B833" s="996" t="s">
        <v>1260</v>
      </c>
      <c r="C833" s="996" t="s">
        <v>873</v>
      </c>
      <c r="D833" s="996" t="s">
        <v>77</v>
      </c>
      <c r="E833" s="996" t="s">
        <v>809</v>
      </c>
      <c r="F833" s="996" t="s">
        <v>401</v>
      </c>
      <c r="G833" s="997">
        <v>7238000</v>
      </c>
      <c r="H833" s="74" t="s">
        <v>1338</v>
      </c>
      <c r="I833" s="74" t="s">
        <v>1338</v>
      </c>
      <c r="J833" s="74" t="s">
        <v>1338</v>
      </c>
    </row>
    <row r="834" spans="1:10" hidden="1">
      <c r="A834" s="996">
        <v>3</v>
      </c>
      <c r="B834" s="996" t="s">
        <v>1260</v>
      </c>
      <c r="C834" s="996" t="s">
        <v>873</v>
      </c>
      <c r="D834" s="996" t="s">
        <v>78</v>
      </c>
      <c r="E834" s="996" t="s">
        <v>810</v>
      </c>
      <c r="F834" s="996" t="s">
        <v>994</v>
      </c>
      <c r="G834" s="997">
        <v>6750000</v>
      </c>
      <c r="H834" s="74" t="s">
        <v>1338</v>
      </c>
      <c r="I834" s="74" t="s">
        <v>1338</v>
      </c>
      <c r="J834" s="74" t="s">
        <v>1338</v>
      </c>
    </row>
    <row r="835" spans="1:10" hidden="1">
      <c r="A835" s="996">
        <v>3</v>
      </c>
      <c r="B835" s="996" t="s">
        <v>1260</v>
      </c>
      <c r="C835" s="996" t="s">
        <v>873</v>
      </c>
      <c r="D835" s="996" t="s">
        <v>79</v>
      </c>
      <c r="E835" s="996" t="s">
        <v>801</v>
      </c>
      <c r="F835" s="996" t="s">
        <v>403</v>
      </c>
      <c r="G835" s="997">
        <v>0</v>
      </c>
      <c r="H835" s="74" t="s">
        <v>1338</v>
      </c>
      <c r="I835" s="74" t="s">
        <v>1338</v>
      </c>
      <c r="J835" s="74" t="s">
        <v>1338</v>
      </c>
    </row>
    <row r="836" spans="1:10" hidden="1">
      <c r="A836" s="996">
        <v>3</v>
      </c>
      <c r="B836" s="996" t="s">
        <v>1260</v>
      </c>
      <c r="C836" s="996" t="s">
        <v>873</v>
      </c>
      <c r="D836" s="996" t="s">
        <v>82</v>
      </c>
      <c r="E836" s="996" t="s">
        <v>811</v>
      </c>
      <c r="F836" s="996" t="s">
        <v>404</v>
      </c>
      <c r="G836" s="997">
        <v>8040000</v>
      </c>
      <c r="H836" s="74" t="s">
        <v>1338</v>
      </c>
      <c r="I836" s="74" t="s">
        <v>1338</v>
      </c>
      <c r="J836" s="74" t="s">
        <v>1338</v>
      </c>
    </row>
    <row r="837" spans="1:10" hidden="1">
      <c r="A837" s="996">
        <v>3</v>
      </c>
      <c r="B837" s="996" t="s">
        <v>1260</v>
      </c>
      <c r="C837" s="996" t="s">
        <v>873</v>
      </c>
      <c r="D837" s="996" t="s">
        <v>83</v>
      </c>
      <c r="E837" s="996" t="s">
        <v>812</v>
      </c>
      <c r="F837" s="996" t="s">
        <v>405</v>
      </c>
      <c r="G837" s="997">
        <v>435000</v>
      </c>
      <c r="H837" s="74" t="s">
        <v>1338</v>
      </c>
      <c r="I837" s="74" t="s">
        <v>1338</v>
      </c>
      <c r="J837" s="74" t="s">
        <v>1338</v>
      </c>
    </row>
    <row r="838" spans="1:10" hidden="1">
      <c r="A838" s="996">
        <v>3</v>
      </c>
      <c r="B838" s="996" t="s">
        <v>1260</v>
      </c>
      <c r="C838" s="996" t="s">
        <v>873</v>
      </c>
      <c r="D838" s="996" t="s">
        <v>84</v>
      </c>
      <c r="E838" s="996" t="s">
        <v>813</v>
      </c>
      <c r="F838" s="996" t="s">
        <v>406</v>
      </c>
      <c r="G838" s="997">
        <v>1304000</v>
      </c>
      <c r="H838" s="74" t="s">
        <v>1338</v>
      </c>
      <c r="I838" s="74" t="s">
        <v>1338</v>
      </c>
      <c r="J838" s="74" t="s">
        <v>1338</v>
      </c>
    </row>
    <row r="839" spans="1:10" hidden="1">
      <c r="A839" s="996">
        <v>3</v>
      </c>
      <c r="B839" s="996" t="s">
        <v>1260</v>
      </c>
      <c r="C839" s="996" t="s">
        <v>873</v>
      </c>
      <c r="D839" s="996" t="s">
        <v>85</v>
      </c>
      <c r="E839" s="996" t="s">
        <v>814</v>
      </c>
      <c r="F839" s="996" t="s">
        <v>407</v>
      </c>
      <c r="G839" s="997">
        <v>4346000</v>
      </c>
      <c r="H839" s="74" t="s">
        <v>1338</v>
      </c>
      <c r="I839" s="74" t="s">
        <v>1338</v>
      </c>
      <c r="J839" s="74" t="s">
        <v>1338</v>
      </c>
    </row>
    <row r="840" spans="1:10" hidden="1">
      <c r="A840" s="996">
        <v>3</v>
      </c>
      <c r="B840" s="996" t="s">
        <v>1260</v>
      </c>
      <c r="C840" s="996" t="s">
        <v>873</v>
      </c>
      <c r="D840" s="996" t="s">
        <v>86</v>
      </c>
      <c r="E840" s="996" t="s">
        <v>815</v>
      </c>
      <c r="F840" s="996" t="s">
        <v>999</v>
      </c>
      <c r="G840" s="997">
        <v>435000</v>
      </c>
      <c r="H840" s="74" t="s">
        <v>1338</v>
      </c>
      <c r="I840" s="74" t="s">
        <v>1338</v>
      </c>
      <c r="J840" s="74" t="s">
        <v>1338</v>
      </c>
    </row>
    <row r="841" spans="1:10" hidden="1">
      <c r="A841" s="996">
        <v>3</v>
      </c>
      <c r="B841" s="996" t="s">
        <v>1260</v>
      </c>
      <c r="C841" s="996" t="s">
        <v>873</v>
      </c>
      <c r="D841" s="996" t="s">
        <v>425</v>
      </c>
      <c r="E841" s="996" t="s">
        <v>816</v>
      </c>
      <c r="F841" s="996" t="s">
        <v>409</v>
      </c>
      <c r="G841" s="997">
        <v>4711000</v>
      </c>
      <c r="H841" s="74" t="s">
        <v>1338</v>
      </c>
      <c r="I841" s="74" t="s">
        <v>1338</v>
      </c>
      <c r="J841" s="74" t="s">
        <v>1338</v>
      </c>
    </row>
    <row r="842" spans="1:10" hidden="1">
      <c r="A842" s="996">
        <v>3</v>
      </c>
      <c r="B842" s="996" t="s">
        <v>1260</v>
      </c>
      <c r="C842" s="996" t="s">
        <v>873</v>
      </c>
      <c r="D842" s="996" t="s">
        <v>89</v>
      </c>
      <c r="E842" s="996" t="s">
        <v>817</v>
      </c>
      <c r="F842" s="996" t="s">
        <v>409</v>
      </c>
      <c r="G842" s="997">
        <v>2607000</v>
      </c>
      <c r="H842" s="74" t="s">
        <v>1338</v>
      </c>
      <c r="I842" s="74" t="s">
        <v>1338</v>
      </c>
      <c r="J842" s="74" t="s">
        <v>1338</v>
      </c>
    </row>
    <row r="843" spans="1:10" hidden="1">
      <c r="A843" s="996">
        <v>3</v>
      </c>
      <c r="B843" s="996" t="s">
        <v>1260</v>
      </c>
      <c r="C843" s="996" t="s">
        <v>873</v>
      </c>
      <c r="D843" s="996" t="s">
        <v>90</v>
      </c>
      <c r="E843" s="996" t="s">
        <v>818</v>
      </c>
      <c r="F843" s="996" t="s">
        <v>1002</v>
      </c>
      <c r="G843" s="997">
        <v>1304000</v>
      </c>
      <c r="H843" s="74" t="s">
        <v>1338</v>
      </c>
      <c r="I843" s="74" t="s">
        <v>1338</v>
      </c>
      <c r="J843" s="74" t="s">
        <v>1338</v>
      </c>
    </row>
    <row r="844" spans="1:10" hidden="1">
      <c r="A844" s="996">
        <v>3</v>
      </c>
      <c r="B844" s="996" t="s">
        <v>1260</v>
      </c>
      <c r="C844" s="996" t="s">
        <v>874</v>
      </c>
      <c r="D844" s="996" t="s">
        <v>95</v>
      </c>
      <c r="E844" s="996" t="s">
        <v>820</v>
      </c>
      <c r="F844" s="996" t="s">
        <v>1263</v>
      </c>
      <c r="G844" s="997">
        <v>1000000</v>
      </c>
      <c r="H844" s="74" t="s">
        <v>1338</v>
      </c>
      <c r="I844" s="74" t="s">
        <v>1338</v>
      </c>
      <c r="J844" s="74" t="s">
        <v>1338</v>
      </c>
    </row>
    <row r="845" spans="1:10" hidden="1">
      <c r="A845" s="996">
        <v>3</v>
      </c>
      <c r="B845" s="996" t="s">
        <v>1260</v>
      </c>
      <c r="C845" s="996" t="s">
        <v>874</v>
      </c>
      <c r="D845" s="996" t="s">
        <v>286</v>
      </c>
      <c r="E845" s="996" t="s">
        <v>980</v>
      </c>
      <c r="F845" s="996" t="s">
        <v>1264</v>
      </c>
      <c r="G845" s="997">
        <v>850000</v>
      </c>
      <c r="H845" s="74" t="s">
        <v>1338</v>
      </c>
      <c r="I845" s="74" t="s">
        <v>1338</v>
      </c>
      <c r="J845" s="74" t="s">
        <v>1338</v>
      </c>
    </row>
    <row r="846" spans="1:10" hidden="1">
      <c r="A846" s="996">
        <v>3</v>
      </c>
      <c r="B846" s="996" t="s">
        <v>1260</v>
      </c>
      <c r="C846" s="996" t="s">
        <v>874</v>
      </c>
      <c r="D846" s="996" t="s">
        <v>125</v>
      </c>
      <c r="E846" s="996" t="s">
        <v>833</v>
      </c>
      <c r="F846" s="996" t="s">
        <v>1265</v>
      </c>
      <c r="G846" s="997">
        <v>1000000</v>
      </c>
      <c r="H846" s="74" t="s">
        <v>1338</v>
      </c>
      <c r="I846" s="74" t="s">
        <v>1338</v>
      </c>
      <c r="J846" s="74" t="s">
        <v>1338</v>
      </c>
    </row>
    <row r="847" spans="1:10" ht="180" hidden="1">
      <c r="A847" s="996">
        <v>3</v>
      </c>
      <c r="B847" s="996" t="s">
        <v>1260</v>
      </c>
      <c r="C847" s="996" t="s">
        <v>874</v>
      </c>
      <c r="D847" s="996" t="s">
        <v>131</v>
      </c>
      <c r="E847" s="996" t="s">
        <v>835</v>
      </c>
      <c r="F847" s="998" t="s">
        <v>1266</v>
      </c>
      <c r="G847" s="997">
        <v>250000</v>
      </c>
      <c r="H847" s="74" t="s">
        <v>1338</v>
      </c>
      <c r="I847" s="74" t="s">
        <v>1338</v>
      </c>
      <c r="J847" s="74" t="s">
        <v>1338</v>
      </c>
    </row>
    <row r="848" spans="1:10">
      <c r="A848" s="996">
        <v>3</v>
      </c>
      <c r="B848" s="996" t="s">
        <v>1260</v>
      </c>
      <c r="C848" s="996" t="s">
        <v>874</v>
      </c>
      <c r="D848" s="996" t="s">
        <v>133</v>
      </c>
      <c r="E848" s="996" t="s">
        <v>836</v>
      </c>
      <c r="F848" s="996" t="s">
        <v>1267</v>
      </c>
      <c r="G848" s="997">
        <v>55000000</v>
      </c>
      <c r="H848" s="74" t="s">
        <v>1338</v>
      </c>
      <c r="I848" s="74" t="s">
        <v>1338</v>
      </c>
      <c r="J848" s="74" t="s">
        <v>1338</v>
      </c>
    </row>
    <row r="849" spans="1:18" hidden="1">
      <c r="A849" s="996">
        <v>3</v>
      </c>
      <c r="B849" s="996" t="s">
        <v>932</v>
      </c>
      <c r="C849" s="996" t="s">
        <v>874</v>
      </c>
      <c r="D849" s="996" t="s">
        <v>138</v>
      </c>
      <c r="E849" s="996" t="s">
        <v>985</v>
      </c>
      <c r="F849" s="996" t="s">
        <v>1268</v>
      </c>
      <c r="G849" s="997">
        <v>9866000</v>
      </c>
      <c r="H849" s="74" t="s">
        <v>1338</v>
      </c>
      <c r="I849" s="74" t="s">
        <v>1338</v>
      </c>
      <c r="J849" s="74" t="s">
        <v>1338</v>
      </c>
    </row>
    <row r="850" spans="1:18" hidden="1">
      <c r="A850" s="996">
        <v>3</v>
      </c>
      <c r="B850" s="996" t="s">
        <v>1260</v>
      </c>
      <c r="C850" s="996" t="s">
        <v>874</v>
      </c>
      <c r="D850" s="996" t="s">
        <v>138</v>
      </c>
      <c r="E850" s="996" t="s">
        <v>985</v>
      </c>
      <c r="F850" s="996" t="s">
        <v>1269</v>
      </c>
      <c r="G850" s="997">
        <v>1030000</v>
      </c>
      <c r="H850" s="74" t="s">
        <v>1338</v>
      </c>
      <c r="I850" s="74" t="s">
        <v>1338</v>
      </c>
      <c r="J850" s="74" t="s">
        <v>1338</v>
      </c>
    </row>
    <row r="851" spans="1:18" s="915" customFormat="1" hidden="1">
      <c r="A851" s="996">
        <v>3</v>
      </c>
      <c r="B851" s="996" t="s">
        <v>1260</v>
      </c>
      <c r="C851" s="996" t="s">
        <v>874</v>
      </c>
      <c r="D851" s="996" t="s">
        <v>138</v>
      </c>
      <c r="E851" s="996" t="s">
        <v>985</v>
      </c>
      <c r="F851" s="996" t="s">
        <v>1270</v>
      </c>
      <c r="G851" s="997">
        <v>5381000</v>
      </c>
      <c r="H851" s="74" t="s">
        <v>1338</v>
      </c>
      <c r="I851" s="74" t="s">
        <v>1338</v>
      </c>
      <c r="J851" s="74" t="s">
        <v>1338</v>
      </c>
      <c r="M851" s="989"/>
      <c r="R851" s="989"/>
    </row>
    <row r="852" spans="1:18" s="915" customFormat="1" hidden="1">
      <c r="A852" s="996">
        <v>3</v>
      </c>
      <c r="B852" s="996" t="s">
        <v>1260</v>
      </c>
      <c r="C852" s="996" t="s">
        <v>874</v>
      </c>
      <c r="D852" s="996" t="s">
        <v>142</v>
      </c>
      <c r="E852" s="996" t="s">
        <v>839</v>
      </c>
      <c r="F852" s="996" t="s">
        <v>1271</v>
      </c>
      <c r="G852" s="997">
        <v>1230000</v>
      </c>
      <c r="H852" s="74" t="s">
        <v>1338</v>
      </c>
      <c r="I852" s="74" t="s">
        <v>1338</v>
      </c>
      <c r="J852" s="74" t="s">
        <v>1338</v>
      </c>
      <c r="M852" s="989"/>
      <c r="R852" s="989"/>
    </row>
    <row r="853" spans="1:18" s="915" customFormat="1" hidden="1">
      <c r="A853" s="996">
        <v>3</v>
      </c>
      <c r="B853" s="996" t="s">
        <v>1260</v>
      </c>
      <c r="C853" s="996" t="s">
        <v>874</v>
      </c>
      <c r="D853" s="996" t="s">
        <v>153</v>
      </c>
      <c r="E853" s="996" t="s">
        <v>842</v>
      </c>
      <c r="F853" s="996" t="s">
        <v>1272</v>
      </c>
      <c r="G853" s="997">
        <v>1967000</v>
      </c>
      <c r="H853" s="74" t="s">
        <v>1338</v>
      </c>
      <c r="I853" s="74" t="s">
        <v>1338</v>
      </c>
      <c r="J853" s="74" t="s">
        <v>1338</v>
      </c>
      <c r="M853" s="989"/>
      <c r="R853" s="989"/>
    </row>
    <row r="854" spans="1:18" s="915" customFormat="1" hidden="1">
      <c r="A854" s="996">
        <v>3</v>
      </c>
      <c r="B854" s="996" t="s">
        <v>1260</v>
      </c>
      <c r="C854" s="996" t="s">
        <v>891</v>
      </c>
      <c r="D854" s="996" t="s">
        <v>166</v>
      </c>
      <c r="E854" s="996" t="s">
        <v>851</v>
      </c>
      <c r="F854" s="996" t="s">
        <v>1184</v>
      </c>
      <c r="G854" s="997">
        <v>5000572</v>
      </c>
      <c r="H854" s="74" t="s">
        <v>1338</v>
      </c>
      <c r="I854" s="74" t="s">
        <v>1338</v>
      </c>
      <c r="J854" s="74" t="s">
        <v>1338</v>
      </c>
      <c r="M854" s="989"/>
      <c r="R854" s="989"/>
    </row>
    <row r="855" spans="1:18" s="915" customFormat="1" hidden="1">
      <c r="A855" s="996">
        <v>3</v>
      </c>
      <c r="B855" s="996" t="s">
        <v>1260</v>
      </c>
      <c r="C855" s="996" t="s">
        <v>891</v>
      </c>
      <c r="D855" s="996" t="s">
        <v>189</v>
      </c>
      <c r="E855" s="996" t="s">
        <v>855</v>
      </c>
      <c r="F855" s="996" t="s">
        <v>1273</v>
      </c>
      <c r="G855" s="997">
        <v>2042835</v>
      </c>
      <c r="H855" s="74" t="s">
        <v>1338</v>
      </c>
      <c r="I855" s="74" t="s">
        <v>1338</v>
      </c>
      <c r="J855" s="74" t="s">
        <v>1338</v>
      </c>
      <c r="M855" s="989"/>
      <c r="R855" s="989"/>
    </row>
    <row r="856" spans="1:18" s="915" customFormat="1" hidden="1">
      <c r="A856" s="996">
        <v>3</v>
      </c>
      <c r="B856" s="996" t="s">
        <v>1260</v>
      </c>
      <c r="C856" s="996" t="s">
        <v>888</v>
      </c>
      <c r="D856" s="996" t="s">
        <v>294</v>
      </c>
      <c r="E856" s="996" t="s">
        <v>866</v>
      </c>
      <c r="F856" s="996" t="s">
        <v>1274</v>
      </c>
      <c r="G856" s="997">
        <v>49025000</v>
      </c>
      <c r="H856" s="74" t="s">
        <v>1338</v>
      </c>
      <c r="I856" s="74" t="s">
        <v>1338</v>
      </c>
      <c r="J856" s="74" t="s">
        <v>1338</v>
      </c>
      <c r="M856" s="989"/>
      <c r="R856" s="989"/>
    </row>
    <row r="857" spans="1:18" s="915" customFormat="1" hidden="1">
      <c r="A857" s="996">
        <v>3</v>
      </c>
      <c r="B857" s="996" t="s">
        <v>934</v>
      </c>
      <c r="C857" s="996" t="s">
        <v>873</v>
      </c>
      <c r="D857" s="996" t="s">
        <v>67</v>
      </c>
      <c r="E857" s="996" t="s">
        <v>803</v>
      </c>
      <c r="F857" s="996" t="s">
        <v>989</v>
      </c>
      <c r="G857" s="1116">
        <v>106178000</v>
      </c>
      <c r="H857" s="74" t="s">
        <v>1330</v>
      </c>
      <c r="I857" s="74" t="s">
        <v>1340</v>
      </c>
      <c r="J857" s="74" t="s">
        <v>1328</v>
      </c>
      <c r="M857" s="989"/>
      <c r="R857" s="989"/>
    </row>
    <row r="858" spans="1:18" s="915" customFormat="1" hidden="1">
      <c r="A858" s="996">
        <v>3</v>
      </c>
      <c r="B858" s="996" t="s">
        <v>934</v>
      </c>
      <c r="C858" s="996" t="s">
        <v>873</v>
      </c>
      <c r="D858" s="996" t="s">
        <v>75</v>
      </c>
      <c r="E858" s="996" t="s">
        <v>799</v>
      </c>
      <c r="F858" s="996" t="s">
        <v>399</v>
      </c>
      <c r="G858" s="1116">
        <v>6906000</v>
      </c>
      <c r="H858" s="74" t="s">
        <v>1330</v>
      </c>
      <c r="I858" s="74" t="s">
        <v>1340</v>
      </c>
      <c r="J858" s="74" t="s">
        <v>1328</v>
      </c>
      <c r="M858" s="989"/>
      <c r="R858" s="989"/>
    </row>
    <row r="859" spans="1:18" s="915" customFormat="1" hidden="1">
      <c r="A859" s="996">
        <v>3</v>
      </c>
      <c r="B859" s="996" t="s">
        <v>934</v>
      </c>
      <c r="C859" s="996" t="s">
        <v>873</v>
      </c>
      <c r="D859" s="996" t="s">
        <v>76</v>
      </c>
      <c r="E859" s="996" t="s">
        <v>800</v>
      </c>
      <c r="F859" s="996" t="s">
        <v>400</v>
      </c>
      <c r="G859" s="1116">
        <v>13976000</v>
      </c>
      <c r="H859" s="74" t="s">
        <v>1330</v>
      </c>
      <c r="I859" s="74" t="s">
        <v>1340</v>
      </c>
      <c r="J859" s="74" t="s">
        <v>1328</v>
      </c>
      <c r="M859" s="989"/>
      <c r="R859" s="989"/>
    </row>
    <row r="860" spans="1:18" s="915" customFormat="1" hidden="1">
      <c r="A860" s="996">
        <v>3</v>
      </c>
      <c r="B860" s="996" t="s">
        <v>934</v>
      </c>
      <c r="C860" s="996" t="s">
        <v>873</v>
      </c>
      <c r="D860" s="996" t="s">
        <v>77</v>
      </c>
      <c r="E860" s="996" t="s">
        <v>809</v>
      </c>
      <c r="F860" s="996" t="s">
        <v>401</v>
      </c>
      <c r="G860" s="1116">
        <v>11655000</v>
      </c>
      <c r="H860" s="74" t="s">
        <v>1330</v>
      </c>
      <c r="I860" s="74" t="s">
        <v>1340</v>
      </c>
      <c r="J860" s="74" t="s">
        <v>1328</v>
      </c>
      <c r="M860" s="989"/>
      <c r="R860" s="989"/>
    </row>
    <row r="861" spans="1:18" s="915" customFormat="1" hidden="1">
      <c r="A861" s="996">
        <v>3</v>
      </c>
      <c r="B861" s="996" t="s">
        <v>934</v>
      </c>
      <c r="C861" s="996" t="s">
        <v>873</v>
      </c>
      <c r="D861" s="996" t="s">
        <v>78</v>
      </c>
      <c r="E861" s="996" t="s">
        <v>810</v>
      </c>
      <c r="F861" s="996" t="s">
        <v>402</v>
      </c>
      <c r="G861" s="1116">
        <v>10976000</v>
      </c>
      <c r="H861" s="74" t="s">
        <v>1330</v>
      </c>
      <c r="I861" s="74" t="s">
        <v>1340</v>
      </c>
      <c r="J861" s="74" t="s">
        <v>1328</v>
      </c>
      <c r="M861" s="989"/>
      <c r="R861" s="989"/>
    </row>
    <row r="862" spans="1:18" s="915" customFormat="1" hidden="1">
      <c r="A862" s="996">
        <v>3</v>
      </c>
      <c r="B862" s="996" t="s">
        <v>934</v>
      </c>
      <c r="C862" s="996" t="s">
        <v>873</v>
      </c>
      <c r="D862" s="996" t="s">
        <v>79</v>
      </c>
      <c r="E862" s="996" t="s">
        <v>801</v>
      </c>
      <c r="F862" s="996" t="s">
        <v>403</v>
      </c>
      <c r="G862" s="1116">
        <v>2046000</v>
      </c>
      <c r="H862" s="74" t="s">
        <v>1330</v>
      </c>
      <c r="I862" s="74" t="s">
        <v>1340</v>
      </c>
      <c r="J862" s="74" t="s">
        <v>1328</v>
      </c>
      <c r="M862" s="989"/>
      <c r="R862" s="989"/>
    </row>
    <row r="863" spans="1:18" s="915" customFormat="1" hidden="1">
      <c r="A863" s="996">
        <v>3</v>
      </c>
      <c r="B863" s="996" t="s">
        <v>934</v>
      </c>
      <c r="C863" s="996" t="s">
        <v>873</v>
      </c>
      <c r="D863" s="996" t="s">
        <v>82</v>
      </c>
      <c r="E863" s="996" t="s">
        <v>811</v>
      </c>
      <c r="F863" s="996" t="s">
        <v>404</v>
      </c>
      <c r="G863" s="1116">
        <v>12958000</v>
      </c>
      <c r="H863" s="74" t="s">
        <v>1330</v>
      </c>
      <c r="I863" s="74" t="s">
        <v>1340</v>
      </c>
      <c r="J863" s="74" t="s">
        <v>1328</v>
      </c>
      <c r="M863" s="989"/>
      <c r="R863" s="989"/>
    </row>
    <row r="864" spans="1:18" s="915" customFormat="1" hidden="1">
      <c r="A864" s="996">
        <v>3</v>
      </c>
      <c r="B864" s="996" t="s">
        <v>934</v>
      </c>
      <c r="C864" s="996" t="s">
        <v>873</v>
      </c>
      <c r="D864" s="996" t="s">
        <v>83</v>
      </c>
      <c r="E864" s="996" t="s">
        <v>812</v>
      </c>
      <c r="F864" s="996" t="s">
        <v>405</v>
      </c>
      <c r="G864" s="1116">
        <v>700000</v>
      </c>
      <c r="H864" s="74" t="s">
        <v>1330</v>
      </c>
      <c r="I864" s="74" t="s">
        <v>1340</v>
      </c>
      <c r="J864" s="74" t="s">
        <v>1328</v>
      </c>
      <c r="M864" s="989"/>
      <c r="R864" s="989"/>
    </row>
    <row r="865" spans="1:10" hidden="1">
      <c r="A865" s="996">
        <v>3</v>
      </c>
      <c r="B865" s="996" t="s">
        <v>934</v>
      </c>
      <c r="C865" s="996" t="s">
        <v>873</v>
      </c>
      <c r="D865" s="996" t="s">
        <v>84</v>
      </c>
      <c r="E865" s="996" t="s">
        <v>813</v>
      </c>
      <c r="F865" s="996" t="s">
        <v>930</v>
      </c>
      <c r="G865" s="1116">
        <v>2101000</v>
      </c>
      <c r="H865" s="74" t="s">
        <v>1330</v>
      </c>
      <c r="I865" s="74" t="s">
        <v>1340</v>
      </c>
      <c r="J865" s="74" t="s">
        <v>1328</v>
      </c>
    </row>
    <row r="866" spans="1:10" hidden="1">
      <c r="A866" s="996">
        <v>3</v>
      </c>
      <c r="B866" s="996" t="s">
        <v>934</v>
      </c>
      <c r="C866" s="996" t="s">
        <v>873</v>
      </c>
      <c r="D866" s="996" t="s">
        <v>85</v>
      </c>
      <c r="E866" s="996" t="s">
        <v>814</v>
      </c>
      <c r="F866" s="996" t="s">
        <v>407</v>
      </c>
      <c r="G866" s="1116">
        <v>7004000</v>
      </c>
      <c r="H866" s="74" t="s">
        <v>1330</v>
      </c>
      <c r="I866" s="74" t="s">
        <v>1340</v>
      </c>
      <c r="J866" s="74" t="s">
        <v>1328</v>
      </c>
    </row>
    <row r="867" spans="1:10" hidden="1">
      <c r="A867" s="996">
        <v>3</v>
      </c>
      <c r="B867" s="996" t="s">
        <v>934</v>
      </c>
      <c r="C867" s="996" t="s">
        <v>873</v>
      </c>
      <c r="D867" s="996" t="s">
        <v>86</v>
      </c>
      <c r="E867" s="996" t="s">
        <v>815</v>
      </c>
      <c r="F867" s="996" t="s">
        <v>408</v>
      </c>
      <c r="G867" s="1116">
        <v>700000</v>
      </c>
      <c r="H867" s="74" t="s">
        <v>1330</v>
      </c>
      <c r="I867" s="74" t="s">
        <v>1340</v>
      </c>
      <c r="J867" s="74" t="s">
        <v>1328</v>
      </c>
    </row>
    <row r="868" spans="1:10" hidden="1">
      <c r="A868" s="996">
        <v>3</v>
      </c>
      <c r="B868" s="996" t="s">
        <v>934</v>
      </c>
      <c r="C868" s="996" t="s">
        <v>873</v>
      </c>
      <c r="D868" s="996" t="s">
        <v>425</v>
      </c>
      <c r="E868" s="996" t="s">
        <v>816</v>
      </c>
      <c r="F868" s="996" t="s">
        <v>945</v>
      </c>
      <c r="G868" s="1116">
        <v>7592000</v>
      </c>
      <c r="H868" s="74" t="s">
        <v>1330</v>
      </c>
      <c r="I868" s="74" t="s">
        <v>1340</v>
      </c>
      <c r="J868" s="74" t="s">
        <v>1328</v>
      </c>
    </row>
    <row r="869" spans="1:10" hidden="1">
      <c r="A869" s="996">
        <v>3</v>
      </c>
      <c r="B869" s="996" t="s">
        <v>934</v>
      </c>
      <c r="C869" s="996" t="s">
        <v>873</v>
      </c>
      <c r="D869" s="996" t="s">
        <v>89</v>
      </c>
      <c r="E869" s="996" t="s">
        <v>817</v>
      </c>
      <c r="F869" s="996" t="s">
        <v>409</v>
      </c>
      <c r="G869" s="1116">
        <v>4203000</v>
      </c>
      <c r="H869" s="74" t="s">
        <v>1330</v>
      </c>
      <c r="I869" s="74" t="s">
        <v>1340</v>
      </c>
      <c r="J869" s="74" t="s">
        <v>1328</v>
      </c>
    </row>
    <row r="870" spans="1:10" hidden="1">
      <c r="A870" s="996">
        <v>3</v>
      </c>
      <c r="B870" s="996" t="s">
        <v>934</v>
      </c>
      <c r="C870" s="996" t="s">
        <v>873</v>
      </c>
      <c r="D870" s="996" t="s">
        <v>90</v>
      </c>
      <c r="E870" s="996" t="s">
        <v>818</v>
      </c>
      <c r="F870" s="996" t="s">
        <v>714</v>
      </c>
      <c r="G870" s="1116">
        <v>2101000</v>
      </c>
      <c r="H870" s="74" t="s">
        <v>1330</v>
      </c>
      <c r="I870" s="74" t="s">
        <v>1340</v>
      </c>
      <c r="J870" s="74" t="s">
        <v>1328</v>
      </c>
    </row>
    <row r="871" spans="1:10" hidden="1">
      <c r="A871" s="996">
        <v>3</v>
      </c>
      <c r="B871" s="996" t="s">
        <v>934</v>
      </c>
      <c r="C871" s="996" t="s">
        <v>874</v>
      </c>
      <c r="D871" s="996" t="s">
        <v>138</v>
      </c>
      <c r="E871" s="996" t="s">
        <v>985</v>
      </c>
      <c r="F871" s="996" t="s">
        <v>1275</v>
      </c>
      <c r="G871" s="997">
        <v>1305000</v>
      </c>
      <c r="H871" s="74" t="s">
        <v>448</v>
      </c>
      <c r="I871" s="74" t="s">
        <v>1339</v>
      </c>
      <c r="J871" s="74" t="s">
        <v>1328</v>
      </c>
    </row>
    <row r="872" spans="1:10" hidden="1">
      <c r="A872" s="996">
        <v>3</v>
      </c>
      <c r="B872" s="996" t="s">
        <v>1276</v>
      </c>
      <c r="C872" s="996" t="s">
        <v>873</v>
      </c>
      <c r="D872" s="996" t="s">
        <v>67</v>
      </c>
      <c r="E872" s="996" t="s">
        <v>803</v>
      </c>
      <c r="F872" s="996" t="s">
        <v>991</v>
      </c>
      <c r="G872" s="1116">
        <v>115635000</v>
      </c>
      <c r="H872" s="74" t="s">
        <v>1330</v>
      </c>
      <c r="I872" s="74" t="s">
        <v>1340</v>
      </c>
      <c r="J872" s="74" t="s">
        <v>1328</v>
      </c>
    </row>
    <row r="873" spans="1:10" hidden="1">
      <c r="A873" s="996">
        <v>3</v>
      </c>
      <c r="B873" s="996" t="s">
        <v>1276</v>
      </c>
      <c r="C873" s="996" t="s">
        <v>873</v>
      </c>
      <c r="D873" s="996" t="s">
        <v>71</v>
      </c>
      <c r="E873" s="996" t="s">
        <v>806</v>
      </c>
      <c r="F873" s="996" t="s">
        <v>1277</v>
      </c>
      <c r="G873" s="1116">
        <v>5085000</v>
      </c>
      <c r="H873" s="74" t="s">
        <v>1330</v>
      </c>
      <c r="I873" s="74" t="s">
        <v>1340</v>
      </c>
      <c r="J873" s="74" t="s">
        <v>1328</v>
      </c>
    </row>
    <row r="874" spans="1:10" hidden="1">
      <c r="A874" s="996">
        <v>3</v>
      </c>
      <c r="B874" s="996" t="s">
        <v>1276</v>
      </c>
      <c r="C874" s="996" t="s">
        <v>873</v>
      </c>
      <c r="D874" s="996" t="s">
        <v>75</v>
      </c>
      <c r="E874" s="996" t="s">
        <v>799</v>
      </c>
      <c r="F874" s="996" t="s">
        <v>399</v>
      </c>
      <c r="G874" s="1116">
        <v>4748000</v>
      </c>
      <c r="H874" s="74" t="s">
        <v>1330</v>
      </c>
      <c r="I874" s="74" t="s">
        <v>1340</v>
      </c>
      <c r="J874" s="74" t="s">
        <v>1328</v>
      </c>
    </row>
    <row r="875" spans="1:10" hidden="1">
      <c r="A875" s="996">
        <v>3</v>
      </c>
      <c r="B875" s="996" t="s">
        <v>1276</v>
      </c>
      <c r="C875" s="996" t="s">
        <v>873</v>
      </c>
      <c r="D875" s="996" t="s">
        <v>76</v>
      </c>
      <c r="E875" s="996" t="s">
        <v>800</v>
      </c>
      <c r="F875" s="996" t="s">
        <v>400</v>
      </c>
      <c r="G875" s="1116">
        <v>5065000</v>
      </c>
      <c r="H875" s="74" t="s">
        <v>1330</v>
      </c>
      <c r="I875" s="74" t="s">
        <v>1340</v>
      </c>
      <c r="J875" s="74" t="s">
        <v>1328</v>
      </c>
    </row>
    <row r="876" spans="1:10" hidden="1">
      <c r="A876" s="996">
        <v>3</v>
      </c>
      <c r="B876" s="996" t="s">
        <v>1276</v>
      </c>
      <c r="C876" s="996" t="s">
        <v>873</v>
      </c>
      <c r="D876" s="996" t="s">
        <v>77</v>
      </c>
      <c r="E876" s="996" t="s">
        <v>809</v>
      </c>
      <c r="F876" s="996" t="s">
        <v>401</v>
      </c>
      <c r="G876" s="1116">
        <v>11900000</v>
      </c>
      <c r="H876" s="74" t="s">
        <v>1330</v>
      </c>
      <c r="I876" s="74" t="s">
        <v>1340</v>
      </c>
      <c r="J876" s="74" t="s">
        <v>1328</v>
      </c>
    </row>
    <row r="877" spans="1:10" hidden="1">
      <c r="A877" s="996">
        <v>3</v>
      </c>
      <c r="B877" s="996" t="s">
        <v>1276</v>
      </c>
      <c r="C877" s="996" t="s">
        <v>873</v>
      </c>
      <c r="D877" s="996" t="s">
        <v>78</v>
      </c>
      <c r="E877" s="996" t="s">
        <v>810</v>
      </c>
      <c r="F877" s="996" t="s">
        <v>402</v>
      </c>
      <c r="G877" s="1116">
        <v>10980000</v>
      </c>
      <c r="H877" s="74" t="s">
        <v>1330</v>
      </c>
      <c r="I877" s="74" t="s">
        <v>1340</v>
      </c>
      <c r="J877" s="74" t="s">
        <v>1328</v>
      </c>
    </row>
    <row r="878" spans="1:10" hidden="1">
      <c r="A878" s="996">
        <v>3</v>
      </c>
      <c r="B878" s="996" t="s">
        <v>1276</v>
      </c>
      <c r="C878" s="996" t="s">
        <v>873</v>
      </c>
      <c r="D878" s="996" t="s">
        <v>79</v>
      </c>
      <c r="E878" s="996" t="s">
        <v>801</v>
      </c>
      <c r="F878" s="996" t="s">
        <v>403</v>
      </c>
      <c r="G878" s="1116">
        <v>1282000</v>
      </c>
      <c r="H878" s="74" t="s">
        <v>1330</v>
      </c>
      <c r="I878" s="74" t="s">
        <v>1340</v>
      </c>
      <c r="J878" s="74" t="s">
        <v>1328</v>
      </c>
    </row>
    <row r="879" spans="1:10" hidden="1">
      <c r="A879" s="996">
        <v>3</v>
      </c>
      <c r="B879" s="996" t="s">
        <v>1276</v>
      </c>
      <c r="C879" s="996" t="s">
        <v>873</v>
      </c>
      <c r="D879" s="996" t="s">
        <v>82</v>
      </c>
      <c r="E879" s="996" t="s">
        <v>811</v>
      </c>
      <c r="F879" s="996" t="s">
        <v>404</v>
      </c>
      <c r="G879" s="1116">
        <v>13209000</v>
      </c>
      <c r="H879" s="74" t="s">
        <v>1330</v>
      </c>
      <c r="I879" s="74" t="s">
        <v>1340</v>
      </c>
      <c r="J879" s="74" t="s">
        <v>1328</v>
      </c>
    </row>
    <row r="880" spans="1:10" hidden="1">
      <c r="A880" s="996">
        <v>3</v>
      </c>
      <c r="B880" s="996" t="s">
        <v>1276</v>
      </c>
      <c r="C880" s="996" t="s">
        <v>873</v>
      </c>
      <c r="D880" s="996" t="s">
        <v>83</v>
      </c>
      <c r="E880" s="996" t="s">
        <v>812</v>
      </c>
      <c r="F880" s="996" t="s">
        <v>405</v>
      </c>
      <c r="G880" s="1116">
        <v>714000</v>
      </c>
      <c r="H880" s="74" t="s">
        <v>1330</v>
      </c>
      <c r="I880" s="74" t="s">
        <v>1340</v>
      </c>
      <c r="J880" s="74" t="s">
        <v>1328</v>
      </c>
    </row>
    <row r="881" spans="1:18" hidden="1">
      <c r="A881" s="996">
        <v>3</v>
      </c>
      <c r="B881" s="996" t="s">
        <v>1276</v>
      </c>
      <c r="C881" s="996" t="s">
        <v>873</v>
      </c>
      <c r="D881" s="996" t="s">
        <v>84</v>
      </c>
      <c r="E881" s="996" t="s">
        <v>813</v>
      </c>
      <c r="F881" s="996" t="s">
        <v>406</v>
      </c>
      <c r="G881" s="1116">
        <v>2142000</v>
      </c>
      <c r="H881" s="74" t="s">
        <v>1330</v>
      </c>
      <c r="I881" s="74" t="s">
        <v>1340</v>
      </c>
      <c r="J881" s="74" t="s">
        <v>1328</v>
      </c>
    </row>
    <row r="882" spans="1:18" hidden="1">
      <c r="A882" s="996">
        <v>3</v>
      </c>
      <c r="B882" s="996" t="s">
        <v>1276</v>
      </c>
      <c r="C882" s="996" t="s">
        <v>873</v>
      </c>
      <c r="D882" s="996" t="s">
        <v>85</v>
      </c>
      <c r="E882" s="996" t="s">
        <v>814</v>
      </c>
      <c r="F882" s="996" t="s">
        <v>407</v>
      </c>
      <c r="G882" s="1116">
        <v>7140000</v>
      </c>
      <c r="H882" s="74" t="s">
        <v>1330</v>
      </c>
      <c r="I882" s="74" t="s">
        <v>1340</v>
      </c>
      <c r="J882" s="74" t="s">
        <v>1328</v>
      </c>
    </row>
    <row r="883" spans="1:18" s="915" customFormat="1" hidden="1">
      <c r="A883" s="996">
        <v>3</v>
      </c>
      <c r="B883" s="996" t="s">
        <v>1276</v>
      </c>
      <c r="C883" s="996" t="s">
        <v>873</v>
      </c>
      <c r="D883" s="996" t="s">
        <v>86</v>
      </c>
      <c r="E883" s="996" t="s">
        <v>815</v>
      </c>
      <c r="F883" s="996" t="s">
        <v>408</v>
      </c>
      <c r="G883" s="1116">
        <v>714000</v>
      </c>
      <c r="H883" s="74" t="s">
        <v>1330</v>
      </c>
      <c r="I883" s="74" t="s">
        <v>1340</v>
      </c>
      <c r="J883" s="74" t="s">
        <v>1328</v>
      </c>
      <c r="M883" s="989"/>
      <c r="R883" s="989"/>
    </row>
    <row r="884" spans="1:18" s="915" customFormat="1" hidden="1">
      <c r="A884" s="996">
        <v>3</v>
      </c>
      <c r="B884" s="996" t="s">
        <v>1276</v>
      </c>
      <c r="C884" s="996" t="s">
        <v>873</v>
      </c>
      <c r="D884" s="996" t="s">
        <v>425</v>
      </c>
      <c r="E884" s="996" t="s">
        <v>816</v>
      </c>
      <c r="F884" s="996" t="s">
        <v>409</v>
      </c>
      <c r="G884" s="1116">
        <v>7740000</v>
      </c>
      <c r="H884" s="74" t="s">
        <v>1330</v>
      </c>
      <c r="I884" s="74" t="s">
        <v>1340</v>
      </c>
      <c r="J884" s="74" t="s">
        <v>1328</v>
      </c>
      <c r="M884" s="989"/>
      <c r="R884" s="989"/>
    </row>
    <row r="885" spans="1:18" s="915" customFormat="1" hidden="1">
      <c r="A885" s="996">
        <v>3</v>
      </c>
      <c r="B885" s="996" t="s">
        <v>1276</v>
      </c>
      <c r="C885" s="996" t="s">
        <v>873</v>
      </c>
      <c r="D885" s="996" t="s">
        <v>89</v>
      </c>
      <c r="E885" s="996" t="s">
        <v>817</v>
      </c>
      <c r="F885" s="996" t="s">
        <v>409</v>
      </c>
      <c r="G885" s="1116">
        <v>4284000</v>
      </c>
      <c r="H885" s="74" t="s">
        <v>1330</v>
      </c>
      <c r="I885" s="74" t="s">
        <v>1340</v>
      </c>
      <c r="J885" s="74" t="s">
        <v>1328</v>
      </c>
      <c r="M885" s="989"/>
      <c r="R885" s="989"/>
    </row>
    <row r="886" spans="1:18" s="915" customFormat="1" hidden="1">
      <c r="A886" s="996">
        <v>3</v>
      </c>
      <c r="B886" s="996" t="s">
        <v>1276</v>
      </c>
      <c r="C886" s="996" t="s">
        <v>873</v>
      </c>
      <c r="D886" s="996" t="s">
        <v>90</v>
      </c>
      <c r="E886" s="996" t="s">
        <v>818</v>
      </c>
      <c r="F886" s="996" t="s">
        <v>714</v>
      </c>
      <c r="G886" s="1116">
        <v>2142000</v>
      </c>
      <c r="H886" s="74" t="s">
        <v>1330</v>
      </c>
      <c r="I886" s="74" t="s">
        <v>1340</v>
      </c>
      <c r="J886" s="74" t="s">
        <v>1328</v>
      </c>
      <c r="M886" s="989"/>
      <c r="R886" s="989"/>
    </row>
    <row r="887" spans="1:18" s="915" customFormat="1" hidden="1">
      <c r="A887" s="996">
        <v>3</v>
      </c>
      <c r="B887" s="996" t="s">
        <v>1276</v>
      </c>
      <c r="C887" s="996" t="s">
        <v>874</v>
      </c>
      <c r="D887" s="996" t="s">
        <v>286</v>
      </c>
      <c r="E887" s="996" t="s">
        <v>980</v>
      </c>
      <c r="F887" s="996" t="s">
        <v>1278</v>
      </c>
      <c r="G887" s="997">
        <v>1075000</v>
      </c>
      <c r="H887" s="74" t="s">
        <v>448</v>
      </c>
      <c r="I887" s="74" t="s">
        <v>1339</v>
      </c>
      <c r="J887" s="74" t="s">
        <v>1328</v>
      </c>
      <c r="M887" s="989"/>
      <c r="R887" s="989"/>
    </row>
    <row r="888" spans="1:18" s="915" customFormat="1" hidden="1">
      <c r="A888" s="996">
        <v>3</v>
      </c>
      <c r="B888" s="996" t="s">
        <v>1276</v>
      </c>
      <c r="C888" s="996" t="s">
        <v>874</v>
      </c>
      <c r="D888" s="996" t="s">
        <v>131</v>
      </c>
      <c r="E888" s="996" t="s">
        <v>835</v>
      </c>
      <c r="F888" s="996" t="s">
        <v>1266</v>
      </c>
      <c r="G888" s="997">
        <v>500000</v>
      </c>
      <c r="H888" s="74" t="s">
        <v>448</v>
      </c>
      <c r="I888" s="74" t="s">
        <v>1339</v>
      </c>
      <c r="J888" s="74" t="s">
        <v>1328</v>
      </c>
      <c r="M888" s="989"/>
      <c r="R888" s="989"/>
    </row>
    <row r="889" spans="1:18" s="915" customFormat="1">
      <c r="A889" s="996">
        <v>3</v>
      </c>
      <c r="B889" s="996" t="s">
        <v>1276</v>
      </c>
      <c r="C889" s="996" t="s">
        <v>874</v>
      </c>
      <c r="D889" s="996" t="s">
        <v>133</v>
      </c>
      <c r="E889" s="996" t="s">
        <v>836</v>
      </c>
      <c r="F889" s="996" t="s">
        <v>1279</v>
      </c>
      <c r="G889" s="997">
        <v>27500000</v>
      </c>
      <c r="H889" s="74" t="s">
        <v>448</v>
      </c>
      <c r="I889" s="74" t="s">
        <v>1339</v>
      </c>
      <c r="J889" s="74" t="s">
        <v>1328</v>
      </c>
      <c r="M889" s="989"/>
      <c r="R889" s="989"/>
    </row>
    <row r="890" spans="1:18" s="915" customFormat="1" hidden="1">
      <c r="A890" s="996">
        <v>3</v>
      </c>
      <c r="B890" s="996" t="s">
        <v>1276</v>
      </c>
      <c r="C890" s="996" t="s">
        <v>874</v>
      </c>
      <c r="D890" s="996" t="s">
        <v>138</v>
      </c>
      <c r="E890" s="996" t="s">
        <v>985</v>
      </c>
      <c r="F890" s="996" t="s">
        <v>1280</v>
      </c>
      <c r="G890" s="997">
        <v>1330000</v>
      </c>
      <c r="H890" s="74" t="s">
        <v>448</v>
      </c>
      <c r="I890" s="74" t="s">
        <v>1339</v>
      </c>
      <c r="J890" s="74" t="s">
        <v>1328</v>
      </c>
      <c r="M890" s="989"/>
      <c r="R890" s="989"/>
    </row>
    <row r="891" spans="1:18" s="915" customFormat="1" hidden="1">
      <c r="A891" s="996">
        <v>3</v>
      </c>
      <c r="B891" s="996" t="s">
        <v>1276</v>
      </c>
      <c r="C891" s="996" t="s">
        <v>874</v>
      </c>
      <c r="D891" s="996" t="s">
        <v>138</v>
      </c>
      <c r="E891" s="996" t="s">
        <v>985</v>
      </c>
      <c r="F891" s="996" t="s">
        <v>1281</v>
      </c>
      <c r="G891" s="997">
        <v>897000</v>
      </c>
      <c r="H891" s="74" t="s">
        <v>448</v>
      </c>
      <c r="I891" s="74" t="s">
        <v>1339</v>
      </c>
      <c r="J891" s="74" t="s">
        <v>1328</v>
      </c>
      <c r="M891" s="989"/>
      <c r="R891" s="989"/>
    </row>
    <row r="892" spans="1:18" s="915" customFormat="1" hidden="1">
      <c r="A892" s="996">
        <v>3</v>
      </c>
      <c r="B892" s="996" t="s">
        <v>1276</v>
      </c>
      <c r="C892" s="996" t="s">
        <v>874</v>
      </c>
      <c r="D892" s="996" t="s">
        <v>153</v>
      </c>
      <c r="E892" s="996" t="s">
        <v>842</v>
      </c>
      <c r="F892" s="996" t="s">
        <v>1282</v>
      </c>
      <c r="G892" s="997">
        <v>1667000</v>
      </c>
      <c r="H892" s="74" t="s">
        <v>448</v>
      </c>
      <c r="I892" s="74" t="s">
        <v>1339</v>
      </c>
      <c r="J892" s="74" t="s">
        <v>1328</v>
      </c>
      <c r="M892" s="989"/>
      <c r="R892" s="989"/>
    </row>
    <row r="893" spans="1:18" s="915" customFormat="1" hidden="1">
      <c r="A893" s="996">
        <v>3</v>
      </c>
      <c r="B893" s="996" t="s">
        <v>1276</v>
      </c>
      <c r="C893" s="996" t="s">
        <v>891</v>
      </c>
      <c r="D893" s="996" t="s">
        <v>166</v>
      </c>
      <c r="E893" s="996" t="s">
        <v>851</v>
      </c>
      <c r="F893" s="996" t="s">
        <v>1184</v>
      </c>
      <c r="G893" s="997">
        <v>3000632</v>
      </c>
      <c r="H893" s="74" t="s">
        <v>448</v>
      </c>
      <c r="I893" s="74" t="s">
        <v>1339</v>
      </c>
      <c r="J893" s="74" t="s">
        <v>1328</v>
      </c>
      <c r="M893" s="989"/>
      <c r="R893" s="989"/>
    </row>
    <row r="894" spans="1:18" s="915" customFormat="1" hidden="1">
      <c r="A894" s="996">
        <v>3</v>
      </c>
      <c r="B894" s="996" t="s">
        <v>1276</v>
      </c>
      <c r="C894" s="996" t="s">
        <v>891</v>
      </c>
      <c r="D894" s="996" t="s">
        <v>189</v>
      </c>
      <c r="E894" s="996" t="s">
        <v>855</v>
      </c>
      <c r="F894" s="996" t="s">
        <v>1273</v>
      </c>
      <c r="G894" s="997">
        <v>280525</v>
      </c>
      <c r="H894" s="74" t="s">
        <v>448</v>
      </c>
      <c r="I894" s="74" t="s">
        <v>1339</v>
      </c>
      <c r="J894" s="74" t="s">
        <v>1328</v>
      </c>
      <c r="M894" s="989"/>
      <c r="R894" s="989"/>
    </row>
    <row r="895" spans="1:18" s="915" customFormat="1" hidden="1">
      <c r="A895" s="996">
        <v>3</v>
      </c>
      <c r="B895" s="996" t="s">
        <v>1276</v>
      </c>
      <c r="C895" s="996" t="s">
        <v>895</v>
      </c>
      <c r="D895" s="996" t="s">
        <v>212</v>
      </c>
      <c r="E895" s="996" t="s">
        <v>864</v>
      </c>
      <c r="F895" s="996" t="s">
        <v>1283</v>
      </c>
      <c r="G895" s="997">
        <v>1108593.75</v>
      </c>
      <c r="H895" s="74" t="s">
        <v>448</v>
      </c>
      <c r="I895" s="74" t="s">
        <v>1339</v>
      </c>
      <c r="J895" s="74" t="s">
        <v>1328</v>
      </c>
      <c r="M895" s="989"/>
      <c r="R895" s="989"/>
    </row>
    <row r="896" spans="1:18" s="915" customFormat="1" hidden="1">
      <c r="A896" s="996">
        <v>3</v>
      </c>
      <c r="B896" s="996" t="s">
        <v>1276</v>
      </c>
      <c r="C896" s="996" t="s">
        <v>888</v>
      </c>
      <c r="D896" s="996" t="s">
        <v>294</v>
      </c>
      <c r="E896" s="996" t="s">
        <v>866</v>
      </c>
      <c r="F896" s="996" t="s">
        <v>1202</v>
      </c>
      <c r="G896" s="997">
        <v>1400000</v>
      </c>
      <c r="H896" s="74" t="s">
        <v>448</v>
      </c>
      <c r="I896" s="74" t="s">
        <v>1339</v>
      </c>
      <c r="J896" s="74" t="s">
        <v>1328</v>
      </c>
      <c r="M896" s="989"/>
      <c r="R896" s="989"/>
    </row>
    <row r="897" spans="1:18" s="915" customFormat="1" hidden="1">
      <c r="A897" s="996">
        <v>3</v>
      </c>
      <c r="B897" s="996" t="s">
        <v>1284</v>
      </c>
      <c r="C897" s="996" t="s">
        <v>873</v>
      </c>
      <c r="D897" s="996" t="s">
        <v>68</v>
      </c>
      <c r="E897" s="996" t="s">
        <v>804</v>
      </c>
      <c r="F897" s="996" t="s">
        <v>1261</v>
      </c>
      <c r="G897" s="997">
        <v>13367000</v>
      </c>
      <c r="H897" s="74" t="s">
        <v>1338</v>
      </c>
      <c r="I897" s="74" t="s">
        <v>1338</v>
      </c>
      <c r="J897" s="74" t="s">
        <v>1338</v>
      </c>
      <c r="M897" s="989"/>
      <c r="R897" s="989"/>
    </row>
    <row r="898" spans="1:18" s="915" customFormat="1" hidden="1">
      <c r="A898" s="996">
        <v>3</v>
      </c>
      <c r="B898" s="996" t="s">
        <v>1284</v>
      </c>
      <c r="C898" s="996" t="s">
        <v>873</v>
      </c>
      <c r="D898" s="996" t="s">
        <v>71</v>
      </c>
      <c r="E898" s="996" t="s">
        <v>806</v>
      </c>
      <c r="F898" s="996" t="s">
        <v>1277</v>
      </c>
      <c r="G898" s="997">
        <v>5100000</v>
      </c>
      <c r="H898" s="74" t="s">
        <v>1338</v>
      </c>
      <c r="I898" s="74" t="s">
        <v>1338</v>
      </c>
      <c r="J898" s="74" t="s">
        <v>1338</v>
      </c>
      <c r="M898" s="989"/>
      <c r="R898" s="989"/>
    </row>
    <row r="899" spans="1:18" hidden="1">
      <c r="A899" s="996">
        <v>3</v>
      </c>
      <c r="B899" s="996" t="s">
        <v>1284</v>
      </c>
      <c r="C899" s="996" t="s">
        <v>873</v>
      </c>
      <c r="D899" s="996" t="s">
        <v>75</v>
      </c>
      <c r="E899" s="996" t="s">
        <v>799</v>
      </c>
      <c r="F899" s="996" t="s">
        <v>399</v>
      </c>
      <c r="G899" s="997">
        <v>4416000</v>
      </c>
      <c r="H899" s="74" t="s">
        <v>1338</v>
      </c>
      <c r="I899" s="74" t="s">
        <v>1338</v>
      </c>
      <c r="J899" s="74" t="s">
        <v>1338</v>
      </c>
    </row>
    <row r="900" spans="1:18" hidden="1">
      <c r="A900" s="996">
        <v>3</v>
      </c>
      <c r="B900" s="996" t="s">
        <v>1284</v>
      </c>
      <c r="C900" s="996" t="s">
        <v>873</v>
      </c>
      <c r="D900" s="996" t="s">
        <v>76</v>
      </c>
      <c r="E900" s="996" t="s">
        <v>800</v>
      </c>
      <c r="F900" s="996" t="s">
        <v>400</v>
      </c>
      <c r="G900" s="997">
        <v>5563000</v>
      </c>
      <c r="H900" s="74" t="s">
        <v>1338</v>
      </c>
      <c r="I900" s="74" t="s">
        <v>1338</v>
      </c>
      <c r="J900" s="74" t="s">
        <v>1338</v>
      </c>
    </row>
    <row r="901" spans="1:18" hidden="1">
      <c r="A901" s="996">
        <v>3</v>
      </c>
      <c r="B901" s="996" t="s">
        <v>1284</v>
      </c>
      <c r="C901" s="996" t="s">
        <v>873</v>
      </c>
      <c r="D901" s="996" t="s">
        <v>77</v>
      </c>
      <c r="E901" s="996" t="s">
        <v>809</v>
      </c>
      <c r="F901" s="996" t="s">
        <v>401</v>
      </c>
      <c r="G901" s="997">
        <v>2756000</v>
      </c>
      <c r="H901" s="74" t="s">
        <v>1338</v>
      </c>
      <c r="I901" s="74" t="s">
        <v>1338</v>
      </c>
      <c r="J901" s="74" t="s">
        <v>1338</v>
      </c>
    </row>
    <row r="902" spans="1:18" hidden="1">
      <c r="A902" s="996">
        <v>3</v>
      </c>
      <c r="B902" s="996" t="s">
        <v>1284</v>
      </c>
      <c r="C902" s="996" t="s">
        <v>873</v>
      </c>
      <c r="D902" s="996" t="s">
        <v>78</v>
      </c>
      <c r="E902" s="996" t="s">
        <v>810</v>
      </c>
      <c r="F902" s="996" t="s">
        <v>402</v>
      </c>
      <c r="G902" s="997">
        <v>2923000</v>
      </c>
      <c r="H902" s="74" t="s">
        <v>1338</v>
      </c>
      <c r="I902" s="74" t="s">
        <v>1338</v>
      </c>
      <c r="J902" s="74" t="s">
        <v>1338</v>
      </c>
    </row>
    <row r="903" spans="1:18" hidden="1">
      <c r="A903" s="996">
        <v>3</v>
      </c>
      <c r="B903" s="996" t="s">
        <v>1284</v>
      </c>
      <c r="C903" s="996" t="s">
        <v>873</v>
      </c>
      <c r="D903" s="996" t="s">
        <v>79</v>
      </c>
      <c r="E903" s="996" t="s">
        <v>801</v>
      </c>
      <c r="F903" s="996" t="s">
        <v>403</v>
      </c>
      <c r="G903" s="997">
        <v>2087000</v>
      </c>
      <c r="H903" s="74" t="s">
        <v>1338</v>
      </c>
      <c r="I903" s="74" t="s">
        <v>1338</v>
      </c>
      <c r="J903" s="74" t="s">
        <v>1338</v>
      </c>
    </row>
    <row r="904" spans="1:18" hidden="1">
      <c r="A904" s="996">
        <v>3</v>
      </c>
      <c r="B904" s="996" t="s">
        <v>1284</v>
      </c>
      <c r="C904" s="996" t="s">
        <v>873</v>
      </c>
      <c r="D904" s="996" t="s">
        <v>82</v>
      </c>
      <c r="E904" s="996" t="s">
        <v>811</v>
      </c>
      <c r="F904" s="996" t="s">
        <v>404</v>
      </c>
      <c r="G904" s="997">
        <v>3095000</v>
      </c>
      <c r="H904" s="74" t="s">
        <v>1338</v>
      </c>
      <c r="I904" s="74" t="s">
        <v>1338</v>
      </c>
      <c r="J904" s="74" t="s">
        <v>1338</v>
      </c>
    </row>
    <row r="905" spans="1:18" hidden="1">
      <c r="A905" s="996">
        <v>3</v>
      </c>
      <c r="B905" s="996" t="s">
        <v>1284</v>
      </c>
      <c r="C905" s="996" t="s">
        <v>873</v>
      </c>
      <c r="D905" s="996" t="s">
        <v>83</v>
      </c>
      <c r="E905" s="996" t="s">
        <v>812</v>
      </c>
      <c r="F905" s="996" t="s">
        <v>405</v>
      </c>
      <c r="G905" s="997">
        <v>167000</v>
      </c>
      <c r="H905" s="74" t="s">
        <v>1338</v>
      </c>
      <c r="I905" s="74" t="s">
        <v>1338</v>
      </c>
      <c r="J905" s="74" t="s">
        <v>1338</v>
      </c>
    </row>
    <row r="906" spans="1:18" hidden="1">
      <c r="A906" s="996">
        <v>3</v>
      </c>
      <c r="B906" s="996" t="s">
        <v>1284</v>
      </c>
      <c r="C906" s="996" t="s">
        <v>873</v>
      </c>
      <c r="D906" s="996" t="s">
        <v>84</v>
      </c>
      <c r="E906" s="996" t="s">
        <v>813</v>
      </c>
      <c r="F906" s="996" t="s">
        <v>406</v>
      </c>
      <c r="G906" s="997">
        <v>502000</v>
      </c>
      <c r="H906" s="74" t="s">
        <v>1338</v>
      </c>
      <c r="I906" s="74" t="s">
        <v>1338</v>
      </c>
      <c r="J906" s="74" t="s">
        <v>1338</v>
      </c>
    </row>
    <row r="907" spans="1:18" hidden="1">
      <c r="A907" s="996">
        <v>3</v>
      </c>
      <c r="B907" s="996" t="s">
        <v>1284</v>
      </c>
      <c r="C907" s="996" t="s">
        <v>873</v>
      </c>
      <c r="D907" s="996" t="s">
        <v>85</v>
      </c>
      <c r="E907" s="996" t="s">
        <v>814</v>
      </c>
      <c r="F907" s="996" t="s">
        <v>407</v>
      </c>
      <c r="G907" s="997">
        <v>1673000</v>
      </c>
      <c r="H907" s="74" t="s">
        <v>1338</v>
      </c>
      <c r="I907" s="74" t="s">
        <v>1338</v>
      </c>
      <c r="J907" s="74" t="s">
        <v>1338</v>
      </c>
    </row>
    <row r="908" spans="1:18" hidden="1">
      <c r="A908" s="996">
        <v>3</v>
      </c>
      <c r="B908" s="996" t="s">
        <v>1284</v>
      </c>
      <c r="C908" s="996" t="s">
        <v>873</v>
      </c>
      <c r="D908" s="996" t="s">
        <v>86</v>
      </c>
      <c r="E908" s="996" t="s">
        <v>815</v>
      </c>
      <c r="F908" s="996" t="s">
        <v>408</v>
      </c>
      <c r="G908" s="997">
        <v>167000</v>
      </c>
      <c r="H908" s="74" t="s">
        <v>1338</v>
      </c>
      <c r="I908" s="74" t="s">
        <v>1338</v>
      </c>
      <c r="J908" s="74" t="s">
        <v>1338</v>
      </c>
    </row>
    <row r="909" spans="1:18" hidden="1">
      <c r="A909" s="996">
        <v>3</v>
      </c>
      <c r="B909" s="996" t="s">
        <v>1284</v>
      </c>
      <c r="C909" s="996" t="s">
        <v>873</v>
      </c>
      <c r="D909" s="996" t="s">
        <v>425</v>
      </c>
      <c r="E909" s="996" t="s">
        <v>816</v>
      </c>
      <c r="F909" s="996" t="s">
        <v>409</v>
      </c>
      <c r="G909" s="997">
        <v>1813000</v>
      </c>
      <c r="H909" s="74" t="s">
        <v>1338</v>
      </c>
      <c r="I909" s="74" t="s">
        <v>1338</v>
      </c>
      <c r="J909" s="74" t="s">
        <v>1338</v>
      </c>
    </row>
    <row r="910" spans="1:18" hidden="1">
      <c r="A910" s="996">
        <v>3</v>
      </c>
      <c r="B910" s="996" t="s">
        <v>1284</v>
      </c>
      <c r="C910" s="996" t="s">
        <v>873</v>
      </c>
      <c r="D910" s="996" t="s">
        <v>89</v>
      </c>
      <c r="E910" s="996" t="s">
        <v>817</v>
      </c>
      <c r="F910" s="996" t="s">
        <v>409</v>
      </c>
      <c r="G910" s="997">
        <v>1004000</v>
      </c>
      <c r="H910" s="74" t="s">
        <v>1338</v>
      </c>
      <c r="I910" s="74" t="s">
        <v>1338</v>
      </c>
      <c r="J910" s="74" t="s">
        <v>1338</v>
      </c>
    </row>
    <row r="911" spans="1:18" hidden="1">
      <c r="A911" s="996">
        <v>3</v>
      </c>
      <c r="B911" s="996" t="s">
        <v>1284</v>
      </c>
      <c r="C911" s="996" t="s">
        <v>873</v>
      </c>
      <c r="D911" s="996" t="s">
        <v>90</v>
      </c>
      <c r="E911" s="996" t="s">
        <v>818</v>
      </c>
      <c r="F911" s="996" t="s">
        <v>714</v>
      </c>
      <c r="G911" s="997">
        <v>502000</v>
      </c>
      <c r="H911" s="74" t="s">
        <v>1338</v>
      </c>
      <c r="I911" s="74" t="s">
        <v>1338</v>
      </c>
      <c r="J911" s="74" t="s">
        <v>1338</v>
      </c>
    </row>
    <row r="912" spans="1:18" hidden="1">
      <c r="A912" s="996">
        <v>3</v>
      </c>
      <c r="B912" s="996" t="s">
        <v>1284</v>
      </c>
      <c r="C912" s="996" t="s">
        <v>874</v>
      </c>
      <c r="D912" s="996" t="s">
        <v>94</v>
      </c>
      <c r="E912" s="996" t="s">
        <v>819</v>
      </c>
      <c r="F912" s="996" t="s">
        <v>1019</v>
      </c>
      <c r="G912" s="997">
        <v>5158000</v>
      </c>
      <c r="H912" s="74" t="s">
        <v>1338</v>
      </c>
      <c r="I912" s="74" t="s">
        <v>1338</v>
      </c>
      <c r="J912" s="74" t="s">
        <v>1338</v>
      </c>
    </row>
    <row r="913" spans="1:10" hidden="1">
      <c r="A913" s="996">
        <v>3</v>
      </c>
      <c r="B913" s="996" t="s">
        <v>1284</v>
      </c>
      <c r="C913" s="996" t="s">
        <v>874</v>
      </c>
      <c r="D913" s="996" t="s">
        <v>103</v>
      </c>
      <c r="E913" s="996" t="s">
        <v>821</v>
      </c>
      <c r="F913" s="996" t="s">
        <v>1020</v>
      </c>
      <c r="G913" s="997">
        <v>222000</v>
      </c>
      <c r="H913" s="74" t="s">
        <v>1338</v>
      </c>
      <c r="I913" s="74" t="s">
        <v>1338</v>
      </c>
      <c r="J913" s="74" t="s">
        <v>1338</v>
      </c>
    </row>
    <row r="914" spans="1:10" hidden="1">
      <c r="A914" s="996">
        <v>3</v>
      </c>
      <c r="B914" s="996" t="s">
        <v>1284</v>
      </c>
      <c r="C914" s="996" t="s">
        <v>874</v>
      </c>
      <c r="D914" s="996" t="s">
        <v>105</v>
      </c>
      <c r="E914" s="996" t="s">
        <v>822</v>
      </c>
      <c r="F914" s="996" t="s">
        <v>1003</v>
      </c>
      <c r="G914" s="997">
        <v>698000</v>
      </c>
      <c r="H914" s="74" t="s">
        <v>1338</v>
      </c>
      <c r="I914" s="74" t="s">
        <v>1338</v>
      </c>
      <c r="J914" s="74" t="s">
        <v>1338</v>
      </c>
    </row>
    <row r="915" spans="1:10" hidden="1">
      <c r="A915" s="996">
        <v>3</v>
      </c>
      <c r="B915" s="996" t="s">
        <v>1284</v>
      </c>
      <c r="C915" s="996" t="s">
        <v>874</v>
      </c>
      <c r="D915" s="996" t="s">
        <v>286</v>
      </c>
      <c r="E915" s="996" t="s">
        <v>980</v>
      </c>
      <c r="F915" s="996" t="s">
        <v>1021</v>
      </c>
      <c r="G915" s="997">
        <v>362000</v>
      </c>
      <c r="H915" s="74" t="s">
        <v>1338</v>
      </c>
      <c r="I915" s="74" t="s">
        <v>1338</v>
      </c>
      <c r="J915" s="74" t="s">
        <v>1338</v>
      </c>
    </row>
    <row r="916" spans="1:10" hidden="1">
      <c r="A916" s="996">
        <v>3</v>
      </c>
      <c r="B916" s="996" t="s">
        <v>1284</v>
      </c>
      <c r="C916" s="996" t="s">
        <v>874</v>
      </c>
      <c r="D916" s="996" t="s">
        <v>125</v>
      </c>
      <c r="E916" s="996" t="s">
        <v>833</v>
      </c>
      <c r="F916" s="996" t="s">
        <v>1285</v>
      </c>
      <c r="G916" s="997">
        <v>1706000</v>
      </c>
      <c r="H916" s="74" t="s">
        <v>1338</v>
      </c>
      <c r="I916" s="74" t="s">
        <v>1338</v>
      </c>
      <c r="J916" s="74" t="s">
        <v>1338</v>
      </c>
    </row>
    <row r="917" spans="1:10" hidden="1">
      <c r="A917" s="996">
        <v>3</v>
      </c>
      <c r="B917" s="996" t="s">
        <v>1284</v>
      </c>
      <c r="C917" s="996" t="s">
        <v>874</v>
      </c>
      <c r="D917" s="996" t="s">
        <v>138</v>
      </c>
      <c r="E917" s="996" t="s">
        <v>985</v>
      </c>
      <c r="F917" s="996" t="s">
        <v>1286</v>
      </c>
      <c r="G917" s="997">
        <v>311000</v>
      </c>
      <c r="H917" s="74" t="s">
        <v>1338</v>
      </c>
      <c r="I917" s="74" t="s">
        <v>1338</v>
      </c>
      <c r="J917" s="74" t="s">
        <v>1338</v>
      </c>
    </row>
    <row r="918" spans="1:10" hidden="1">
      <c r="A918" s="996">
        <v>3</v>
      </c>
      <c r="B918" s="996" t="s">
        <v>1287</v>
      </c>
      <c r="C918" s="996" t="s">
        <v>873</v>
      </c>
      <c r="D918" s="996" t="s">
        <v>68</v>
      </c>
      <c r="E918" s="996" t="s">
        <v>804</v>
      </c>
      <c r="F918" s="996" t="s">
        <v>1203</v>
      </c>
      <c r="G918" s="997">
        <v>21702000</v>
      </c>
      <c r="H918" s="74" t="s">
        <v>1338</v>
      </c>
      <c r="I918" s="74" t="s">
        <v>1338</v>
      </c>
      <c r="J918" s="74" t="s">
        <v>1338</v>
      </c>
    </row>
    <row r="919" spans="1:10" hidden="1">
      <c r="A919" s="996">
        <v>3</v>
      </c>
      <c r="B919" s="996" t="s">
        <v>1287</v>
      </c>
      <c r="C919" s="996" t="s">
        <v>873</v>
      </c>
      <c r="D919" s="996" t="s">
        <v>77</v>
      </c>
      <c r="E919" s="996" t="s">
        <v>809</v>
      </c>
      <c r="F919" s="996" t="s">
        <v>1015</v>
      </c>
      <c r="G919" s="997">
        <v>1959000</v>
      </c>
      <c r="H919" s="74" t="s">
        <v>1338</v>
      </c>
      <c r="I919" s="74" t="s">
        <v>1338</v>
      </c>
      <c r="J919" s="74" t="s">
        <v>1338</v>
      </c>
    </row>
    <row r="920" spans="1:10" hidden="1">
      <c r="A920" s="996">
        <v>3</v>
      </c>
      <c r="B920" s="996" t="s">
        <v>1287</v>
      </c>
      <c r="C920" s="996" t="s">
        <v>873</v>
      </c>
      <c r="D920" s="996" t="s">
        <v>78</v>
      </c>
      <c r="E920" s="996" t="s">
        <v>810</v>
      </c>
      <c r="F920" s="996" t="s">
        <v>994</v>
      </c>
      <c r="G920" s="997">
        <v>1808000</v>
      </c>
      <c r="H920" s="74" t="s">
        <v>1338</v>
      </c>
      <c r="I920" s="74" t="s">
        <v>1338</v>
      </c>
      <c r="J920" s="74" t="s">
        <v>1338</v>
      </c>
    </row>
    <row r="921" spans="1:10" hidden="1">
      <c r="A921" s="996">
        <v>3</v>
      </c>
      <c r="B921" s="996" t="s">
        <v>1287</v>
      </c>
      <c r="C921" s="996" t="s">
        <v>873</v>
      </c>
      <c r="D921" s="996" t="s">
        <v>82</v>
      </c>
      <c r="E921" s="996" t="s">
        <v>811</v>
      </c>
      <c r="F921" s="996" t="s">
        <v>995</v>
      </c>
      <c r="G921" s="997">
        <v>2175000</v>
      </c>
      <c r="H921" s="74" t="s">
        <v>1338</v>
      </c>
      <c r="I921" s="74" t="s">
        <v>1338</v>
      </c>
      <c r="J921" s="74" t="s">
        <v>1338</v>
      </c>
    </row>
    <row r="922" spans="1:10" hidden="1">
      <c r="A922" s="996">
        <v>3</v>
      </c>
      <c r="B922" s="996" t="s">
        <v>1287</v>
      </c>
      <c r="C922" s="996" t="s">
        <v>873</v>
      </c>
      <c r="D922" s="996" t="s">
        <v>83</v>
      </c>
      <c r="E922" s="996" t="s">
        <v>812</v>
      </c>
      <c r="F922" s="996" t="s">
        <v>996</v>
      </c>
      <c r="G922" s="997">
        <v>118000</v>
      </c>
      <c r="H922" s="74" t="s">
        <v>1338</v>
      </c>
      <c r="I922" s="74" t="s">
        <v>1338</v>
      </c>
      <c r="J922" s="74" t="s">
        <v>1338</v>
      </c>
    </row>
    <row r="923" spans="1:10" hidden="1">
      <c r="A923" s="996">
        <v>3</v>
      </c>
      <c r="B923" s="996" t="s">
        <v>1287</v>
      </c>
      <c r="C923" s="996" t="s">
        <v>873</v>
      </c>
      <c r="D923" s="996" t="s">
        <v>84</v>
      </c>
      <c r="E923" s="996" t="s">
        <v>813</v>
      </c>
      <c r="F923" s="996" t="s">
        <v>997</v>
      </c>
      <c r="G923" s="997">
        <v>353000</v>
      </c>
      <c r="H923" s="74" t="s">
        <v>1338</v>
      </c>
      <c r="I923" s="74" t="s">
        <v>1338</v>
      </c>
      <c r="J923" s="74" t="s">
        <v>1338</v>
      </c>
    </row>
    <row r="924" spans="1:10" hidden="1">
      <c r="A924" s="996">
        <v>3</v>
      </c>
      <c r="B924" s="996" t="s">
        <v>1287</v>
      </c>
      <c r="C924" s="996" t="s">
        <v>873</v>
      </c>
      <c r="D924" s="996" t="s">
        <v>85</v>
      </c>
      <c r="E924" s="996" t="s">
        <v>814</v>
      </c>
      <c r="F924" s="996" t="s">
        <v>998</v>
      </c>
      <c r="G924" s="997">
        <v>1176000</v>
      </c>
      <c r="H924" s="74" t="s">
        <v>1338</v>
      </c>
      <c r="I924" s="74" t="s">
        <v>1338</v>
      </c>
      <c r="J924" s="74" t="s">
        <v>1338</v>
      </c>
    </row>
    <row r="925" spans="1:10" hidden="1">
      <c r="A925" s="996">
        <v>3</v>
      </c>
      <c r="B925" s="996" t="s">
        <v>1287</v>
      </c>
      <c r="C925" s="996" t="s">
        <v>873</v>
      </c>
      <c r="D925" s="996" t="s">
        <v>86</v>
      </c>
      <c r="E925" s="996" t="s">
        <v>815</v>
      </c>
      <c r="F925" s="996" t="s">
        <v>999</v>
      </c>
      <c r="G925" s="997">
        <v>118000</v>
      </c>
      <c r="H925" s="74" t="s">
        <v>1338</v>
      </c>
      <c r="I925" s="74" t="s">
        <v>1338</v>
      </c>
      <c r="J925" s="74" t="s">
        <v>1338</v>
      </c>
    </row>
    <row r="926" spans="1:10" hidden="1">
      <c r="A926" s="996">
        <v>3</v>
      </c>
      <c r="B926" s="996" t="s">
        <v>1287</v>
      </c>
      <c r="C926" s="996" t="s">
        <v>873</v>
      </c>
      <c r="D926" s="996" t="s">
        <v>425</v>
      </c>
      <c r="E926" s="996" t="s">
        <v>816</v>
      </c>
      <c r="F926" s="996" t="s">
        <v>1000</v>
      </c>
      <c r="G926" s="997">
        <v>1274000</v>
      </c>
      <c r="H926" s="74" t="s">
        <v>1338</v>
      </c>
      <c r="I926" s="74" t="s">
        <v>1338</v>
      </c>
      <c r="J926" s="74" t="s">
        <v>1338</v>
      </c>
    </row>
    <row r="927" spans="1:10" hidden="1">
      <c r="A927" s="996">
        <v>3</v>
      </c>
      <c r="B927" s="996" t="s">
        <v>1287</v>
      </c>
      <c r="C927" s="996" t="s">
        <v>873</v>
      </c>
      <c r="D927" s="996" t="s">
        <v>89</v>
      </c>
      <c r="E927" s="996" t="s">
        <v>817</v>
      </c>
      <c r="F927" s="996" t="s">
        <v>1001</v>
      </c>
      <c r="G927" s="997">
        <v>705000</v>
      </c>
      <c r="H927" s="74" t="s">
        <v>1338</v>
      </c>
      <c r="I927" s="74" t="s">
        <v>1338</v>
      </c>
      <c r="J927" s="74" t="s">
        <v>1338</v>
      </c>
    </row>
    <row r="928" spans="1:10" hidden="1">
      <c r="A928" s="996">
        <v>3</v>
      </c>
      <c r="B928" s="996" t="s">
        <v>1287</v>
      </c>
      <c r="C928" s="996" t="s">
        <v>873</v>
      </c>
      <c r="D928" s="996" t="s">
        <v>90</v>
      </c>
      <c r="E928" s="996" t="s">
        <v>818</v>
      </c>
      <c r="F928" s="996" t="s">
        <v>1002</v>
      </c>
      <c r="G928" s="997">
        <v>353000</v>
      </c>
      <c r="H928" s="74" t="s">
        <v>1338</v>
      </c>
      <c r="I928" s="74" t="s">
        <v>1338</v>
      </c>
      <c r="J928" s="74" t="s">
        <v>1338</v>
      </c>
    </row>
    <row r="929" spans="1:18" s="915" customFormat="1" hidden="1">
      <c r="A929" s="996">
        <v>3</v>
      </c>
      <c r="B929" s="996" t="s">
        <v>1287</v>
      </c>
      <c r="C929" s="996" t="s">
        <v>874</v>
      </c>
      <c r="D929" s="996" t="s">
        <v>138</v>
      </c>
      <c r="E929" s="996" t="s">
        <v>985</v>
      </c>
      <c r="F929" s="996" t="s">
        <v>1288</v>
      </c>
      <c r="G929" s="997">
        <v>219000</v>
      </c>
      <c r="H929" s="74" t="s">
        <v>1338</v>
      </c>
      <c r="I929" s="74" t="s">
        <v>1338</v>
      </c>
      <c r="J929" s="74" t="s">
        <v>1338</v>
      </c>
      <c r="M929" s="989"/>
      <c r="R929" s="989"/>
    </row>
    <row r="930" spans="1:18" s="915" customFormat="1" hidden="1">
      <c r="A930" s="996">
        <v>3</v>
      </c>
      <c r="B930" s="996" t="s">
        <v>1289</v>
      </c>
      <c r="C930" s="996" t="s">
        <v>873</v>
      </c>
      <c r="D930" s="996" t="s">
        <v>68</v>
      </c>
      <c r="E930" s="996" t="s">
        <v>804</v>
      </c>
      <c r="F930" s="996" t="s">
        <v>1203</v>
      </c>
      <c r="G930" s="997">
        <v>30033000</v>
      </c>
      <c r="H930" s="74" t="s">
        <v>1338</v>
      </c>
      <c r="I930" s="74" t="s">
        <v>1338</v>
      </c>
      <c r="J930" s="74" t="s">
        <v>1338</v>
      </c>
      <c r="M930" s="989"/>
      <c r="R930" s="989"/>
    </row>
    <row r="931" spans="1:18" s="915" customFormat="1" hidden="1">
      <c r="A931" s="996">
        <v>3</v>
      </c>
      <c r="B931" s="996" t="s">
        <v>1289</v>
      </c>
      <c r="C931" s="996" t="s">
        <v>873</v>
      </c>
      <c r="D931" s="996" t="s">
        <v>77</v>
      </c>
      <c r="E931" s="996" t="s">
        <v>809</v>
      </c>
      <c r="F931" s="996" t="s">
        <v>1015</v>
      </c>
      <c r="G931" s="997">
        <v>2711000</v>
      </c>
      <c r="H931" s="74" t="s">
        <v>1338</v>
      </c>
      <c r="I931" s="74" t="s">
        <v>1338</v>
      </c>
      <c r="J931" s="74" t="s">
        <v>1338</v>
      </c>
      <c r="M931" s="989"/>
      <c r="R931" s="989"/>
    </row>
    <row r="932" spans="1:18" s="915" customFormat="1" hidden="1">
      <c r="A932" s="996">
        <v>3</v>
      </c>
      <c r="B932" s="996" t="s">
        <v>1289</v>
      </c>
      <c r="C932" s="996" t="s">
        <v>873</v>
      </c>
      <c r="D932" s="996" t="s">
        <v>78</v>
      </c>
      <c r="E932" s="996" t="s">
        <v>810</v>
      </c>
      <c r="F932" s="996" t="s">
        <v>994</v>
      </c>
      <c r="G932" s="997">
        <v>2502000</v>
      </c>
      <c r="H932" s="74" t="s">
        <v>1338</v>
      </c>
      <c r="I932" s="74" t="s">
        <v>1338</v>
      </c>
      <c r="J932" s="74" t="s">
        <v>1338</v>
      </c>
      <c r="M932" s="989"/>
      <c r="R932" s="989"/>
    </row>
    <row r="933" spans="1:18" s="915" customFormat="1" hidden="1">
      <c r="A933" s="996">
        <v>3</v>
      </c>
      <c r="B933" s="996" t="s">
        <v>1289</v>
      </c>
      <c r="C933" s="996" t="s">
        <v>873</v>
      </c>
      <c r="D933" s="996" t="s">
        <v>82</v>
      </c>
      <c r="E933" s="996" t="s">
        <v>811</v>
      </c>
      <c r="F933" s="996" t="s">
        <v>995</v>
      </c>
      <c r="G933" s="997">
        <v>3009000</v>
      </c>
      <c r="H933" s="74" t="s">
        <v>1338</v>
      </c>
      <c r="I933" s="74" t="s">
        <v>1338</v>
      </c>
      <c r="J933" s="74" t="s">
        <v>1338</v>
      </c>
      <c r="M933" s="989"/>
      <c r="R933" s="989"/>
    </row>
    <row r="934" spans="1:18" s="915" customFormat="1" hidden="1">
      <c r="A934" s="996">
        <v>3</v>
      </c>
      <c r="B934" s="996" t="s">
        <v>1289</v>
      </c>
      <c r="C934" s="996" t="s">
        <v>873</v>
      </c>
      <c r="D934" s="996" t="s">
        <v>83</v>
      </c>
      <c r="E934" s="996" t="s">
        <v>812</v>
      </c>
      <c r="F934" s="996" t="s">
        <v>996</v>
      </c>
      <c r="G934" s="997">
        <v>163000</v>
      </c>
      <c r="H934" s="74" t="s">
        <v>1338</v>
      </c>
      <c r="I934" s="74" t="s">
        <v>1338</v>
      </c>
      <c r="J934" s="74" t="s">
        <v>1338</v>
      </c>
      <c r="M934" s="989"/>
      <c r="R934" s="989"/>
    </row>
    <row r="935" spans="1:18" s="915" customFormat="1" hidden="1">
      <c r="A935" s="996">
        <v>3</v>
      </c>
      <c r="B935" s="996" t="s">
        <v>1289</v>
      </c>
      <c r="C935" s="996" t="s">
        <v>873</v>
      </c>
      <c r="D935" s="996" t="s">
        <v>84</v>
      </c>
      <c r="E935" s="996" t="s">
        <v>813</v>
      </c>
      <c r="F935" s="996" t="s">
        <v>997</v>
      </c>
      <c r="G935" s="997">
        <v>488000</v>
      </c>
      <c r="H935" s="74" t="s">
        <v>1338</v>
      </c>
      <c r="I935" s="74" t="s">
        <v>1338</v>
      </c>
      <c r="J935" s="74" t="s">
        <v>1338</v>
      </c>
      <c r="M935" s="989"/>
      <c r="R935" s="989"/>
    </row>
    <row r="936" spans="1:18" s="915" customFormat="1" hidden="1">
      <c r="A936" s="996">
        <v>3</v>
      </c>
      <c r="B936" s="996" t="s">
        <v>1289</v>
      </c>
      <c r="C936" s="996" t="s">
        <v>873</v>
      </c>
      <c r="D936" s="996" t="s">
        <v>85</v>
      </c>
      <c r="E936" s="996" t="s">
        <v>814</v>
      </c>
      <c r="F936" s="996" t="s">
        <v>998</v>
      </c>
      <c r="G936" s="997">
        <v>1627000</v>
      </c>
      <c r="H936" s="74" t="s">
        <v>1338</v>
      </c>
      <c r="I936" s="74" t="s">
        <v>1338</v>
      </c>
      <c r="J936" s="74" t="s">
        <v>1338</v>
      </c>
      <c r="M936" s="989"/>
      <c r="R936" s="989"/>
    </row>
    <row r="937" spans="1:18" s="915" customFormat="1" hidden="1">
      <c r="A937" s="996">
        <v>3</v>
      </c>
      <c r="B937" s="996" t="s">
        <v>1289</v>
      </c>
      <c r="C937" s="996" t="s">
        <v>873</v>
      </c>
      <c r="D937" s="996" t="s">
        <v>86</v>
      </c>
      <c r="E937" s="996" t="s">
        <v>815</v>
      </c>
      <c r="F937" s="996" t="s">
        <v>999</v>
      </c>
      <c r="G937" s="997">
        <v>163000</v>
      </c>
      <c r="H937" s="74" t="s">
        <v>1338</v>
      </c>
      <c r="I937" s="74" t="s">
        <v>1338</v>
      </c>
      <c r="J937" s="74" t="s">
        <v>1338</v>
      </c>
      <c r="M937" s="989"/>
      <c r="R937" s="989"/>
    </row>
    <row r="938" spans="1:18" s="915" customFormat="1" hidden="1">
      <c r="A938" s="996">
        <v>3</v>
      </c>
      <c r="B938" s="996" t="s">
        <v>1289</v>
      </c>
      <c r="C938" s="996" t="s">
        <v>873</v>
      </c>
      <c r="D938" s="996" t="s">
        <v>425</v>
      </c>
      <c r="E938" s="996" t="s">
        <v>816</v>
      </c>
      <c r="F938" s="996" t="s">
        <v>1000</v>
      </c>
      <c r="G938" s="997">
        <v>1763000</v>
      </c>
      <c r="H938" s="74" t="s">
        <v>1338</v>
      </c>
      <c r="I938" s="74" t="s">
        <v>1338</v>
      </c>
      <c r="J938" s="74" t="s">
        <v>1338</v>
      </c>
      <c r="M938" s="989"/>
      <c r="R938" s="989"/>
    </row>
    <row r="939" spans="1:18" s="915" customFormat="1" hidden="1">
      <c r="A939" s="996">
        <v>3</v>
      </c>
      <c r="B939" s="996" t="s">
        <v>1289</v>
      </c>
      <c r="C939" s="996" t="s">
        <v>873</v>
      </c>
      <c r="D939" s="996" t="s">
        <v>89</v>
      </c>
      <c r="E939" s="996" t="s">
        <v>817</v>
      </c>
      <c r="F939" s="996" t="s">
        <v>1001</v>
      </c>
      <c r="G939" s="997">
        <v>976000</v>
      </c>
      <c r="H939" s="74" t="s">
        <v>1338</v>
      </c>
      <c r="I939" s="74" t="s">
        <v>1338</v>
      </c>
      <c r="J939" s="74" t="s">
        <v>1338</v>
      </c>
      <c r="M939" s="989"/>
      <c r="R939" s="989"/>
    </row>
    <row r="940" spans="1:18" s="915" customFormat="1" hidden="1">
      <c r="A940" s="996">
        <v>3</v>
      </c>
      <c r="B940" s="996" t="s">
        <v>1289</v>
      </c>
      <c r="C940" s="996" t="s">
        <v>873</v>
      </c>
      <c r="D940" s="996" t="s">
        <v>90</v>
      </c>
      <c r="E940" s="996" t="s">
        <v>818</v>
      </c>
      <c r="F940" s="996" t="s">
        <v>1002</v>
      </c>
      <c r="G940" s="997">
        <v>488000</v>
      </c>
      <c r="H940" s="74" t="s">
        <v>1338</v>
      </c>
      <c r="I940" s="74" t="s">
        <v>1338</v>
      </c>
      <c r="J940" s="74" t="s">
        <v>1338</v>
      </c>
      <c r="M940" s="989"/>
      <c r="R940" s="989"/>
    </row>
    <row r="941" spans="1:18" s="915" customFormat="1" hidden="1">
      <c r="A941" s="996">
        <v>3</v>
      </c>
      <c r="B941" s="996" t="s">
        <v>1289</v>
      </c>
      <c r="C941" s="996" t="s">
        <v>874</v>
      </c>
      <c r="D941" s="996" t="s">
        <v>138</v>
      </c>
      <c r="E941" s="996" t="s">
        <v>985</v>
      </c>
      <c r="F941" s="996" t="s">
        <v>1290</v>
      </c>
      <c r="G941" s="997">
        <v>303000</v>
      </c>
      <c r="H941" s="74" t="s">
        <v>1338</v>
      </c>
      <c r="I941" s="74" t="s">
        <v>1338</v>
      </c>
      <c r="J941" s="74" t="s">
        <v>1338</v>
      </c>
      <c r="M941" s="989"/>
      <c r="R941" s="989"/>
    </row>
    <row r="942" spans="1:18" s="915" customFormat="1" hidden="1">
      <c r="A942" s="996">
        <v>3</v>
      </c>
      <c r="B942" s="996" t="s">
        <v>1291</v>
      </c>
      <c r="C942" s="996" t="s">
        <v>888</v>
      </c>
      <c r="D942" s="996" t="s">
        <v>235</v>
      </c>
      <c r="E942" s="996" t="s">
        <v>1292</v>
      </c>
      <c r="F942" s="996" t="s">
        <v>1293</v>
      </c>
      <c r="G942" s="997">
        <v>40000000</v>
      </c>
      <c r="H942" s="74" t="s">
        <v>448</v>
      </c>
      <c r="I942" s="74" t="s">
        <v>1339</v>
      </c>
      <c r="J942" s="74" t="s">
        <v>1328</v>
      </c>
      <c r="M942" s="989"/>
      <c r="R942" s="989"/>
    </row>
    <row r="943" spans="1:18" s="915" customFormat="1" hidden="1">
      <c r="A943" s="996">
        <v>4</v>
      </c>
      <c r="B943" s="996" t="s">
        <v>935</v>
      </c>
      <c r="C943" s="996" t="s">
        <v>873</v>
      </c>
      <c r="D943" s="996" t="s">
        <v>67</v>
      </c>
      <c r="E943" s="996" t="s">
        <v>803</v>
      </c>
      <c r="F943" s="996" t="s">
        <v>991</v>
      </c>
      <c r="G943" s="1116">
        <v>46848000</v>
      </c>
      <c r="H943" s="74" t="s">
        <v>1330</v>
      </c>
      <c r="I943" s="74" t="s">
        <v>1340</v>
      </c>
      <c r="J943" s="74" t="s">
        <v>1328</v>
      </c>
      <c r="M943" s="989"/>
      <c r="R943" s="989"/>
    </row>
    <row r="944" spans="1:18" hidden="1">
      <c r="A944" s="996">
        <v>4</v>
      </c>
      <c r="B944" s="996" t="s">
        <v>935</v>
      </c>
      <c r="C944" s="996" t="s">
        <v>873</v>
      </c>
      <c r="D944" s="996" t="s">
        <v>71</v>
      </c>
      <c r="E944" s="996" t="s">
        <v>806</v>
      </c>
      <c r="F944" s="996" t="s">
        <v>992</v>
      </c>
      <c r="G944" s="1116">
        <v>1728000</v>
      </c>
      <c r="H944" s="74" t="s">
        <v>1330</v>
      </c>
      <c r="I944" s="74" t="s">
        <v>1340</v>
      </c>
      <c r="J944" s="74" t="s">
        <v>1328</v>
      </c>
    </row>
    <row r="945" spans="1:10" hidden="1">
      <c r="A945" s="996">
        <v>4</v>
      </c>
      <c r="B945" s="996" t="s">
        <v>935</v>
      </c>
      <c r="C945" s="996" t="s">
        <v>873</v>
      </c>
      <c r="D945" s="996" t="s">
        <v>75</v>
      </c>
      <c r="E945" s="996" t="s">
        <v>799</v>
      </c>
      <c r="F945" s="996" t="s">
        <v>399</v>
      </c>
      <c r="G945" s="1116">
        <v>9074000</v>
      </c>
      <c r="H945" s="74" t="s">
        <v>1330</v>
      </c>
      <c r="I945" s="74" t="s">
        <v>1340</v>
      </c>
      <c r="J945" s="74" t="s">
        <v>1328</v>
      </c>
    </row>
    <row r="946" spans="1:10" hidden="1">
      <c r="A946" s="996">
        <v>4</v>
      </c>
      <c r="B946" s="996" t="s">
        <v>935</v>
      </c>
      <c r="C946" s="996" t="s">
        <v>873</v>
      </c>
      <c r="D946" s="996" t="s">
        <v>76</v>
      </c>
      <c r="E946" s="996" t="s">
        <v>800</v>
      </c>
      <c r="F946" s="996" t="s">
        <v>400</v>
      </c>
      <c r="G946" s="1116">
        <v>8747000</v>
      </c>
      <c r="H946" s="74" t="s">
        <v>1330</v>
      </c>
      <c r="I946" s="74" t="s">
        <v>1340</v>
      </c>
      <c r="J946" s="74" t="s">
        <v>1328</v>
      </c>
    </row>
    <row r="947" spans="1:10" hidden="1">
      <c r="A947" s="996">
        <v>4</v>
      </c>
      <c r="B947" s="996" t="s">
        <v>935</v>
      </c>
      <c r="C947" s="996" t="s">
        <v>873</v>
      </c>
      <c r="D947" s="996" t="s">
        <v>77</v>
      </c>
      <c r="E947" s="996" t="s">
        <v>809</v>
      </c>
      <c r="F947" s="996" t="s">
        <v>401</v>
      </c>
      <c r="G947" s="1116">
        <v>6217000</v>
      </c>
      <c r="H947" s="74" t="s">
        <v>1330</v>
      </c>
      <c r="I947" s="74" t="s">
        <v>1340</v>
      </c>
      <c r="J947" s="74" t="s">
        <v>1328</v>
      </c>
    </row>
    <row r="948" spans="1:10" hidden="1">
      <c r="A948" s="996">
        <v>4</v>
      </c>
      <c r="B948" s="996" t="s">
        <v>935</v>
      </c>
      <c r="C948" s="996" t="s">
        <v>873</v>
      </c>
      <c r="D948" s="996" t="s">
        <v>78</v>
      </c>
      <c r="E948" s="996" t="s">
        <v>810</v>
      </c>
      <c r="F948" s="996" t="s">
        <v>402</v>
      </c>
      <c r="G948" s="1116">
        <v>5773000</v>
      </c>
      <c r="H948" s="74" t="s">
        <v>1330</v>
      </c>
      <c r="I948" s="74" t="s">
        <v>1340</v>
      </c>
      <c r="J948" s="74" t="s">
        <v>1328</v>
      </c>
    </row>
    <row r="949" spans="1:10" hidden="1">
      <c r="A949" s="996">
        <v>4</v>
      </c>
      <c r="B949" s="996" t="s">
        <v>935</v>
      </c>
      <c r="C949" s="996" t="s">
        <v>873</v>
      </c>
      <c r="D949" s="996" t="s">
        <v>79</v>
      </c>
      <c r="E949" s="996" t="s">
        <v>801</v>
      </c>
      <c r="F949" s="996" t="s">
        <v>403</v>
      </c>
      <c r="G949" s="1116">
        <v>2468000</v>
      </c>
      <c r="H949" s="74" t="s">
        <v>1330</v>
      </c>
      <c r="I949" s="74" t="s">
        <v>1340</v>
      </c>
      <c r="J949" s="74" t="s">
        <v>1328</v>
      </c>
    </row>
    <row r="950" spans="1:10" hidden="1">
      <c r="A950" s="996">
        <v>4</v>
      </c>
      <c r="B950" s="996" t="s">
        <v>935</v>
      </c>
      <c r="C950" s="996" t="s">
        <v>873</v>
      </c>
      <c r="D950" s="996" t="s">
        <v>82</v>
      </c>
      <c r="E950" s="996" t="s">
        <v>811</v>
      </c>
      <c r="F950" s="996" t="s">
        <v>404</v>
      </c>
      <c r="G950" s="1116">
        <v>6904000</v>
      </c>
      <c r="H950" s="74" t="s">
        <v>1330</v>
      </c>
      <c r="I950" s="74" t="s">
        <v>1340</v>
      </c>
      <c r="J950" s="74" t="s">
        <v>1328</v>
      </c>
    </row>
    <row r="951" spans="1:10" hidden="1">
      <c r="A951" s="996">
        <v>4</v>
      </c>
      <c r="B951" s="996" t="s">
        <v>935</v>
      </c>
      <c r="C951" s="996" t="s">
        <v>873</v>
      </c>
      <c r="D951" s="996" t="s">
        <v>83</v>
      </c>
      <c r="E951" s="996" t="s">
        <v>812</v>
      </c>
      <c r="F951" s="996" t="s">
        <v>405</v>
      </c>
      <c r="G951" s="1116">
        <v>373000</v>
      </c>
      <c r="H951" s="74" t="s">
        <v>1330</v>
      </c>
      <c r="I951" s="74" t="s">
        <v>1340</v>
      </c>
      <c r="J951" s="74" t="s">
        <v>1328</v>
      </c>
    </row>
    <row r="952" spans="1:10" hidden="1">
      <c r="A952" s="996">
        <v>4</v>
      </c>
      <c r="B952" s="996" t="s">
        <v>935</v>
      </c>
      <c r="C952" s="996" t="s">
        <v>873</v>
      </c>
      <c r="D952" s="996" t="s">
        <v>84</v>
      </c>
      <c r="E952" s="996" t="s">
        <v>813</v>
      </c>
      <c r="F952" s="996" t="s">
        <v>406</v>
      </c>
      <c r="G952" s="1116">
        <v>1120000</v>
      </c>
      <c r="H952" s="74" t="s">
        <v>1330</v>
      </c>
      <c r="I952" s="74" t="s">
        <v>1340</v>
      </c>
      <c r="J952" s="74" t="s">
        <v>1328</v>
      </c>
    </row>
    <row r="953" spans="1:10" hidden="1">
      <c r="A953" s="996">
        <v>4</v>
      </c>
      <c r="B953" s="996" t="s">
        <v>935</v>
      </c>
      <c r="C953" s="996" t="s">
        <v>873</v>
      </c>
      <c r="D953" s="996" t="s">
        <v>85</v>
      </c>
      <c r="E953" s="996" t="s">
        <v>814</v>
      </c>
      <c r="F953" s="996" t="s">
        <v>407</v>
      </c>
      <c r="G953" s="1116">
        <v>3732000</v>
      </c>
      <c r="H953" s="74" t="s">
        <v>1330</v>
      </c>
      <c r="I953" s="74" t="s">
        <v>1340</v>
      </c>
      <c r="J953" s="74" t="s">
        <v>1328</v>
      </c>
    </row>
    <row r="954" spans="1:10" hidden="1">
      <c r="A954" s="996">
        <v>4</v>
      </c>
      <c r="B954" s="996" t="s">
        <v>935</v>
      </c>
      <c r="C954" s="996" t="s">
        <v>873</v>
      </c>
      <c r="D954" s="996" t="s">
        <v>86</v>
      </c>
      <c r="E954" s="996" t="s">
        <v>815</v>
      </c>
      <c r="F954" s="996" t="s">
        <v>408</v>
      </c>
      <c r="G954" s="1116">
        <v>373000</v>
      </c>
      <c r="H954" s="74" t="s">
        <v>1330</v>
      </c>
      <c r="I954" s="74" t="s">
        <v>1340</v>
      </c>
      <c r="J954" s="74" t="s">
        <v>1328</v>
      </c>
    </row>
    <row r="955" spans="1:10" hidden="1">
      <c r="A955" s="996">
        <v>4</v>
      </c>
      <c r="B955" s="996" t="s">
        <v>935</v>
      </c>
      <c r="C955" s="996" t="s">
        <v>873</v>
      </c>
      <c r="D955" s="996" t="s">
        <v>425</v>
      </c>
      <c r="E955" s="996" t="s">
        <v>816</v>
      </c>
      <c r="F955" s="996" t="s">
        <v>945</v>
      </c>
      <c r="G955" s="1116">
        <v>4045000</v>
      </c>
      <c r="H955" s="74" t="s">
        <v>1330</v>
      </c>
      <c r="I955" s="74" t="s">
        <v>1340</v>
      </c>
      <c r="J955" s="74" t="s">
        <v>1328</v>
      </c>
    </row>
    <row r="956" spans="1:10" hidden="1">
      <c r="A956" s="996">
        <v>4</v>
      </c>
      <c r="B956" s="996" t="s">
        <v>935</v>
      </c>
      <c r="C956" s="996" t="s">
        <v>873</v>
      </c>
      <c r="D956" s="996" t="s">
        <v>89</v>
      </c>
      <c r="E956" s="996" t="s">
        <v>817</v>
      </c>
      <c r="F956" s="996" t="s">
        <v>409</v>
      </c>
      <c r="G956" s="1116">
        <v>2239000</v>
      </c>
      <c r="H956" s="74" t="s">
        <v>1330</v>
      </c>
      <c r="I956" s="74" t="s">
        <v>1340</v>
      </c>
      <c r="J956" s="74" t="s">
        <v>1328</v>
      </c>
    </row>
    <row r="957" spans="1:10" hidden="1">
      <c r="A957" s="996">
        <v>4</v>
      </c>
      <c r="B957" s="996" t="s">
        <v>935</v>
      </c>
      <c r="C957" s="996" t="s">
        <v>873</v>
      </c>
      <c r="D957" s="996" t="s">
        <v>90</v>
      </c>
      <c r="E957" s="996" t="s">
        <v>818</v>
      </c>
      <c r="F957" s="996" t="s">
        <v>714</v>
      </c>
      <c r="G957" s="1116">
        <v>1120000</v>
      </c>
      <c r="H957" s="74" t="s">
        <v>1330</v>
      </c>
      <c r="I957" s="74" t="s">
        <v>1340</v>
      </c>
      <c r="J957" s="74" t="s">
        <v>1328</v>
      </c>
    </row>
    <row r="958" spans="1:10" hidden="1">
      <c r="A958" s="996">
        <v>4</v>
      </c>
      <c r="B958" s="996" t="s">
        <v>935</v>
      </c>
      <c r="C958" s="996" t="s">
        <v>874</v>
      </c>
      <c r="D958" s="996" t="s">
        <v>138</v>
      </c>
      <c r="E958" s="996" t="s">
        <v>985</v>
      </c>
      <c r="F958" s="996" t="s">
        <v>1294</v>
      </c>
      <c r="G958" s="997">
        <v>695000</v>
      </c>
      <c r="H958" s="74" t="s">
        <v>448</v>
      </c>
      <c r="I958" s="74" t="s">
        <v>1339</v>
      </c>
      <c r="J958" s="74" t="s">
        <v>1328</v>
      </c>
    </row>
    <row r="959" spans="1:10" hidden="1">
      <c r="A959" s="996">
        <v>4</v>
      </c>
      <c r="B959" s="996" t="s">
        <v>936</v>
      </c>
      <c r="C959" s="996" t="s">
        <v>873</v>
      </c>
      <c r="D959" s="996" t="s">
        <v>67</v>
      </c>
      <c r="E959" s="996" t="s">
        <v>803</v>
      </c>
      <c r="F959" s="996" t="s">
        <v>991</v>
      </c>
      <c r="G959" s="997">
        <v>67104000</v>
      </c>
      <c r="H959" s="74" t="s">
        <v>448</v>
      </c>
      <c r="I959" s="74" t="s">
        <v>1339</v>
      </c>
      <c r="J959" s="74" t="s">
        <v>1328</v>
      </c>
    </row>
    <row r="960" spans="1:10" hidden="1">
      <c r="A960" s="996">
        <v>4</v>
      </c>
      <c r="B960" s="996" t="s">
        <v>936</v>
      </c>
      <c r="C960" s="996" t="s">
        <v>873</v>
      </c>
      <c r="D960" s="996" t="s">
        <v>75</v>
      </c>
      <c r="E960" s="996" t="s">
        <v>799</v>
      </c>
      <c r="F960" s="996" t="s">
        <v>399</v>
      </c>
      <c r="G960" s="997">
        <v>14218000</v>
      </c>
      <c r="H960" s="74" t="s">
        <v>448</v>
      </c>
      <c r="I960" s="74" t="s">
        <v>1339</v>
      </c>
      <c r="J960" s="74" t="s">
        <v>1328</v>
      </c>
    </row>
    <row r="961" spans="1:10" hidden="1">
      <c r="A961" s="996">
        <v>4</v>
      </c>
      <c r="B961" s="996" t="s">
        <v>936</v>
      </c>
      <c r="C961" s="996" t="s">
        <v>873</v>
      </c>
      <c r="D961" s="996" t="s">
        <v>76</v>
      </c>
      <c r="E961" s="996" t="s">
        <v>800</v>
      </c>
      <c r="F961" s="996" t="s">
        <v>400</v>
      </c>
      <c r="G961" s="997">
        <v>10892000</v>
      </c>
      <c r="H961" s="74" t="s">
        <v>448</v>
      </c>
      <c r="I961" s="74" t="s">
        <v>1339</v>
      </c>
      <c r="J961" s="74" t="s">
        <v>1328</v>
      </c>
    </row>
    <row r="962" spans="1:10" hidden="1">
      <c r="A962" s="996">
        <v>4</v>
      </c>
      <c r="B962" s="996" t="s">
        <v>936</v>
      </c>
      <c r="C962" s="996" t="s">
        <v>873</v>
      </c>
      <c r="D962" s="996" t="s">
        <v>77</v>
      </c>
      <c r="E962" s="996" t="s">
        <v>809</v>
      </c>
      <c r="F962" s="996" t="s">
        <v>401</v>
      </c>
      <c r="G962" s="997">
        <v>8646000</v>
      </c>
      <c r="H962" s="74" t="s">
        <v>448</v>
      </c>
      <c r="I962" s="74" t="s">
        <v>1339</v>
      </c>
      <c r="J962" s="74" t="s">
        <v>1328</v>
      </c>
    </row>
    <row r="963" spans="1:10" hidden="1">
      <c r="A963" s="996">
        <v>4</v>
      </c>
      <c r="B963" s="996" t="s">
        <v>936</v>
      </c>
      <c r="C963" s="996" t="s">
        <v>873</v>
      </c>
      <c r="D963" s="996" t="s">
        <v>78</v>
      </c>
      <c r="E963" s="996" t="s">
        <v>810</v>
      </c>
      <c r="F963" s="996" t="s">
        <v>402</v>
      </c>
      <c r="G963" s="1116">
        <v>8158000</v>
      </c>
      <c r="H963" s="74" t="s">
        <v>1330</v>
      </c>
      <c r="I963" s="74" t="s">
        <v>1340</v>
      </c>
      <c r="J963" s="74" t="s">
        <v>1328</v>
      </c>
    </row>
    <row r="964" spans="1:10" hidden="1">
      <c r="A964" s="996">
        <v>4</v>
      </c>
      <c r="B964" s="996" t="s">
        <v>936</v>
      </c>
      <c r="C964" s="996" t="s">
        <v>873</v>
      </c>
      <c r="D964" s="996" t="s">
        <v>79</v>
      </c>
      <c r="E964" s="996" t="s">
        <v>801</v>
      </c>
      <c r="F964" s="996" t="s">
        <v>403</v>
      </c>
      <c r="G964" s="997">
        <v>3561000</v>
      </c>
      <c r="H964" s="74" t="s">
        <v>448</v>
      </c>
      <c r="I964" s="74" t="s">
        <v>1339</v>
      </c>
      <c r="J964" s="74" t="s">
        <v>1328</v>
      </c>
    </row>
    <row r="965" spans="1:10" hidden="1">
      <c r="A965" s="996">
        <v>4</v>
      </c>
      <c r="B965" s="996" t="s">
        <v>936</v>
      </c>
      <c r="C965" s="996" t="s">
        <v>873</v>
      </c>
      <c r="D965" s="996" t="s">
        <v>82</v>
      </c>
      <c r="E965" s="996" t="s">
        <v>811</v>
      </c>
      <c r="F965" s="996" t="s">
        <v>404</v>
      </c>
      <c r="G965" s="997">
        <v>9614000</v>
      </c>
      <c r="H965" s="74" t="s">
        <v>448</v>
      </c>
      <c r="I965" s="74" t="s">
        <v>1339</v>
      </c>
      <c r="J965" s="74" t="s">
        <v>1328</v>
      </c>
    </row>
    <row r="966" spans="1:10" hidden="1">
      <c r="A966" s="996">
        <v>4</v>
      </c>
      <c r="B966" s="996" t="s">
        <v>936</v>
      </c>
      <c r="C966" s="996" t="s">
        <v>873</v>
      </c>
      <c r="D966" s="996" t="s">
        <v>83</v>
      </c>
      <c r="E966" s="996" t="s">
        <v>812</v>
      </c>
      <c r="F966" s="996" t="s">
        <v>405</v>
      </c>
      <c r="G966" s="997">
        <v>520000</v>
      </c>
      <c r="H966" s="74" t="s">
        <v>448</v>
      </c>
      <c r="I966" s="74" t="s">
        <v>1339</v>
      </c>
      <c r="J966" s="74" t="s">
        <v>1328</v>
      </c>
    </row>
    <row r="967" spans="1:10" hidden="1">
      <c r="A967" s="996">
        <v>4</v>
      </c>
      <c r="B967" s="996" t="s">
        <v>936</v>
      </c>
      <c r="C967" s="996" t="s">
        <v>873</v>
      </c>
      <c r="D967" s="996" t="s">
        <v>84</v>
      </c>
      <c r="E967" s="996" t="s">
        <v>813</v>
      </c>
      <c r="F967" s="996" t="s">
        <v>406</v>
      </c>
      <c r="G967" s="997">
        <v>1559000</v>
      </c>
      <c r="H967" s="74" t="s">
        <v>448</v>
      </c>
      <c r="I967" s="74" t="s">
        <v>1339</v>
      </c>
      <c r="J967" s="74" t="s">
        <v>1328</v>
      </c>
    </row>
    <row r="968" spans="1:10" hidden="1">
      <c r="A968" s="996">
        <v>4</v>
      </c>
      <c r="B968" s="996" t="s">
        <v>936</v>
      </c>
      <c r="C968" s="996" t="s">
        <v>873</v>
      </c>
      <c r="D968" s="996" t="s">
        <v>85</v>
      </c>
      <c r="E968" s="996" t="s">
        <v>814</v>
      </c>
      <c r="F968" s="996" t="s">
        <v>407</v>
      </c>
      <c r="G968" s="997">
        <v>5197000</v>
      </c>
      <c r="H968" s="74" t="s">
        <v>448</v>
      </c>
      <c r="I968" s="74" t="s">
        <v>1339</v>
      </c>
      <c r="J968" s="74" t="s">
        <v>1328</v>
      </c>
    </row>
    <row r="969" spans="1:10" hidden="1">
      <c r="A969" s="996">
        <v>4</v>
      </c>
      <c r="B969" s="996" t="s">
        <v>936</v>
      </c>
      <c r="C969" s="996" t="s">
        <v>873</v>
      </c>
      <c r="D969" s="996" t="s">
        <v>86</v>
      </c>
      <c r="E969" s="996" t="s">
        <v>815</v>
      </c>
      <c r="F969" s="996" t="s">
        <v>408</v>
      </c>
      <c r="G969" s="997">
        <v>520000</v>
      </c>
      <c r="H969" s="74" t="s">
        <v>448</v>
      </c>
      <c r="I969" s="74" t="s">
        <v>1339</v>
      </c>
      <c r="J969" s="74" t="s">
        <v>1328</v>
      </c>
    </row>
    <row r="970" spans="1:10" hidden="1">
      <c r="A970" s="996">
        <v>4</v>
      </c>
      <c r="B970" s="996" t="s">
        <v>936</v>
      </c>
      <c r="C970" s="996" t="s">
        <v>873</v>
      </c>
      <c r="D970" s="996" t="s">
        <v>425</v>
      </c>
      <c r="E970" s="996" t="s">
        <v>816</v>
      </c>
      <c r="F970" s="996" t="s">
        <v>945</v>
      </c>
      <c r="G970" s="997">
        <v>5633000</v>
      </c>
      <c r="H970" s="74" t="s">
        <v>448</v>
      </c>
      <c r="I970" s="74" t="s">
        <v>1339</v>
      </c>
      <c r="J970" s="74" t="s">
        <v>1328</v>
      </c>
    </row>
    <row r="971" spans="1:10" hidden="1">
      <c r="A971" s="996">
        <v>4</v>
      </c>
      <c r="B971" s="996" t="s">
        <v>936</v>
      </c>
      <c r="C971" s="996" t="s">
        <v>873</v>
      </c>
      <c r="D971" s="996" t="s">
        <v>89</v>
      </c>
      <c r="E971" s="996" t="s">
        <v>817</v>
      </c>
      <c r="F971" s="996" t="s">
        <v>409</v>
      </c>
      <c r="G971" s="997">
        <v>3118000</v>
      </c>
      <c r="H971" s="74" t="s">
        <v>448</v>
      </c>
      <c r="I971" s="74" t="s">
        <v>1339</v>
      </c>
      <c r="J971" s="74" t="s">
        <v>1328</v>
      </c>
    </row>
    <row r="972" spans="1:10" hidden="1">
      <c r="A972" s="996">
        <v>4</v>
      </c>
      <c r="B972" s="996" t="s">
        <v>936</v>
      </c>
      <c r="C972" s="996" t="s">
        <v>873</v>
      </c>
      <c r="D972" s="996" t="s">
        <v>90</v>
      </c>
      <c r="E972" s="996" t="s">
        <v>818</v>
      </c>
      <c r="F972" s="996" t="s">
        <v>714</v>
      </c>
      <c r="G972" s="997">
        <v>1559000</v>
      </c>
      <c r="H972" s="74" t="s">
        <v>448</v>
      </c>
      <c r="I972" s="74" t="s">
        <v>1339</v>
      </c>
      <c r="J972" s="74" t="s">
        <v>1328</v>
      </c>
    </row>
    <row r="973" spans="1:10" hidden="1">
      <c r="A973" s="996">
        <v>4</v>
      </c>
      <c r="B973" s="996" t="s">
        <v>936</v>
      </c>
      <c r="C973" s="996" t="s">
        <v>874</v>
      </c>
      <c r="D973" s="996" t="s">
        <v>138</v>
      </c>
      <c r="E973" s="996" t="s">
        <v>985</v>
      </c>
      <c r="F973" s="996" t="s">
        <v>1295</v>
      </c>
      <c r="G973" s="997">
        <v>968000</v>
      </c>
      <c r="H973" s="74" t="s">
        <v>448</v>
      </c>
      <c r="I973" s="74" t="s">
        <v>1339</v>
      </c>
      <c r="J973" s="74" t="s">
        <v>1328</v>
      </c>
    </row>
    <row r="974" spans="1:10" hidden="1">
      <c r="A974" s="996">
        <v>4</v>
      </c>
      <c r="B974" s="996" t="s">
        <v>937</v>
      </c>
      <c r="C974" s="996" t="s">
        <v>873</v>
      </c>
      <c r="D974" s="996" t="s">
        <v>67</v>
      </c>
      <c r="E974" s="996" t="s">
        <v>803</v>
      </c>
      <c r="F974" s="996" t="s">
        <v>991</v>
      </c>
      <c r="G974" s="997">
        <v>22952000</v>
      </c>
      <c r="H974" s="74" t="s">
        <v>448</v>
      </c>
      <c r="I974" s="74" t="s">
        <v>1339</v>
      </c>
      <c r="J974" s="74" t="s">
        <v>1328</v>
      </c>
    </row>
    <row r="975" spans="1:10" hidden="1">
      <c r="A975" s="996">
        <v>4</v>
      </c>
      <c r="B975" s="996" t="s">
        <v>937</v>
      </c>
      <c r="C975" s="996" t="s">
        <v>873</v>
      </c>
      <c r="D975" s="996" t="s">
        <v>75</v>
      </c>
      <c r="E975" s="996" t="s">
        <v>799</v>
      </c>
      <c r="F975" s="996" t="s">
        <v>399</v>
      </c>
      <c r="G975" s="997">
        <v>10096000</v>
      </c>
      <c r="H975" s="74" t="s">
        <v>448</v>
      </c>
      <c r="I975" s="74" t="s">
        <v>1339</v>
      </c>
      <c r="J975" s="74" t="s">
        <v>1328</v>
      </c>
    </row>
    <row r="976" spans="1:10" hidden="1">
      <c r="A976" s="996">
        <v>4</v>
      </c>
      <c r="B976" s="996" t="s">
        <v>937</v>
      </c>
      <c r="C976" s="996" t="s">
        <v>873</v>
      </c>
      <c r="D976" s="996" t="s">
        <v>76</v>
      </c>
      <c r="E976" s="996" t="s">
        <v>800</v>
      </c>
      <c r="F976" s="996" t="s">
        <v>400</v>
      </c>
      <c r="G976" s="997">
        <v>5065000</v>
      </c>
      <c r="H976" s="74" t="s">
        <v>448</v>
      </c>
      <c r="I976" s="74" t="s">
        <v>1339</v>
      </c>
      <c r="J976" s="74" t="s">
        <v>1328</v>
      </c>
    </row>
    <row r="977" spans="1:10" hidden="1">
      <c r="A977" s="996">
        <v>4</v>
      </c>
      <c r="B977" s="996" t="s">
        <v>937</v>
      </c>
      <c r="C977" s="996" t="s">
        <v>873</v>
      </c>
      <c r="D977" s="996" t="s">
        <v>77</v>
      </c>
      <c r="E977" s="996" t="s">
        <v>809</v>
      </c>
      <c r="F977" s="996" t="s">
        <v>401</v>
      </c>
      <c r="G977" s="997">
        <v>3521000</v>
      </c>
      <c r="H977" s="74" t="s">
        <v>448</v>
      </c>
      <c r="I977" s="74" t="s">
        <v>1339</v>
      </c>
      <c r="J977" s="74" t="s">
        <v>1328</v>
      </c>
    </row>
    <row r="978" spans="1:10" hidden="1">
      <c r="A978" s="996">
        <v>4</v>
      </c>
      <c r="B978" s="996" t="s">
        <v>937</v>
      </c>
      <c r="C978" s="996" t="s">
        <v>873</v>
      </c>
      <c r="D978" s="996" t="s">
        <v>78</v>
      </c>
      <c r="E978" s="996" t="s">
        <v>810</v>
      </c>
      <c r="F978" s="996" t="s">
        <v>402</v>
      </c>
      <c r="G978" s="997">
        <v>3348000</v>
      </c>
      <c r="H978" s="74" t="s">
        <v>448</v>
      </c>
      <c r="I978" s="74" t="s">
        <v>1339</v>
      </c>
      <c r="J978" s="74" t="s">
        <v>1328</v>
      </c>
    </row>
    <row r="979" spans="1:10" hidden="1">
      <c r="A979" s="996">
        <v>4</v>
      </c>
      <c r="B979" s="996" t="s">
        <v>937</v>
      </c>
      <c r="C979" s="996" t="s">
        <v>873</v>
      </c>
      <c r="D979" s="996" t="s">
        <v>79</v>
      </c>
      <c r="E979" s="996" t="s">
        <v>801</v>
      </c>
      <c r="F979" s="996" t="s">
        <v>403</v>
      </c>
      <c r="G979" s="997">
        <v>886000</v>
      </c>
      <c r="H979" s="74" t="s">
        <v>448</v>
      </c>
      <c r="I979" s="74" t="s">
        <v>1339</v>
      </c>
      <c r="J979" s="74" t="s">
        <v>1328</v>
      </c>
    </row>
    <row r="980" spans="1:10" hidden="1">
      <c r="A980" s="996">
        <v>4</v>
      </c>
      <c r="B980" s="996" t="s">
        <v>937</v>
      </c>
      <c r="C980" s="996" t="s">
        <v>873</v>
      </c>
      <c r="D980" s="996" t="s">
        <v>82</v>
      </c>
      <c r="E980" s="996" t="s">
        <v>811</v>
      </c>
      <c r="F980" s="996" t="s">
        <v>404</v>
      </c>
      <c r="G980" s="997">
        <v>3917000</v>
      </c>
      <c r="H980" s="74" t="s">
        <v>448</v>
      </c>
      <c r="I980" s="74" t="s">
        <v>1339</v>
      </c>
      <c r="J980" s="74" t="s">
        <v>1328</v>
      </c>
    </row>
    <row r="981" spans="1:10" hidden="1">
      <c r="A981" s="996">
        <v>4</v>
      </c>
      <c r="B981" s="996" t="s">
        <v>937</v>
      </c>
      <c r="C981" s="996" t="s">
        <v>873</v>
      </c>
      <c r="D981" s="996" t="s">
        <v>83</v>
      </c>
      <c r="E981" s="996" t="s">
        <v>812</v>
      </c>
      <c r="F981" s="996" t="s">
        <v>405</v>
      </c>
      <c r="G981" s="997">
        <v>212000</v>
      </c>
      <c r="H981" s="74" t="s">
        <v>448</v>
      </c>
      <c r="I981" s="74" t="s">
        <v>1339</v>
      </c>
      <c r="J981" s="74" t="s">
        <v>1328</v>
      </c>
    </row>
    <row r="982" spans="1:10" hidden="1">
      <c r="A982" s="996">
        <v>4</v>
      </c>
      <c r="B982" s="996" t="s">
        <v>937</v>
      </c>
      <c r="C982" s="996" t="s">
        <v>873</v>
      </c>
      <c r="D982" s="996" t="s">
        <v>84</v>
      </c>
      <c r="E982" s="996" t="s">
        <v>813</v>
      </c>
      <c r="F982" s="996" t="s">
        <v>406</v>
      </c>
      <c r="G982" s="997">
        <v>144000</v>
      </c>
      <c r="H982" s="74" t="s">
        <v>448</v>
      </c>
      <c r="I982" s="74" t="s">
        <v>1339</v>
      </c>
      <c r="J982" s="74" t="s">
        <v>1328</v>
      </c>
    </row>
    <row r="983" spans="1:10" hidden="1">
      <c r="A983" s="996">
        <v>4</v>
      </c>
      <c r="B983" s="996" t="s">
        <v>937</v>
      </c>
      <c r="C983" s="996" t="s">
        <v>873</v>
      </c>
      <c r="D983" s="996" t="s">
        <v>84</v>
      </c>
      <c r="E983" s="996" t="s">
        <v>813</v>
      </c>
      <c r="F983" s="996" t="s">
        <v>406</v>
      </c>
      <c r="G983" s="1116">
        <v>491000</v>
      </c>
      <c r="H983" s="74" t="s">
        <v>1330</v>
      </c>
      <c r="I983" s="74" t="s">
        <v>1340</v>
      </c>
      <c r="J983" s="74" t="s">
        <v>1328</v>
      </c>
    </row>
    <row r="984" spans="1:10" hidden="1">
      <c r="A984" s="996">
        <v>4</v>
      </c>
      <c r="B984" s="996" t="s">
        <v>937</v>
      </c>
      <c r="C984" s="996" t="s">
        <v>873</v>
      </c>
      <c r="D984" s="996" t="s">
        <v>85</v>
      </c>
      <c r="E984" s="996" t="s">
        <v>814</v>
      </c>
      <c r="F984" s="996" t="s">
        <v>407</v>
      </c>
      <c r="G984" s="997">
        <v>2117000</v>
      </c>
      <c r="H984" s="74" t="s">
        <v>448</v>
      </c>
      <c r="I984" s="74" t="s">
        <v>1339</v>
      </c>
      <c r="J984" s="74" t="s">
        <v>1328</v>
      </c>
    </row>
    <row r="985" spans="1:10" hidden="1">
      <c r="A985" s="996">
        <v>4</v>
      </c>
      <c r="B985" s="996" t="s">
        <v>937</v>
      </c>
      <c r="C985" s="996" t="s">
        <v>873</v>
      </c>
      <c r="D985" s="996" t="s">
        <v>86</v>
      </c>
      <c r="E985" s="996" t="s">
        <v>815</v>
      </c>
      <c r="F985" s="996" t="s">
        <v>408</v>
      </c>
      <c r="G985" s="997">
        <v>212000</v>
      </c>
      <c r="H985" s="74" t="s">
        <v>448</v>
      </c>
      <c r="I985" s="74" t="s">
        <v>1339</v>
      </c>
      <c r="J985" s="74" t="s">
        <v>1328</v>
      </c>
    </row>
    <row r="986" spans="1:10" hidden="1">
      <c r="A986" s="996">
        <v>4</v>
      </c>
      <c r="B986" s="996" t="s">
        <v>937</v>
      </c>
      <c r="C986" s="996" t="s">
        <v>873</v>
      </c>
      <c r="D986" s="996" t="s">
        <v>425</v>
      </c>
      <c r="E986" s="996" t="s">
        <v>816</v>
      </c>
      <c r="F986" s="996" t="s">
        <v>945</v>
      </c>
      <c r="G986" s="997">
        <v>2295000</v>
      </c>
      <c r="H986" s="74" t="s">
        <v>448</v>
      </c>
      <c r="I986" s="74" t="s">
        <v>1339</v>
      </c>
      <c r="J986" s="74" t="s">
        <v>1328</v>
      </c>
    </row>
    <row r="987" spans="1:10" hidden="1">
      <c r="A987" s="996">
        <v>4</v>
      </c>
      <c r="B987" s="996" t="s">
        <v>937</v>
      </c>
      <c r="C987" s="996" t="s">
        <v>873</v>
      </c>
      <c r="D987" s="996" t="s">
        <v>89</v>
      </c>
      <c r="E987" s="996" t="s">
        <v>817</v>
      </c>
      <c r="F987" s="996" t="s">
        <v>409</v>
      </c>
      <c r="G987" s="997">
        <v>1270000</v>
      </c>
      <c r="H987" s="74" t="s">
        <v>448</v>
      </c>
      <c r="I987" s="74" t="s">
        <v>1339</v>
      </c>
      <c r="J987" s="74" t="s">
        <v>1328</v>
      </c>
    </row>
    <row r="988" spans="1:10" hidden="1">
      <c r="A988" s="996">
        <v>4</v>
      </c>
      <c r="B988" s="996" t="s">
        <v>937</v>
      </c>
      <c r="C988" s="996" t="s">
        <v>873</v>
      </c>
      <c r="D988" s="996" t="s">
        <v>90</v>
      </c>
      <c r="E988" s="996" t="s">
        <v>818</v>
      </c>
      <c r="F988" s="996" t="s">
        <v>714</v>
      </c>
      <c r="G988" s="997">
        <v>635000</v>
      </c>
      <c r="H988" s="74" t="s">
        <v>448</v>
      </c>
      <c r="I988" s="74" t="s">
        <v>1339</v>
      </c>
      <c r="J988" s="74" t="s">
        <v>1328</v>
      </c>
    </row>
    <row r="989" spans="1:10" hidden="1">
      <c r="A989" s="996">
        <v>4</v>
      </c>
      <c r="B989" s="996" t="s">
        <v>937</v>
      </c>
      <c r="C989" s="996" t="s">
        <v>874</v>
      </c>
      <c r="D989" s="996" t="s">
        <v>138</v>
      </c>
      <c r="E989" s="996" t="s">
        <v>985</v>
      </c>
      <c r="F989" s="996" t="s">
        <v>1296</v>
      </c>
      <c r="G989" s="997">
        <v>394000</v>
      </c>
      <c r="H989" s="74" t="s">
        <v>448</v>
      </c>
      <c r="I989" s="74" t="s">
        <v>1339</v>
      </c>
      <c r="J989" s="74" t="s">
        <v>1328</v>
      </c>
    </row>
    <row r="990" spans="1:10" hidden="1">
      <c r="A990" s="996">
        <v>4</v>
      </c>
      <c r="B990" s="996" t="s">
        <v>938</v>
      </c>
      <c r="C990" s="996" t="s">
        <v>873</v>
      </c>
      <c r="D990" s="996" t="s">
        <v>67</v>
      </c>
      <c r="E990" s="996" t="s">
        <v>803</v>
      </c>
      <c r="F990" s="996" t="s">
        <v>991</v>
      </c>
      <c r="G990" s="997">
        <v>22481000</v>
      </c>
      <c r="H990" s="74" t="s">
        <v>448</v>
      </c>
      <c r="I990" s="74" t="s">
        <v>1339</v>
      </c>
      <c r="J990" s="74" t="s">
        <v>1328</v>
      </c>
    </row>
    <row r="991" spans="1:10" hidden="1">
      <c r="A991" s="996">
        <v>4</v>
      </c>
      <c r="B991" s="996" t="s">
        <v>938</v>
      </c>
      <c r="C991" s="996" t="s">
        <v>873</v>
      </c>
      <c r="D991" s="996" t="s">
        <v>75</v>
      </c>
      <c r="E991" s="996" t="s">
        <v>799</v>
      </c>
      <c r="F991" s="996" t="s">
        <v>399</v>
      </c>
      <c r="G991" s="997">
        <v>4569000</v>
      </c>
      <c r="H991" s="74" t="s">
        <v>448</v>
      </c>
      <c r="I991" s="74" t="s">
        <v>1339</v>
      </c>
      <c r="J991" s="74" t="s">
        <v>1328</v>
      </c>
    </row>
    <row r="992" spans="1:10" hidden="1">
      <c r="A992" s="996">
        <v>4</v>
      </c>
      <c r="B992" s="996" t="s">
        <v>938</v>
      </c>
      <c r="C992" s="996" t="s">
        <v>873</v>
      </c>
      <c r="D992" s="996" t="s">
        <v>76</v>
      </c>
      <c r="E992" s="996" t="s">
        <v>800</v>
      </c>
      <c r="F992" s="996" t="s">
        <v>400</v>
      </c>
      <c r="G992" s="997">
        <v>7368000</v>
      </c>
      <c r="H992" s="74" t="s">
        <v>448</v>
      </c>
      <c r="I992" s="74" t="s">
        <v>1339</v>
      </c>
      <c r="J992" s="74" t="s">
        <v>1328</v>
      </c>
    </row>
    <row r="993" spans="1:10" hidden="1">
      <c r="A993" s="996">
        <v>4</v>
      </c>
      <c r="B993" s="996" t="s">
        <v>938</v>
      </c>
      <c r="C993" s="996" t="s">
        <v>873</v>
      </c>
      <c r="D993" s="996" t="s">
        <v>77</v>
      </c>
      <c r="E993" s="996" t="s">
        <v>809</v>
      </c>
      <c r="F993" s="996" t="s">
        <v>401</v>
      </c>
      <c r="G993" s="997">
        <v>3254000</v>
      </c>
      <c r="H993" s="74" t="s">
        <v>448</v>
      </c>
      <c r="I993" s="74" t="s">
        <v>1339</v>
      </c>
      <c r="J993" s="74" t="s">
        <v>1328</v>
      </c>
    </row>
    <row r="994" spans="1:10" hidden="1">
      <c r="A994" s="996">
        <v>4</v>
      </c>
      <c r="B994" s="996" t="s">
        <v>938</v>
      </c>
      <c r="C994" s="996" t="s">
        <v>873</v>
      </c>
      <c r="D994" s="996" t="s">
        <v>78</v>
      </c>
      <c r="E994" s="996" t="s">
        <v>810</v>
      </c>
      <c r="F994" s="996" t="s">
        <v>402</v>
      </c>
      <c r="G994" s="997">
        <v>3047000</v>
      </c>
      <c r="H994" s="74" t="s">
        <v>448</v>
      </c>
      <c r="I994" s="74" t="s">
        <v>1339</v>
      </c>
      <c r="J994" s="74" t="s">
        <v>1328</v>
      </c>
    </row>
    <row r="995" spans="1:10" hidden="1">
      <c r="A995" s="996">
        <v>4</v>
      </c>
      <c r="B995" s="996" t="s">
        <v>938</v>
      </c>
      <c r="C995" s="996" t="s">
        <v>873</v>
      </c>
      <c r="D995" s="996" t="s">
        <v>79</v>
      </c>
      <c r="E995" s="996" t="s">
        <v>801</v>
      </c>
      <c r="F995" s="996" t="s">
        <v>403</v>
      </c>
      <c r="G995" s="997">
        <v>1623000</v>
      </c>
      <c r="H995" s="74" t="s">
        <v>448</v>
      </c>
      <c r="I995" s="74" t="s">
        <v>1339</v>
      </c>
      <c r="J995" s="74" t="s">
        <v>1328</v>
      </c>
    </row>
    <row r="996" spans="1:10" hidden="1">
      <c r="A996" s="996">
        <v>4</v>
      </c>
      <c r="B996" s="996" t="s">
        <v>938</v>
      </c>
      <c r="C996" s="996" t="s">
        <v>873</v>
      </c>
      <c r="D996" s="996" t="s">
        <v>82</v>
      </c>
      <c r="E996" s="996" t="s">
        <v>811</v>
      </c>
      <c r="F996" s="996" t="s">
        <v>404</v>
      </c>
      <c r="G996" s="997">
        <v>3616000</v>
      </c>
      <c r="H996" s="74" t="s">
        <v>448</v>
      </c>
      <c r="I996" s="74" t="s">
        <v>1339</v>
      </c>
      <c r="J996" s="74" t="s">
        <v>1328</v>
      </c>
    </row>
    <row r="997" spans="1:10" hidden="1">
      <c r="A997" s="996">
        <v>4</v>
      </c>
      <c r="B997" s="996" t="s">
        <v>938</v>
      </c>
      <c r="C997" s="996" t="s">
        <v>873</v>
      </c>
      <c r="D997" s="996" t="s">
        <v>83</v>
      </c>
      <c r="E997" s="996" t="s">
        <v>812</v>
      </c>
      <c r="F997" s="996" t="s">
        <v>405</v>
      </c>
      <c r="G997" s="997">
        <v>195000</v>
      </c>
      <c r="H997" s="74" t="s">
        <v>448</v>
      </c>
      <c r="I997" s="74" t="s">
        <v>1339</v>
      </c>
      <c r="J997" s="74" t="s">
        <v>1328</v>
      </c>
    </row>
    <row r="998" spans="1:10" hidden="1">
      <c r="A998" s="996">
        <v>4</v>
      </c>
      <c r="B998" s="996" t="s">
        <v>938</v>
      </c>
      <c r="C998" s="996" t="s">
        <v>873</v>
      </c>
      <c r="D998" s="996" t="s">
        <v>84</v>
      </c>
      <c r="E998" s="996" t="s">
        <v>813</v>
      </c>
      <c r="F998" s="996" t="s">
        <v>406</v>
      </c>
      <c r="G998" s="997">
        <v>586000</v>
      </c>
      <c r="H998" s="74" t="s">
        <v>448</v>
      </c>
      <c r="I998" s="74" t="s">
        <v>1339</v>
      </c>
      <c r="J998" s="74" t="s">
        <v>1328</v>
      </c>
    </row>
    <row r="999" spans="1:10" hidden="1">
      <c r="A999" s="996">
        <v>4</v>
      </c>
      <c r="B999" s="996" t="s">
        <v>938</v>
      </c>
      <c r="C999" s="996" t="s">
        <v>873</v>
      </c>
      <c r="D999" s="996" t="s">
        <v>85</v>
      </c>
      <c r="E999" s="996" t="s">
        <v>814</v>
      </c>
      <c r="F999" s="996" t="s">
        <v>407</v>
      </c>
      <c r="G999" s="997">
        <v>1954000</v>
      </c>
      <c r="H999" s="74" t="s">
        <v>448</v>
      </c>
      <c r="I999" s="74" t="s">
        <v>1339</v>
      </c>
      <c r="J999" s="74" t="s">
        <v>1328</v>
      </c>
    </row>
    <row r="1000" spans="1:10" hidden="1">
      <c r="A1000" s="996">
        <v>4</v>
      </c>
      <c r="B1000" s="996" t="s">
        <v>938</v>
      </c>
      <c r="C1000" s="996" t="s">
        <v>873</v>
      </c>
      <c r="D1000" s="996" t="s">
        <v>86</v>
      </c>
      <c r="E1000" s="996" t="s">
        <v>815</v>
      </c>
      <c r="F1000" s="996" t="s">
        <v>408</v>
      </c>
      <c r="G1000" s="997">
        <v>195000</v>
      </c>
      <c r="H1000" s="74" t="s">
        <v>448</v>
      </c>
      <c r="I1000" s="74" t="s">
        <v>1339</v>
      </c>
      <c r="J1000" s="74" t="s">
        <v>1328</v>
      </c>
    </row>
    <row r="1001" spans="1:10" hidden="1">
      <c r="A1001" s="996">
        <v>4</v>
      </c>
      <c r="B1001" s="996" t="s">
        <v>938</v>
      </c>
      <c r="C1001" s="996" t="s">
        <v>873</v>
      </c>
      <c r="D1001" s="996" t="s">
        <v>425</v>
      </c>
      <c r="E1001" s="996" t="s">
        <v>816</v>
      </c>
      <c r="F1001" s="996" t="s">
        <v>945</v>
      </c>
      <c r="G1001" s="997">
        <v>2118000</v>
      </c>
      <c r="H1001" s="74" t="s">
        <v>448</v>
      </c>
      <c r="I1001" s="74" t="s">
        <v>1339</v>
      </c>
      <c r="J1001" s="74" t="s">
        <v>1328</v>
      </c>
    </row>
    <row r="1002" spans="1:10" hidden="1">
      <c r="A1002" s="996">
        <v>4</v>
      </c>
      <c r="B1002" s="996" t="s">
        <v>938</v>
      </c>
      <c r="C1002" s="996" t="s">
        <v>873</v>
      </c>
      <c r="D1002" s="996" t="s">
        <v>89</v>
      </c>
      <c r="E1002" s="996" t="s">
        <v>817</v>
      </c>
      <c r="F1002" s="996" t="s">
        <v>409</v>
      </c>
      <c r="G1002" s="997">
        <v>1173000</v>
      </c>
      <c r="H1002" s="74" t="s">
        <v>448</v>
      </c>
      <c r="I1002" s="74" t="s">
        <v>1339</v>
      </c>
      <c r="J1002" s="74" t="s">
        <v>1328</v>
      </c>
    </row>
    <row r="1003" spans="1:10" hidden="1">
      <c r="A1003" s="996">
        <v>4</v>
      </c>
      <c r="B1003" s="996" t="s">
        <v>938</v>
      </c>
      <c r="C1003" s="996" t="s">
        <v>873</v>
      </c>
      <c r="D1003" s="996" t="s">
        <v>90</v>
      </c>
      <c r="E1003" s="996" t="s">
        <v>818</v>
      </c>
      <c r="F1003" s="996" t="s">
        <v>714</v>
      </c>
      <c r="G1003" s="997">
        <v>586000</v>
      </c>
      <c r="H1003" s="74" t="s">
        <v>448</v>
      </c>
      <c r="I1003" s="74" t="s">
        <v>1339</v>
      </c>
      <c r="J1003" s="74" t="s">
        <v>1328</v>
      </c>
    </row>
    <row r="1004" spans="1:10" hidden="1">
      <c r="A1004" s="996">
        <v>4</v>
      </c>
      <c r="B1004" s="996" t="s">
        <v>938</v>
      </c>
      <c r="C1004" s="996" t="s">
        <v>874</v>
      </c>
      <c r="D1004" s="996" t="s">
        <v>138</v>
      </c>
      <c r="E1004" s="996" t="s">
        <v>985</v>
      </c>
      <c r="F1004" s="996" t="s">
        <v>1297</v>
      </c>
      <c r="G1004" s="997">
        <v>364000</v>
      </c>
      <c r="H1004" s="74" t="s">
        <v>448</v>
      </c>
      <c r="I1004" s="74" t="s">
        <v>1339</v>
      </c>
      <c r="J1004" s="74" t="s">
        <v>1328</v>
      </c>
    </row>
    <row r="1005" spans="1:10" hidden="1">
      <c r="A1005" s="996">
        <v>4</v>
      </c>
      <c r="B1005" s="996" t="s">
        <v>939</v>
      </c>
      <c r="C1005" s="996" t="s">
        <v>873</v>
      </c>
      <c r="D1005" s="996" t="s">
        <v>67</v>
      </c>
      <c r="E1005" s="996" t="s">
        <v>803</v>
      </c>
      <c r="F1005" s="996" t="s">
        <v>991</v>
      </c>
      <c r="G1005" s="997">
        <v>34037000</v>
      </c>
      <c r="H1005" s="74" t="s">
        <v>448</v>
      </c>
      <c r="I1005" s="74" t="s">
        <v>1339</v>
      </c>
      <c r="J1005" s="74" t="s">
        <v>1328</v>
      </c>
    </row>
    <row r="1006" spans="1:10" hidden="1">
      <c r="A1006" s="996">
        <v>4</v>
      </c>
      <c r="B1006" s="996" t="s">
        <v>939</v>
      </c>
      <c r="C1006" s="996" t="s">
        <v>873</v>
      </c>
      <c r="D1006" s="996" t="s">
        <v>75</v>
      </c>
      <c r="E1006" s="996" t="s">
        <v>799</v>
      </c>
      <c r="F1006" s="996" t="s">
        <v>399</v>
      </c>
      <c r="G1006" s="997">
        <v>6244000</v>
      </c>
      <c r="H1006" s="74" t="s">
        <v>448</v>
      </c>
      <c r="I1006" s="74" t="s">
        <v>1339</v>
      </c>
      <c r="J1006" s="74" t="s">
        <v>1328</v>
      </c>
    </row>
    <row r="1007" spans="1:10" hidden="1">
      <c r="A1007" s="996">
        <v>4</v>
      </c>
      <c r="B1007" s="996" t="s">
        <v>939</v>
      </c>
      <c r="C1007" s="996" t="s">
        <v>873</v>
      </c>
      <c r="D1007" s="996" t="s">
        <v>76</v>
      </c>
      <c r="E1007" s="996" t="s">
        <v>800</v>
      </c>
      <c r="F1007" s="996" t="s">
        <v>400</v>
      </c>
      <c r="G1007" s="997">
        <v>6207000</v>
      </c>
      <c r="H1007" s="74" t="s">
        <v>448</v>
      </c>
      <c r="I1007" s="74" t="s">
        <v>1339</v>
      </c>
      <c r="J1007" s="74" t="s">
        <v>1328</v>
      </c>
    </row>
    <row r="1008" spans="1:10" hidden="1">
      <c r="A1008" s="996">
        <v>4</v>
      </c>
      <c r="B1008" s="996" t="s">
        <v>939</v>
      </c>
      <c r="C1008" s="996" t="s">
        <v>873</v>
      </c>
      <c r="D1008" s="996" t="s">
        <v>77</v>
      </c>
      <c r="E1008" s="996" t="s">
        <v>809</v>
      </c>
      <c r="F1008" s="996" t="s">
        <v>401</v>
      </c>
      <c r="G1008" s="997">
        <v>4370000</v>
      </c>
      <c r="H1008" s="74" t="s">
        <v>448</v>
      </c>
      <c r="I1008" s="74" t="s">
        <v>1339</v>
      </c>
      <c r="J1008" s="74" t="s">
        <v>1328</v>
      </c>
    </row>
    <row r="1009" spans="1:10" hidden="1">
      <c r="A1009" s="996">
        <v>4</v>
      </c>
      <c r="B1009" s="996" t="s">
        <v>939</v>
      </c>
      <c r="C1009" s="996" t="s">
        <v>873</v>
      </c>
      <c r="D1009" s="996" t="s">
        <v>78</v>
      </c>
      <c r="E1009" s="996" t="s">
        <v>810</v>
      </c>
      <c r="F1009" s="996" t="s">
        <v>402</v>
      </c>
      <c r="G1009" s="997">
        <v>4033000</v>
      </c>
      <c r="H1009" s="74" t="s">
        <v>448</v>
      </c>
      <c r="I1009" s="74" t="s">
        <v>1339</v>
      </c>
      <c r="J1009" s="74" t="s">
        <v>1328</v>
      </c>
    </row>
    <row r="1010" spans="1:10" hidden="1">
      <c r="A1010" s="996">
        <v>4</v>
      </c>
      <c r="B1010" s="996" t="s">
        <v>939</v>
      </c>
      <c r="C1010" s="996" t="s">
        <v>873</v>
      </c>
      <c r="D1010" s="996" t="s">
        <v>79</v>
      </c>
      <c r="E1010" s="996" t="s">
        <v>801</v>
      </c>
      <c r="F1010" s="996" t="s">
        <v>403</v>
      </c>
      <c r="G1010" s="997">
        <v>1923000</v>
      </c>
      <c r="H1010" s="74" t="s">
        <v>448</v>
      </c>
      <c r="I1010" s="74" t="s">
        <v>1339</v>
      </c>
      <c r="J1010" s="74" t="s">
        <v>1328</v>
      </c>
    </row>
    <row r="1011" spans="1:10" hidden="1">
      <c r="A1011" s="996">
        <v>4</v>
      </c>
      <c r="B1011" s="996" t="s">
        <v>939</v>
      </c>
      <c r="C1011" s="996" t="s">
        <v>873</v>
      </c>
      <c r="D1011" s="996" t="s">
        <v>82</v>
      </c>
      <c r="E1011" s="996" t="s">
        <v>811</v>
      </c>
      <c r="F1011" s="996" t="s">
        <v>404</v>
      </c>
      <c r="G1011" s="997">
        <v>4851000</v>
      </c>
      <c r="H1011" s="74" t="s">
        <v>448</v>
      </c>
      <c r="I1011" s="74" t="s">
        <v>1339</v>
      </c>
      <c r="J1011" s="74" t="s">
        <v>1328</v>
      </c>
    </row>
    <row r="1012" spans="1:10" hidden="1">
      <c r="A1012" s="996">
        <v>4</v>
      </c>
      <c r="B1012" s="996" t="s">
        <v>939</v>
      </c>
      <c r="C1012" s="996" t="s">
        <v>873</v>
      </c>
      <c r="D1012" s="996" t="s">
        <v>83</v>
      </c>
      <c r="E1012" s="996" t="s">
        <v>812</v>
      </c>
      <c r="F1012" s="996" t="s">
        <v>405</v>
      </c>
      <c r="G1012" s="997">
        <v>262000</v>
      </c>
      <c r="H1012" s="74" t="s">
        <v>448</v>
      </c>
      <c r="I1012" s="74" t="s">
        <v>1339</v>
      </c>
      <c r="J1012" s="74" t="s">
        <v>1328</v>
      </c>
    </row>
    <row r="1013" spans="1:10" hidden="1">
      <c r="A1013" s="996">
        <v>4</v>
      </c>
      <c r="B1013" s="996" t="s">
        <v>939</v>
      </c>
      <c r="C1013" s="996" t="s">
        <v>873</v>
      </c>
      <c r="D1013" s="996" t="s">
        <v>84</v>
      </c>
      <c r="E1013" s="996" t="s">
        <v>813</v>
      </c>
      <c r="F1013" s="996" t="s">
        <v>406</v>
      </c>
      <c r="G1013" s="997">
        <v>787000</v>
      </c>
      <c r="H1013" s="74" t="s">
        <v>448</v>
      </c>
      <c r="I1013" s="74" t="s">
        <v>1339</v>
      </c>
      <c r="J1013" s="74" t="s">
        <v>1328</v>
      </c>
    </row>
    <row r="1014" spans="1:10" hidden="1">
      <c r="A1014" s="996">
        <v>4</v>
      </c>
      <c r="B1014" s="996" t="s">
        <v>939</v>
      </c>
      <c r="C1014" s="996" t="s">
        <v>873</v>
      </c>
      <c r="D1014" s="996" t="s">
        <v>85</v>
      </c>
      <c r="E1014" s="996" t="s">
        <v>814</v>
      </c>
      <c r="F1014" s="996" t="s">
        <v>407</v>
      </c>
      <c r="G1014" s="997">
        <v>2622000</v>
      </c>
      <c r="H1014" s="74" t="s">
        <v>448</v>
      </c>
      <c r="I1014" s="74" t="s">
        <v>1339</v>
      </c>
      <c r="J1014" s="74" t="s">
        <v>1328</v>
      </c>
    </row>
    <row r="1015" spans="1:10" hidden="1">
      <c r="A1015" s="996">
        <v>4</v>
      </c>
      <c r="B1015" s="996" t="s">
        <v>939</v>
      </c>
      <c r="C1015" s="996" t="s">
        <v>873</v>
      </c>
      <c r="D1015" s="996" t="s">
        <v>86</v>
      </c>
      <c r="E1015" s="996" t="s">
        <v>815</v>
      </c>
      <c r="F1015" s="996" t="s">
        <v>408</v>
      </c>
      <c r="G1015" s="997">
        <v>262000</v>
      </c>
      <c r="H1015" s="74" t="s">
        <v>448</v>
      </c>
      <c r="I1015" s="74" t="s">
        <v>1339</v>
      </c>
      <c r="J1015" s="74" t="s">
        <v>1328</v>
      </c>
    </row>
    <row r="1016" spans="1:10" hidden="1">
      <c r="A1016" s="996">
        <v>4</v>
      </c>
      <c r="B1016" s="996" t="s">
        <v>939</v>
      </c>
      <c r="C1016" s="996" t="s">
        <v>873</v>
      </c>
      <c r="D1016" s="996" t="s">
        <v>425</v>
      </c>
      <c r="E1016" s="996" t="s">
        <v>816</v>
      </c>
      <c r="F1016" s="996" t="s">
        <v>945</v>
      </c>
      <c r="G1016" s="997">
        <v>2842000</v>
      </c>
      <c r="H1016" s="74" t="s">
        <v>448</v>
      </c>
      <c r="I1016" s="74" t="s">
        <v>1339</v>
      </c>
      <c r="J1016" s="74" t="s">
        <v>1328</v>
      </c>
    </row>
    <row r="1017" spans="1:10" hidden="1">
      <c r="A1017" s="996">
        <v>4</v>
      </c>
      <c r="B1017" s="996" t="s">
        <v>939</v>
      </c>
      <c r="C1017" s="996" t="s">
        <v>873</v>
      </c>
      <c r="D1017" s="996" t="s">
        <v>89</v>
      </c>
      <c r="E1017" s="996" t="s">
        <v>817</v>
      </c>
      <c r="F1017" s="996" t="s">
        <v>409</v>
      </c>
      <c r="G1017" s="997">
        <v>1573000</v>
      </c>
      <c r="H1017" s="74" t="s">
        <v>448</v>
      </c>
      <c r="I1017" s="74" t="s">
        <v>1339</v>
      </c>
      <c r="J1017" s="74" t="s">
        <v>1328</v>
      </c>
    </row>
    <row r="1018" spans="1:10" hidden="1">
      <c r="A1018" s="996">
        <v>4</v>
      </c>
      <c r="B1018" s="996" t="s">
        <v>939</v>
      </c>
      <c r="C1018" s="996" t="s">
        <v>873</v>
      </c>
      <c r="D1018" s="996" t="s">
        <v>90</v>
      </c>
      <c r="E1018" s="996" t="s">
        <v>818</v>
      </c>
      <c r="F1018" s="996" t="s">
        <v>1298</v>
      </c>
      <c r="G1018" s="997">
        <v>787000</v>
      </c>
      <c r="H1018" s="74" t="s">
        <v>448</v>
      </c>
      <c r="I1018" s="74" t="s">
        <v>1339</v>
      </c>
      <c r="J1018" s="74" t="s">
        <v>1328</v>
      </c>
    </row>
    <row r="1019" spans="1:10" hidden="1">
      <c r="A1019" s="996">
        <v>4</v>
      </c>
      <c r="B1019" s="996" t="s">
        <v>939</v>
      </c>
      <c r="C1019" s="996" t="s">
        <v>874</v>
      </c>
      <c r="D1019" s="996" t="s">
        <v>138</v>
      </c>
      <c r="E1019" s="996" t="s">
        <v>985</v>
      </c>
      <c r="F1019" s="996" t="s">
        <v>1299</v>
      </c>
      <c r="G1019" s="997">
        <v>489000</v>
      </c>
      <c r="H1019" s="74" t="s">
        <v>448</v>
      </c>
      <c r="I1019" s="74" t="s">
        <v>1339</v>
      </c>
      <c r="J1019" s="74" t="s">
        <v>1328</v>
      </c>
    </row>
    <row r="1020" spans="1:10" hidden="1">
      <c r="A1020" s="996">
        <v>4</v>
      </c>
      <c r="B1020" s="996" t="s">
        <v>941</v>
      </c>
      <c r="C1020" s="996" t="s">
        <v>874</v>
      </c>
      <c r="D1020" s="996" t="s">
        <v>94</v>
      </c>
      <c r="E1020" s="996" t="s">
        <v>819</v>
      </c>
      <c r="F1020" s="996" t="s">
        <v>1300</v>
      </c>
      <c r="G1020" s="997">
        <v>22850000</v>
      </c>
      <c r="H1020" s="74" t="s">
        <v>448</v>
      </c>
      <c r="I1020" s="74" t="s">
        <v>1339</v>
      </c>
      <c r="J1020" s="74" t="s">
        <v>1328</v>
      </c>
    </row>
    <row r="1021" spans="1:10" hidden="1">
      <c r="A1021" s="996">
        <v>4</v>
      </c>
      <c r="B1021" s="996" t="s">
        <v>941</v>
      </c>
      <c r="C1021" s="996" t="s">
        <v>874</v>
      </c>
      <c r="D1021" s="996" t="s">
        <v>103</v>
      </c>
      <c r="E1021" s="996" t="s">
        <v>821</v>
      </c>
      <c r="F1021" s="996" t="s">
        <v>1301</v>
      </c>
      <c r="G1021" s="997">
        <v>986000</v>
      </c>
      <c r="H1021" s="74" t="s">
        <v>448</v>
      </c>
      <c r="I1021" s="74" t="s">
        <v>1339</v>
      </c>
      <c r="J1021" s="74" t="s">
        <v>1328</v>
      </c>
    </row>
    <row r="1022" spans="1:10" hidden="1">
      <c r="A1022" s="996">
        <v>4</v>
      </c>
      <c r="B1022" s="996" t="s">
        <v>941</v>
      </c>
      <c r="C1022" s="996" t="s">
        <v>874</v>
      </c>
      <c r="D1022" s="996" t="s">
        <v>105</v>
      </c>
      <c r="E1022" s="996" t="s">
        <v>822</v>
      </c>
      <c r="F1022" s="996" t="s">
        <v>1302</v>
      </c>
      <c r="G1022" s="997">
        <v>3090000</v>
      </c>
      <c r="H1022" s="74" t="s">
        <v>448</v>
      </c>
      <c r="I1022" s="74" t="s">
        <v>1339</v>
      </c>
      <c r="J1022" s="74" t="s">
        <v>1328</v>
      </c>
    </row>
    <row r="1023" spans="1:10" hidden="1">
      <c r="A1023" s="996">
        <v>4</v>
      </c>
      <c r="B1023" s="996" t="s">
        <v>941</v>
      </c>
      <c r="C1023" s="996" t="s">
        <v>874</v>
      </c>
      <c r="D1023" s="996" t="s">
        <v>286</v>
      </c>
      <c r="E1023" s="996" t="s">
        <v>980</v>
      </c>
      <c r="F1023" s="996" t="s">
        <v>1303</v>
      </c>
      <c r="G1023" s="997">
        <v>1604000</v>
      </c>
      <c r="H1023" s="74" t="s">
        <v>448</v>
      </c>
      <c r="I1023" s="74" t="s">
        <v>1339</v>
      </c>
      <c r="J1023" s="74" t="s">
        <v>1328</v>
      </c>
    </row>
    <row r="1024" spans="1:10" hidden="1">
      <c r="A1024" s="996">
        <v>4</v>
      </c>
      <c r="B1024" s="996" t="s">
        <v>941</v>
      </c>
      <c r="C1024" s="996" t="s">
        <v>874</v>
      </c>
      <c r="D1024" s="996" t="s">
        <v>114</v>
      </c>
      <c r="E1024" s="996" t="s">
        <v>826</v>
      </c>
      <c r="F1024" s="996" t="s">
        <v>1304</v>
      </c>
      <c r="G1024" s="997">
        <v>40000000</v>
      </c>
      <c r="H1024" s="74" t="s">
        <v>448</v>
      </c>
      <c r="I1024" s="74" t="s">
        <v>1339</v>
      </c>
      <c r="J1024" s="74" t="s">
        <v>1328</v>
      </c>
    </row>
    <row r="1025" spans="1:10" hidden="1">
      <c r="A1025" s="996">
        <v>4</v>
      </c>
      <c r="B1025" s="996" t="s">
        <v>941</v>
      </c>
      <c r="C1025" s="996" t="s">
        <v>874</v>
      </c>
      <c r="D1025" s="996" t="s">
        <v>125</v>
      </c>
      <c r="E1025" s="996" t="s">
        <v>833</v>
      </c>
      <c r="F1025" s="996" t="s">
        <v>1305</v>
      </c>
      <c r="G1025" s="997">
        <v>7557000</v>
      </c>
      <c r="H1025" s="74" t="s">
        <v>448</v>
      </c>
      <c r="I1025" s="74" t="s">
        <v>1339</v>
      </c>
      <c r="J1025" s="74" t="s">
        <v>1328</v>
      </c>
    </row>
    <row r="1026" spans="1:10" hidden="1">
      <c r="A1026" s="996">
        <v>4</v>
      </c>
      <c r="B1026" s="996" t="s">
        <v>941</v>
      </c>
      <c r="C1026" s="996" t="s">
        <v>874</v>
      </c>
      <c r="D1026" s="996" t="s">
        <v>127</v>
      </c>
      <c r="E1026" s="996" t="s">
        <v>834</v>
      </c>
      <c r="F1026" s="996" t="s">
        <v>1306</v>
      </c>
      <c r="G1026" s="997">
        <v>88000000</v>
      </c>
      <c r="H1026" s="74" t="s">
        <v>448</v>
      </c>
      <c r="I1026" s="74" t="s">
        <v>1339</v>
      </c>
      <c r="J1026" s="74" t="s">
        <v>1328</v>
      </c>
    </row>
    <row r="1027" spans="1:10" hidden="1">
      <c r="A1027" s="996">
        <v>4</v>
      </c>
      <c r="B1027" s="996" t="s">
        <v>941</v>
      </c>
      <c r="C1027" s="996" t="s">
        <v>888</v>
      </c>
      <c r="D1027" s="996" t="s">
        <v>307</v>
      </c>
      <c r="E1027" s="996" t="s">
        <v>867</v>
      </c>
      <c r="F1027" s="996" t="s">
        <v>942</v>
      </c>
      <c r="G1027" s="997">
        <v>1200000</v>
      </c>
      <c r="H1027" s="74" t="s">
        <v>448</v>
      </c>
      <c r="I1027" s="74" t="s">
        <v>1339</v>
      </c>
      <c r="J1027" s="74" t="s">
        <v>1328</v>
      </c>
    </row>
    <row r="1028" spans="1:10" hidden="1">
      <c r="A1028" s="996">
        <v>4</v>
      </c>
      <c r="B1028" s="996" t="s">
        <v>943</v>
      </c>
      <c r="C1028" s="996" t="s">
        <v>874</v>
      </c>
      <c r="D1028" s="996" t="s">
        <v>94</v>
      </c>
      <c r="E1028" s="996" t="s">
        <v>819</v>
      </c>
      <c r="F1028" s="996" t="s">
        <v>1307</v>
      </c>
      <c r="G1028" s="997">
        <v>13420000</v>
      </c>
      <c r="H1028" s="74" t="s">
        <v>448</v>
      </c>
      <c r="I1028" s="74" t="s">
        <v>1339</v>
      </c>
      <c r="J1028" s="74" t="s">
        <v>1328</v>
      </c>
    </row>
    <row r="1029" spans="1:10" hidden="1">
      <c r="A1029" s="996">
        <v>4</v>
      </c>
      <c r="B1029" s="996" t="s">
        <v>943</v>
      </c>
      <c r="C1029" s="996" t="s">
        <v>874</v>
      </c>
      <c r="D1029" s="996" t="s">
        <v>103</v>
      </c>
      <c r="E1029" s="996" t="s">
        <v>821</v>
      </c>
      <c r="F1029" s="996" t="s">
        <v>1308</v>
      </c>
      <c r="G1029" s="997">
        <v>578000</v>
      </c>
      <c r="H1029" s="74" t="s">
        <v>448</v>
      </c>
      <c r="I1029" s="74" t="s">
        <v>1339</v>
      </c>
      <c r="J1029" s="74" t="s">
        <v>1328</v>
      </c>
    </row>
    <row r="1030" spans="1:10" hidden="1">
      <c r="A1030" s="996">
        <v>4</v>
      </c>
      <c r="B1030" s="996" t="s">
        <v>943</v>
      </c>
      <c r="C1030" s="996" t="s">
        <v>874</v>
      </c>
      <c r="D1030" s="996" t="s">
        <v>105</v>
      </c>
      <c r="E1030" s="996" t="s">
        <v>822</v>
      </c>
      <c r="F1030" s="996" t="s">
        <v>1309</v>
      </c>
      <c r="G1030" s="997">
        <v>1814000</v>
      </c>
      <c r="H1030" s="74" t="s">
        <v>448</v>
      </c>
      <c r="I1030" s="74" t="s">
        <v>1339</v>
      </c>
      <c r="J1030" s="74" t="s">
        <v>1328</v>
      </c>
    </row>
    <row r="1031" spans="1:10" hidden="1">
      <c r="A1031" s="996">
        <v>4</v>
      </c>
      <c r="B1031" s="996" t="s">
        <v>943</v>
      </c>
      <c r="C1031" s="996" t="s">
        <v>874</v>
      </c>
      <c r="D1031" s="996" t="s">
        <v>286</v>
      </c>
      <c r="E1031" s="996" t="s">
        <v>980</v>
      </c>
      <c r="F1031" s="996" t="s">
        <v>1310</v>
      </c>
      <c r="G1031" s="997">
        <v>942000</v>
      </c>
      <c r="H1031" s="74" t="s">
        <v>448</v>
      </c>
      <c r="I1031" s="74" t="s">
        <v>1339</v>
      </c>
      <c r="J1031" s="74" t="s">
        <v>1328</v>
      </c>
    </row>
    <row r="1032" spans="1:10" hidden="1">
      <c r="A1032" s="996">
        <v>4</v>
      </c>
      <c r="B1032" s="996" t="s">
        <v>943</v>
      </c>
      <c r="C1032" s="996" t="s">
        <v>874</v>
      </c>
      <c r="D1032" s="996" t="s">
        <v>286</v>
      </c>
      <c r="E1032" s="996" t="s">
        <v>980</v>
      </c>
      <c r="F1032" s="996" t="s">
        <v>1311</v>
      </c>
      <c r="G1032" s="997">
        <v>1300000</v>
      </c>
      <c r="H1032" s="74" t="s">
        <v>448</v>
      </c>
      <c r="I1032" s="74" t="s">
        <v>1339</v>
      </c>
      <c r="J1032" s="74" t="s">
        <v>1328</v>
      </c>
    </row>
    <row r="1033" spans="1:10" hidden="1">
      <c r="A1033" s="996">
        <v>4</v>
      </c>
      <c r="B1033" s="996" t="s">
        <v>943</v>
      </c>
      <c r="C1033" s="996" t="s">
        <v>874</v>
      </c>
      <c r="D1033" s="996" t="s">
        <v>115</v>
      </c>
      <c r="E1033" s="996" t="s">
        <v>827</v>
      </c>
      <c r="F1033" s="996" t="s">
        <v>1347</v>
      </c>
      <c r="G1033" s="997">
        <v>3500000</v>
      </c>
      <c r="H1033" s="74" t="s">
        <v>448</v>
      </c>
      <c r="I1033" s="74" t="s">
        <v>1339</v>
      </c>
      <c r="J1033" s="74" t="s">
        <v>1328</v>
      </c>
    </row>
    <row r="1034" spans="1:10" hidden="1">
      <c r="A1034" s="996">
        <v>4</v>
      </c>
      <c r="B1034" s="996" t="s">
        <v>943</v>
      </c>
      <c r="C1034" s="996" t="s">
        <v>874</v>
      </c>
      <c r="D1034" s="996" t="s">
        <v>339</v>
      </c>
      <c r="E1034" s="996" t="s">
        <v>830</v>
      </c>
      <c r="F1034" s="996" t="s">
        <v>1312</v>
      </c>
      <c r="G1034" s="997">
        <v>300000</v>
      </c>
      <c r="H1034" s="74" t="s">
        <v>448</v>
      </c>
      <c r="I1034" s="74" t="s">
        <v>1339</v>
      </c>
      <c r="J1034" s="74" t="s">
        <v>1328</v>
      </c>
    </row>
    <row r="1035" spans="1:10" hidden="1">
      <c r="A1035" s="996">
        <v>4</v>
      </c>
      <c r="B1035" s="996" t="s">
        <v>943</v>
      </c>
      <c r="C1035" s="996" t="s">
        <v>874</v>
      </c>
      <c r="D1035" s="996" t="s">
        <v>125</v>
      </c>
      <c r="E1035" s="996" t="s">
        <v>833</v>
      </c>
      <c r="F1035" s="996" t="s">
        <v>1313</v>
      </c>
      <c r="G1035" s="997">
        <v>4439000</v>
      </c>
      <c r="H1035" s="74" t="s">
        <v>448</v>
      </c>
      <c r="I1035" s="74" t="s">
        <v>1339</v>
      </c>
      <c r="J1035" s="74" t="s">
        <v>1328</v>
      </c>
    </row>
    <row r="1036" spans="1:10" hidden="1">
      <c r="A1036" s="996">
        <v>4</v>
      </c>
      <c r="B1036" s="996" t="s">
        <v>943</v>
      </c>
      <c r="C1036" s="996" t="s">
        <v>874</v>
      </c>
      <c r="D1036" s="996" t="s">
        <v>127</v>
      </c>
      <c r="E1036" s="996" t="s">
        <v>834</v>
      </c>
      <c r="F1036" s="996" t="s">
        <v>1314</v>
      </c>
      <c r="G1036" s="997">
        <v>12000000</v>
      </c>
      <c r="H1036" s="74" t="s">
        <v>448</v>
      </c>
      <c r="I1036" s="74" t="s">
        <v>1339</v>
      </c>
      <c r="J1036" s="74" t="s">
        <v>1328</v>
      </c>
    </row>
    <row r="1037" spans="1:10">
      <c r="A1037" s="996">
        <v>4</v>
      </c>
      <c r="B1037" s="996" t="s">
        <v>943</v>
      </c>
      <c r="C1037" s="996" t="s">
        <v>874</v>
      </c>
      <c r="D1037" s="996" t="s">
        <v>133</v>
      </c>
      <c r="E1037" s="996" t="s">
        <v>836</v>
      </c>
      <c r="F1037" s="996" t="s">
        <v>1315</v>
      </c>
      <c r="G1037" s="997">
        <v>500000</v>
      </c>
      <c r="H1037" s="74" t="s">
        <v>448</v>
      </c>
      <c r="I1037" s="74" t="s">
        <v>1339</v>
      </c>
      <c r="J1037" s="74" t="s">
        <v>1328</v>
      </c>
    </row>
    <row r="1038" spans="1:10" hidden="1">
      <c r="A1038" s="996">
        <v>4</v>
      </c>
      <c r="B1038" s="996" t="s">
        <v>943</v>
      </c>
      <c r="C1038" s="996" t="s">
        <v>874</v>
      </c>
      <c r="D1038" s="996" t="s">
        <v>142</v>
      </c>
      <c r="E1038" s="996" t="s">
        <v>839</v>
      </c>
      <c r="F1038" s="996" t="s">
        <v>1347</v>
      </c>
      <c r="G1038" s="997">
        <v>5000000</v>
      </c>
      <c r="H1038" s="74" t="s">
        <v>448</v>
      </c>
      <c r="I1038" s="74" t="s">
        <v>1339</v>
      </c>
      <c r="J1038" s="74" t="s">
        <v>1328</v>
      </c>
    </row>
    <row r="1039" spans="1:10" hidden="1">
      <c r="A1039" s="996">
        <v>4</v>
      </c>
      <c r="B1039" s="996" t="s">
        <v>943</v>
      </c>
      <c r="C1039" s="996" t="s">
        <v>874</v>
      </c>
      <c r="D1039" s="996" t="s">
        <v>142</v>
      </c>
      <c r="E1039" s="996" t="s">
        <v>839</v>
      </c>
      <c r="F1039" s="996" t="s">
        <v>1316</v>
      </c>
      <c r="G1039" s="997">
        <v>600000</v>
      </c>
      <c r="H1039" s="74" t="s">
        <v>448</v>
      </c>
      <c r="I1039" s="74" t="s">
        <v>1339</v>
      </c>
      <c r="J1039" s="74" t="s">
        <v>1328</v>
      </c>
    </row>
    <row r="1040" spans="1:10" hidden="1">
      <c r="A1040" s="996">
        <v>4</v>
      </c>
      <c r="B1040" s="996" t="s">
        <v>943</v>
      </c>
      <c r="C1040" s="996" t="s">
        <v>891</v>
      </c>
      <c r="D1040" s="996" t="s">
        <v>192</v>
      </c>
      <c r="E1040" s="996" t="s">
        <v>856</v>
      </c>
      <c r="F1040" s="996" t="s">
        <v>1317</v>
      </c>
      <c r="G1040" s="997">
        <v>400000</v>
      </c>
      <c r="H1040" s="74" t="s">
        <v>448</v>
      </c>
      <c r="I1040" s="74" t="s">
        <v>1339</v>
      </c>
      <c r="J1040" s="74" t="s">
        <v>1328</v>
      </c>
    </row>
    <row r="1041" spans="1:10" hidden="1">
      <c r="A1041" s="996">
        <v>4</v>
      </c>
      <c r="B1041" s="996" t="s">
        <v>943</v>
      </c>
      <c r="C1041" s="996" t="s">
        <v>891</v>
      </c>
      <c r="D1041" s="996" t="s">
        <v>195</v>
      </c>
      <c r="E1041" s="996" t="s">
        <v>858</v>
      </c>
      <c r="F1041" s="996" t="s">
        <v>1317</v>
      </c>
      <c r="G1041" s="997">
        <v>400000</v>
      </c>
      <c r="H1041" s="74" t="s">
        <v>448</v>
      </c>
      <c r="I1041" s="74" t="s">
        <v>1339</v>
      </c>
      <c r="J1041" s="74" t="s">
        <v>1328</v>
      </c>
    </row>
    <row r="1042" spans="1:10" hidden="1">
      <c r="A1042" s="996">
        <v>4</v>
      </c>
      <c r="B1042" s="996" t="s">
        <v>943</v>
      </c>
      <c r="C1042" s="996" t="s">
        <v>891</v>
      </c>
      <c r="D1042" s="996" t="s">
        <v>203</v>
      </c>
      <c r="E1042" s="996" t="s">
        <v>862</v>
      </c>
      <c r="F1042" s="996" t="s">
        <v>1317</v>
      </c>
      <c r="G1042" s="997">
        <v>200000</v>
      </c>
      <c r="H1042" s="74" t="s">
        <v>448</v>
      </c>
      <c r="I1042" s="74" t="s">
        <v>1339</v>
      </c>
      <c r="J1042" s="74" t="s">
        <v>1328</v>
      </c>
    </row>
    <row r="1043" spans="1:10" hidden="1">
      <c r="A1043" s="996">
        <v>1</v>
      </c>
      <c r="B1043" s="996" t="s">
        <v>890</v>
      </c>
      <c r="C1043" s="996" t="s">
        <v>873</v>
      </c>
      <c r="D1043" s="996" t="s">
        <v>477</v>
      </c>
      <c r="E1043" s="996" t="s">
        <v>807</v>
      </c>
      <c r="F1043" s="996" t="s">
        <v>1348</v>
      </c>
      <c r="G1043" s="997">
        <v>2119180.08</v>
      </c>
      <c r="H1043" s="74" t="s">
        <v>448</v>
      </c>
      <c r="I1043" s="74" t="s">
        <v>1339</v>
      </c>
      <c r="J1043" s="74" t="s">
        <v>1328</v>
      </c>
    </row>
    <row r="1044" spans="1:10" hidden="1">
      <c r="A1044" s="996">
        <v>1</v>
      </c>
      <c r="B1044" s="996" t="s">
        <v>885</v>
      </c>
      <c r="C1044" s="996" t="s">
        <v>874</v>
      </c>
      <c r="D1044" s="996" t="s">
        <v>121</v>
      </c>
      <c r="E1044" s="996" t="s">
        <v>832</v>
      </c>
      <c r="F1044" s="996" t="s">
        <v>1318</v>
      </c>
      <c r="G1044" s="997">
        <v>6000000</v>
      </c>
      <c r="H1044" s="74" t="s">
        <v>448</v>
      </c>
      <c r="I1044" s="74" t="s">
        <v>1339</v>
      </c>
      <c r="J1044" s="74" t="s">
        <v>1328</v>
      </c>
    </row>
    <row r="1045" spans="1:10" hidden="1">
      <c r="A1045" s="996">
        <v>1</v>
      </c>
      <c r="B1045" s="996" t="s">
        <v>885</v>
      </c>
      <c r="C1045" s="996" t="s">
        <v>874</v>
      </c>
      <c r="D1045" s="996" t="s">
        <v>121</v>
      </c>
      <c r="E1045" s="996" t="s">
        <v>832</v>
      </c>
      <c r="F1045" s="996" t="s">
        <v>1319</v>
      </c>
      <c r="G1045" s="997">
        <v>3500000</v>
      </c>
      <c r="H1045" s="74" t="s">
        <v>448</v>
      </c>
      <c r="I1045" s="74" t="s">
        <v>1339</v>
      </c>
      <c r="J1045" s="74" t="s">
        <v>1328</v>
      </c>
    </row>
    <row r="1046" spans="1:10" hidden="1">
      <c r="A1046" s="996">
        <v>1</v>
      </c>
      <c r="B1046" s="996" t="s">
        <v>885</v>
      </c>
      <c r="C1046" s="996" t="s">
        <v>874</v>
      </c>
      <c r="D1046" s="996" t="s">
        <v>118</v>
      </c>
      <c r="E1046" s="996" t="s">
        <v>829</v>
      </c>
      <c r="F1046" s="996" t="s">
        <v>886</v>
      </c>
      <c r="G1046" s="997">
        <v>300000</v>
      </c>
      <c r="H1046" s="74" t="s">
        <v>448</v>
      </c>
      <c r="I1046" s="74" t="s">
        <v>1339</v>
      </c>
      <c r="J1046" s="74" t="s">
        <v>1328</v>
      </c>
    </row>
    <row r="1047" spans="1:10" hidden="1">
      <c r="A1047" s="996">
        <v>1</v>
      </c>
      <c r="B1047" s="996" t="s">
        <v>885</v>
      </c>
      <c r="C1047" s="996" t="s">
        <v>874</v>
      </c>
      <c r="D1047" s="996" t="s">
        <v>121</v>
      </c>
      <c r="E1047" s="996" t="s">
        <v>832</v>
      </c>
      <c r="F1047" s="996" t="s">
        <v>1320</v>
      </c>
      <c r="G1047" s="997">
        <v>6000000</v>
      </c>
      <c r="H1047" s="74" t="s">
        <v>448</v>
      </c>
      <c r="I1047" s="74" t="s">
        <v>1339</v>
      </c>
      <c r="J1047" s="74" t="s">
        <v>1328</v>
      </c>
    </row>
    <row r="1048" spans="1:10" hidden="1">
      <c r="A1048" s="996">
        <v>1</v>
      </c>
      <c r="B1048" s="996" t="s">
        <v>885</v>
      </c>
      <c r="C1048" s="996" t="s">
        <v>874</v>
      </c>
      <c r="D1048" s="996" t="s">
        <v>349</v>
      </c>
      <c r="E1048" s="996" t="s">
        <v>848</v>
      </c>
      <c r="F1048" s="996" t="s">
        <v>887</v>
      </c>
      <c r="G1048" s="997">
        <v>500000</v>
      </c>
      <c r="H1048" s="74" t="s">
        <v>448</v>
      </c>
      <c r="I1048" s="74" t="s">
        <v>1339</v>
      </c>
      <c r="J1048" s="74" t="s">
        <v>1328</v>
      </c>
    </row>
    <row r="1049" spans="1:10" hidden="1">
      <c r="A1049" s="996">
        <v>1</v>
      </c>
      <c r="B1049" s="996" t="s">
        <v>890</v>
      </c>
      <c r="C1049" s="996" t="s">
        <v>874</v>
      </c>
      <c r="D1049" s="996" t="s">
        <v>121</v>
      </c>
      <c r="E1049" s="996" t="s">
        <v>832</v>
      </c>
      <c r="F1049" s="996" t="s">
        <v>1321</v>
      </c>
      <c r="G1049" s="997">
        <v>20000000</v>
      </c>
      <c r="H1049" s="74" t="s">
        <v>448</v>
      </c>
      <c r="I1049" s="74" t="s">
        <v>1339</v>
      </c>
      <c r="J1049" s="74" t="s">
        <v>1328</v>
      </c>
    </row>
    <row r="1050" spans="1:10" hidden="1">
      <c r="A1050" s="996">
        <v>4</v>
      </c>
      <c r="B1050" s="996" t="s">
        <v>943</v>
      </c>
      <c r="C1050" s="996" t="s">
        <v>874</v>
      </c>
      <c r="D1050" s="996" t="s">
        <v>127</v>
      </c>
      <c r="E1050" s="996" t="s">
        <v>834</v>
      </c>
      <c r="F1050" s="996" t="s">
        <v>1322</v>
      </c>
      <c r="G1050" s="997">
        <v>5000000</v>
      </c>
      <c r="H1050" s="74" t="s">
        <v>448</v>
      </c>
      <c r="I1050" s="74" t="s">
        <v>1339</v>
      </c>
      <c r="J1050" s="74" t="s">
        <v>1328</v>
      </c>
    </row>
    <row r="1051" spans="1:10" hidden="1">
      <c r="A1051" s="996">
        <v>4</v>
      </c>
      <c r="B1051" s="996" t="s">
        <v>943</v>
      </c>
      <c r="C1051" s="996" t="s">
        <v>874</v>
      </c>
      <c r="D1051" s="996" t="s">
        <v>127</v>
      </c>
      <c r="E1051" s="996" t="s">
        <v>834</v>
      </c>
      <c r="F1051" s="996" t="s">
        <v>1323</v>
      </c>
      <c r="G1051" s="997">
        <v>11500000</v>
      </c>
      <c r="H1051" s="74" t="s">
        <v>448</v>
      </c>
      <c r="I1051" s="74" t="s">
        <v>1339</v>
      </c>
      <c r="J1051" s="74" t="s">
        <v>1328</v>
      </c>
    </row>
    <row r="1052" spans="1:10" hidden="1">
      <c r="A1052" s="996">
        <v>1</v>
      </c>
      <c r="B1052" s="996" t="s">
        <v>1324</v>
      </c>
      <c r="C1052" s="996" t="s">
        <v>874</v>
      </c>
      <c r="D1052" s="996" t="s">
        <v>150</v>
      </c>
      <c r="E1052" s="996" t="s">
        <v>841</v>
      </c>
      <c r="F1052" s="996" t="s">
        <v>1325</v>
      </c>
      <c r="G1052" s="997">
        <v>500000</v>
      </c>
      <c r="H1052" s="74" t="s">
        <v>448</v>
      </c>
      <c r="I1052" s="74" t="s">
        <v>1339</v>
      </c>
      <c r="J1052" s="74" t="s">
        <v>1328</v>
      </c>
    </row>
    <row r="1053" spans="1:10" hidden="1">
      <c r="A1053" s="996">
        <v>1</v>
      </c>
      <c r="B1053" s="996" t="s">
        <v>904</v>
      </c>
      <c r="C1053" s="996" t="s">
        <v>874</v>
      </c>
      <c r="D1053" s="996" t="s">
        <v>113</v>
      </c>
      <c r="E1053" s="996" t="s">
        <v>825</v>
      </c>
      <c r="F1053" s="996" t="s">
        <v>1326</v>
      </c>
      <c r="G1053" s="997">
        <v>500000</v>
      </c>
      <c r="H1053" s="74" t="s">
        <v>448</v>
      </c>
      <c r="I1053" s="74" t="s">
        <v>1339</v>
      </c>
      <c r="J1053" s="74" t="s">
        <v>1328</v>
      </c>
    </row>
    <row r="1054" spans="1:10" hidden="1">
      <c r="A1054" s="996">
        <v>1</v>
      </c>
      <c r="B1054" s="996" t="s">
        <v>904</v>
      </c>
      <c r="C1054" s="996" t="s">
        <v>874</v>
      </c>
      <c r="D1054" s="996" t="s">
        <v>113</v>
      </c>
      <c r="E1054" s="996" t="s">
        <v>825</v>
      </c>
      <c r="F1054" s="996" t="s">
        <v>1327</v>
      </c>
      <c r="G1054" s="997">
        <v>337000</v>
      </c>
      <c r="H1054" s="74" t="s">
        <v>448</v>
      </c>
      <c r="I1054" s="74" t="s">
        <v>1339</v>
      </c>
      <c r="J1054" s="74" t="s">
        <v>1328</v>
      </c>
    </row>
    <row r="1055" spans="1:10" hidden="1">
      <c r="A1055" s="996"/>
      <c r="B1055" s="996"/>
      <c r="C1055" s="996"/>
      <c r="D1055" s="996"/>
      <c r="E1055" s="996"/>
      <c r="F1055" s="996"/>
      <c r="G1055" s="997"/>
      <c r="H1055" s="996"/>
      <c r="I1055" s="996"/>
      <c r="J1055" s="996"/>
    </row>
    <row r="1056" spans="1:10" hidden="1">
      <c r="A1056" s="996"/>
      <c r="B1056" s="996"/>
      <c r="C1056" s="996"/>
      <c r="D1056" s="996"/>
      <c r="E1056" s="996"/>
      <c r="F1056" s="996"/>
      <c r="G1056" s="997"/>
      <c r="H1056" s="996"/>
      <c r="I1056" s="996"/>
      <c r="J1056" s="996"/>
    </row>
    <row r="1057" spans="1:10" hidden="1">
      <c r="A1057" s="996"/>
      <c r="B1057" s="996"/>
      <c r="C1057" s="996"/>
      <c r="D1057" s="996"/>
      <c r="E1057" s="996"/>
      <c r="F1057" s="996"/>
      <c r="G1057" s="997"/>
      <c r="H1057" s="996"/>
      <c r="I1057" s="996"/>
      <c r="J1057" s="996"/>
    </row>
    <row r="1058" spans="1:10">
      <c r="A1058" s="996"/>
      <c r="B1058" s="996"/>
      <c r="C1058" s="996"/>
      <c r="D1058" s="996"/>
      <c r="E1058" s="996"/>
      <c r="F1058" s="996"/>
      <c r="G1058" s="997"/>
    </row>
    <row r="1059" spans="1:10">
      <c r="A1059" s="996"/>
      <c r="B1059" s="996"/>
      <c r="C1059" s="996"/>
      <c r="D1059" s="996"/>
      <c r="E1059" s="996"/>
      <c r="F1059" s="996"/>
      <c r="G1059" s="997"/>
    </row>
    <row r="1060" spans="1:10">
      <c r="A1060" s="996"/>
      <c r="B1060" s="996"/>
      <c r="C1060" s="996"/>
      <c r="D1060" s="996"/>
      <c r="E1060" s="996"/>
      <c r="F1060" s="996"/>
      <c r="G1060" s="997"/>
    </row>
    <row r="1061" spans="1:10">
      <c r="A1061" s="996"/>
      <c r="B1061" s="996"/>
      <c r="C1061" s="996"/>
      <c r="D1061" s="996"/>
      <c r="E1061" s="996"/>
      <c r="F1061" s="996"/>
      <c r="G1061" s="1117"/>
    </row>
    <row r="1062" spans="1:10">
      <c r="G1062" s="997"/>
    </row>
    <row r="1063" spans="1:10">
      <c r="G1063" s="997"/>
    </row>
    <row r="1064" spans="1:10">
      <c r="G1064" s="997"/>
    </row>
    <row r="1065" spans="1:10">
      <c r="G1065" s="1115"/>
    </row>
    <row r="1066" spans="1:10">
      <c r="G1066" s="997"/>
    </row>
    <row r="1067" spans="1:10">
      <c r="G1067" s="1115"/>
    </row>
    <row r="1068" spans="1:10">
      <c r="G1068" s="997"/>
    </row>
    <row r="1069" spans="1:10">
      <c r="G1069" s="997"/>
    </row>
    <row r="1225" spans="1:18" s="908" customFormat="1">
      <c r="A1225" s="74"/>
      <c r="D1225" s="74"/>
      <c r="G1225" s="986"/>
      <c r="M1225" s="986"/>
      <c r="R1225" s="986"/>
    </row>
    <row r="1226" spans="1:18" s="908" customFormat="1">
      <c r="A1226" s="74"/>
      <c r="D1226" s="74"/>
      <c r="G1226" s="986"/>
      <c r="M1226" s="986"/>
      <c r="R1226" s="986"/>
    </row>
    <row r="1227" spans="1:18" s="908" customFormat="1">
      <c r="A1227" s="74"/>
      <c r="D1227" s="74"/>
      <c r="G1227" s="986"/>
      <c r="M1227" s="986"/>
      <c r="R1227" s="986"/>
    </row>
    <row r="1228" spans="1:18" s="908" customFormat="1">
      <c r="A1228" s="74"/>
      <c r="D1228" s="74"/>
      <c r="G1228" s="986"/>
      <c r="M1228" s="986"/>
      <c r="R1228" s="986"/>
    </row>
    <row r="1229" spans="1:18" s="908" customFormat="1">
      <c r="A1229" s="74"/>
      <c r="D1229" s="74"/>
      <c r="G1229" s="986"/>
      <c r="M1229" s="986"/>
      <c r="R1229" s="986"/>
    </row>
    <row r="1230" spans="1:18" s="908" customFormat="1">
      <c r="A1230" s="74"/>
      <c r="D1230" s="74"/>
      <c r="G1230" s="986"/>
      <c r="M1230" s="986"/>
      <c r="R1230" s="986"/>
    </row>
    <row r="1231" spans="1:18" s="908" customFormat="1">
      <c r="A1231" s="74"/>
      <c r="D1231" s="74"/>
      <c r="G1231" s="986"/>
      <c r="M1231" s="986"/>
      <c r="R1231" s="986"/>
    </row>
    <row r="1232" spans="1:18" s="908" customFormat="1">
      <c r="A1232" s="74"/>
      <c r="D1232" s="74"/>
      <c r="G1232" s="986"/>
      <c r="M1232" s="986"/>
      <c r="R1232" s="986"/>
    </row>
    <row r="1233" spans="1:18" s="908" customFormat="1">
      <c r="A1233" s="74"/>
      <c r="D1233" s="74"/>
      <c r="G1233" s="986"/>
      <c r="M1233" s="986"/>
      <c r="R1233" s="986"/>
    </row>
    <row r="1234" spans="1:18" s="908" customFormat="1">
      <c r="A1234" s="74"/>
      <c r="D1234" s="74"/>
      <c r="G1234" s="986"/>
      <c r="M1234" s="986"/>
      <c r="R1234" s="986"/>
    </row>
    <row r="1235" spans="1:18" s="908" customFormat="1">
      <c r="A1235" s="74"/>
      <c r="D1235" s="74"/>
      <c r="G1235" s="986"/>
      <c r="M1235" s="986"/>
      <c r="R1235" s="986"/>
    </row>
    <row r="1236" spans="1:18" s="908" customFormat="1">
      <c r="A1236" s="74"/>
      <c r="D1236" s="74"/>
      <c r="G1236" s="986"/>
      <c r="M1236" s="986"/>
      <c r="R1236" s="986"/>
    </row>
    <row r="1237" spans="1:18" s="908" customFormat="1">
      <c r="A1237" s="74"/>
      <c r="D1237" s="74"/>
      <c r="G1237" s="986"/>
      <c r="M1237" s="986"/>
      <c r="R1237" s="986"/>
    </row>
    <row r="1238" spans="1:18" s="908" customFormat="1">
      <c r="A1238" s="74"/>
      <c r="D1238" s="74"/>
      <c r="G1238" s="986"/>
      <c r="M1238" s="986"/>
      <c r="R1238" s="986"/>
    </row>
    <row r="1283" spans="1:7">
      <c r="A1283" s="908"/>
      <c r="B1283" s="908"/>
      <c r="C1283" s="908"/>
      <c r="D1283" s="908"/>
      <c r="E1283" s="908"/>
      <c r="F1283" s="908"/>
      <c r="G1283" s="986"/>
    </row>
    <row r="1335" spans="1:9">
      <c r="A1335" s="908"/>
      <c r="B1335" s="908"/>
      <c r="C1335" s="908"/>
      <c r="D1335" s="908"/>
      <c r="E1335" s="908"/>
      <c r="F1335" s="908"/>
      <c r="G1335" s="986"/>
      <c r="H1335" s="908"/>
      <c r="I1335" s="908"/>
    </row>
    <row r="1339" spans="1:9">
      <c r="G1339" s="987"/>
    </row>
    <row r="1383" spans="6:6" ht="16.95" customHeight="1">
      <c r="F1383" s="841"/>
    </row>
    <row r="1399" spans="2:9">
      <c r="F1399" s="233"/>
    </row>
    <row r="1400" spans="2:9">
      <c r="B1400" s="916"/>
      <c r="C1400" s="916"/>
      <c r="D1400" s="916"/>
      <c r="E1400" s="916"/>
      <c r="F1400" s="916"/>
      <c r="G1400" s="988"/>
      <c r="H1400" s="916"/>
      <c r="I1400" s="916"/>
    </row>
    <row r="1401" spans="2:9">
      <c r="B1401" s="915"/>
      <c r="C1401" s="915"/>
      <c r="E1401" s="915"/>
      <c r="F1401" s="915"/>
      <c r="G1401" s="989"/>
      <c r="H1401" s="915"/>
      <c r="I1401" s="915"/>
    </row>
    <row r="1402" spans="2:9">
      <c r="B1402" s="915"/>
      <c r="C1402" s="915"/>
      <c r="E1402" s="915"/>
      <c r="F1402" s="915"/>
      <c r="G1402" s="989"/>
      <c r="H1402" s="915"/>
      <c r="I1402" s="915"/>
    </row>
    <row r="1403" spans="2:9">
      <c r="B1403" s="915"/>
      <c r="C1403" s="915"/>
      <c r="E1403" s="915"/>
      <c r="F1403" s="915"/>
      <c r="G1403" s="989"/>
      <c r="H1403" s="915"/>
      <c r="I1403" s="915"/>
    </row>
    <row r="1404" spans="2:9">
      <c r="B1404" s="915"/>
      <c r="C1404" s="915"/>
      <c r="E1404" s="915"/>
      <c r="F1404" s="915"/>
      <c r="G1404" s="989"/>
      <c r="H1404" s="915"/>
      <c r="I1404" s="915"/>
    </row>
    <row r="1405" spans="2:9">
      <c r="B1405" s="915"/>
      <c r="C1405" s="915"/>
      <c r="E1405" s="915"/>
      <c r="F1405" s="915"/>
      <c r="G1405" s="989"/>
      <c r="H1405" s="915"/>
      <c r="I1405" s="915"/>
    </row>
    <row r="1406" spans="2:9">
      <c r="B1406" s="915"/>
      <c r="C1406" s="915"/>
      <c r="E1406" s="915"/>
      <c r="F1406" s="915"/>
      <c r="G1406" s="989"/>
      <c r="H1406" s="915"/>
      <c r="I1406" s="915"/>
    </row>
    <row r="1407" spans="2:9">
      <c r="B1407" s="915"/>
      <c r="C1407" s="915"/>
      <c r="E1407" s="915"/>
      <c r="F1407" s="915"/>
      <c r="G1407" s="989"/>
      <c r="H1407" s="915"/>
      <c r="I1407" s="915"/>
    </row>
    <row r="1408" spans="2:9">
      <c r="B1408" s="915"/>
      <c r="C1408" s="915"/>
      <c r="E1408" s="915"/>
      <c r="F1408" s="915"/>
      <c r="G1408" s="989"/>
      <c r="H1408" s="915"/>
      <c r="I1408" s="915"/>
    </row>
    <row r="1409" spans="2:9">
      <c r="B1409" s="915"/>
      <c r="C1409" s="915"/>
      <c r="E1409" s="915"/>
      <c r="F1409" s="915"/>
      <c r="G1409" s="989"/>
      <c r="H1409" s="915"/>
      <c r="I1409" s="915"/>
    </row>
    <row r="1410" spans="2:9">
      <c r="B1410" s="915"/>
      <c r="C1410" s="915"/>
      <c r="E1410" s="915"/>
      <c r="F1410" s="915"/>
      <c r="G1410" s="989"/>
      <c r="H1410" s="915"/>
      <c r="I1410" s="915"/>
    </row>
    <row r="1411" spans="2:9">
      <c r="B1411" s="915"/>
      <c r="C1411" s="915"/>
      <c r="E1411" s="915"/>
      <c r="F1411" s="915"/>
      <c r="G1411" s="989"/>
      <c r="H1411" s="915"/>
      <c r="I1411" s="915"/>
    </row>
    <row r="1412" spans="2:9">
      <c r="B1412" s="915"/>
      <c r="C1412" s="915"/>
      <c r="E1412" s="915"/>
      <c r="F1412" s="915"/>
      <c r="G1412" s="989"/>
      <c r="H1412" s="915"/>
      <c r="I1412" s="915"/>
    </row>
    <row r="1413" spans="2:9">
      <c r="B1413" s="915"/>
      <c r="C1413" s="915"/>
      <c r="E1413" s="915"/>
      <c r="F1413" s="915"/>
      <c r="G1413" s="989"/>
      <c r="H1413" s="915"/>
      <c r="I1413" s="915"/>
    </row>
    <row r="1414" spans="2:9">
      <c r="B1414" s="915"/>
      <c r="C1414" s="915"/>
      <c r="E1414" s="915"/>
      <c r="F1414" s="915"/>
      <c r="G1414" s="989"/>
      <c r="H1414" s="915"/>
      <c r="I1414" s="915"/>
    </row>
    <row r="1415" spans="2:9">
      <c r="B1415" s="915"/>
      <c r="C1415" s="915"/>
      <c r="E1415" s="915"/>
      <c r="F1415" s="915"/>
      <c r="G1415" s="989"/>
      <c r="H1415" s="915"/>
      <c r="I1415" s="915"/>
    </row>
    <row r="1416" spans="2:9">
      <c r="B1416" s="915"/>
      <c r="C1416" s="915"/>
      <c r="E1416" s="915"/>
      <c r="F1416" s="915"/>
      <c r="G1416" s="989"/>
      <c r="H1416" s="915"/>
      <c r="I1416" s="915"/>
    </row>
    <row r="1417" spans="2:9">
      <c r="B1417" s="915"/>
      <c r="C1417" s="915"/>
      <c r="E1417" s="915"/>
      <c r="F1417" s="915"/>
      <c r="G1417" s="989"/>
      <c r="H1417" s="915"/>
      <c r="I1417" s="915"/>
    </row>
    <row r="1418" spans="2:9">
      <c r="B1418" s="915"/>
      <c r="C1418" s="915"/>
      <c r="E1418" s="915"/>
      <c r="F1418" s="915"/>
      <c r="G1418" s="989"/>
      <c r="H1418" s="915"/>
      <c r="I1418" s="915"/>
    </row>
    <row r="1419" spans="2:9">
      <c r="B1419" s="915"/>
      <c r="C1419" s="915"/>
      <c r="E1419" s="915"/>
      <c r="F1419" s="915"/>
      <c r="G1419" s="989"/>
      <c r="H1419" s="915"/>
      <c r="I1419" s="915"/>
    </row>
    <row r="1420" spans="2:9">
      <c r="B1420" s="915"/>
      <c r="C1420" s="915"/>
      <c r="E1420" s="915"/>
      <c r="F1420" s="915"/>
      <c r="G1420" s="989"/>
      <c r="H1420" s="915"/>
      <c r="I1420" s="915"/>
    </row>
    <row r="1421" spans="2:9">
      <c r="B1421" s="915"/>
      <c r="C1421" s="915"/>
      <c r="E1421" s="915"/>
      <c r="F1421" s="915"/>
      <c r="G1421" s="989"/>
      <c r="H1421" s="915"/>
      <c r="I1421" s="915"/>
    </row>
    <row r="1422" spans="2:9">
      <c r="B1422" s="915"/>
      <c r="C1422" s="915"/>
      <c r="E1422" s="915"/>
      <c r="F1422" s="915"/>
      <c r="G1422" s="989"/>
      <c r="H1422" s="915"/>
      <c r="I1422" s="915"/>
    </row>
    <row r="1423" spans="2:9">
      <c r="B1423" s="915"/>
      <c r="C1423" s="915"/>
      <c r="E1423" s="915"/>
      <c r="F1423" s="915"/>
      <c r="G1423" s="989"/>
      <c r="H1423" s="915"/>
      <c r="I1423" s="915"/>
    </row>
    <row r="1424" spans="2:9">
      <c r="B1424" s="915"/>
      <c r="C1424" s="915"/>
      <c r="E1424" s="915"/>
      <c r="F1424" s="915"/>
      <c r="G1424" s="989"/>
      <c r="H1424" s="915"/>
      <c r="I1424" s="915"/>
    </row>
    <row r="1425" spans="2:9">
      <c r="B1425" s="915"/>
      <c r="C1425" s="915"/>
      <c r="E1425" s="915"/>
      <c r="F1425" s="915"/>
      <c r="G1425" s="989"/>
      <c r="H1425" s="915"/>
      <c r="I1425" s="915"/>
    </row>
    <row r="1426" spans="2:9">
      <c r="B1426" s="915"/>
      <c r="C1426" s="915"/>
      <c r="E1426" s="915"/>
      <c r="F1426" s="915"/>
      <c r="G1426" s="989"/>
      <c r="H1426" s="915"/>
      <c r="I1426" s="915"/>
    </row>
    <row r="1427" spans="2:9">
      <c r="B1427" s="915"/>
      <c r="C1427" s="915"/>
      <c r="E1427" s="915"/>
      <c r="F1427" s="915"/>
      <c r="G1427" s="989"/>
      <c r="H1427" s="915"/>
      <c r="I1427" s="915"/>
    </row>
    <row r="1428" spans="2:9">
      <c r="B1428" s="915"/>
      <c r="C1428" s="915"/>
      <c r="E1428" s="915"/>
      <c r="F1428" s="915"/>
      <c r="G1428" s="989"/>
      <c r="H1428" s="915"/>
      <c r="I1428" s="915"/>
    </row>
    <row r="1429" spans="2:9">
      <c r="B1429" s="915"/>
      <c r="C1429" s="915"/>
      <c r="E1429" s="915"/>
      <c r="F1429" s="915"/>
      <c r="G1429" s="989"/>
      <c r="H1429" s="915"/>
      <c r="I1429" s="915"/>
    </row>
    <row r="1430" spans="2:9">
      <c r="B1430" s="915"/>
      <c r="C1430" s="915"/>
      <c r="E1430" s="915"/>
      <c r="F1430" s="915"/>
      <c r="G1430" s="989"/>
      <c r="H1430" s="915"/>
      <c r="I1430" s="915"/>
    </row>
    <row r="1431" spans="2:9">
      <c r="B1431" s="915"/>
      <c r="C1431" s="915"/>
      <c r="E1431" s="915"/>
      <c r="F1431" s="915"/>
      <c r="G1431" s="989"/>
      <c r="H1431" s="915"/>
      <c r="I1431" s="915"/>
    </row>
    <row r="1432" spans="2:9">
      <c r="B1432" s="915"/>
      <c r="C1432" s="915"/>
      <c r="E1432" s="915"/>
      <c r="F1432" s="915"/>
      <c r="G1432" s="989"/>
      <c r="H1432" s="915"/>
      <c r="I1432" s="915"/>
    </row>
    <row r="1433" spans="2:9">
      <c r="B1433" s="915"/>
      <c r="C1433" s="915"/>
      <c r="E1433" s="915"/>
      <c r="F1433" s="915"/>
      <c r="G1433" s="989"/>
      <c r="H1433" s="915"/>
      <c r="I1433" s="915"/>
    </row>
    <row r="1434" spans="2:9">
      <c r="B1434" s="915"/>
      <c r="C1434" s="915"/>
      <c r="E1434" s="915"/>
      <c r="F1434" s="915"/>
      <c r="G1434" s="989"/>
      <c r="H1434" s="915"/>
      <c r="I1434" s="915"/>
    </row>
    <row r="1435" spans="2:9">
      <c r="B1435" s="915"/>
      <c r="C1435" s="915"/>
      <c r="E1435" s="915"/>
      <c r="F1435" s="915"/>
      <c r="G1435" s="989"/>
      <c r="H1435" s="915"/>
      <c r="I1435" s="915"/>
    </row>
    <row r="1436" spans="2:9">
      <c r="B1436" s="915"/>
      <c r="C1436" s="915"/>
      <c r="E1436" s="915"/>
      <c r="F1436" s="915"/>
      <c r="G1436" s="989"/>
      <c r="H1436" s="915"/>
      <c r="I1436" s="915"/>
    </row>
    <row r="1437" spans="2:9">
      <c r="B1437" s="915"/>
      <c r="C1437" s="915"/>
      <c r="E1437" s="915"/>
      <c r="F1437" s="915"/>
      <c r="G1437" s="989"/>
      <c r="H1437" s="915"/>
      <c r="I1437" s="915"/>
    </row>
    <row r="1438" spans="2:9">
      <c r="B1438" s="915"/>
      <c r="C1438" s="915"/>
      <c r="E1438" s="915"/>
      <c r="F1438" s="915"/>
      <c r="G1438" s="989"/>
      <c r="H1438" s="915"/>
      <c r="I1438" s="915"/>
    </row>
    <row r="1439" spans="2:9">
      <c r="B1439" s="915"/>
      <c r="C1439" s="915"/>
      <c r="E1439" s="915"/>
      <c r="F1439" s="915"/>
      <c r="G1439" s="989"/>
      <c r="H1439" s="915"/>
      <c r="I1439" s="915"/>
    </row>
    <row r="1440" spans="2:9">
      <c r="B1440" s="915"/>
      <c r="C1440" s="915"/>
      <c r="E1440" s="915"/>
      <c r="F1440" s="915"/>
      <c r="G1440" s="989"/>
      <c r="H1440" s="915"/>
      <c r="I1440" s="915"/>
    </row>
    <row r="1441" spans="2:9">
      <c r="B1441" s="915"/>
      <c r="C1441" s="915"/>
      <c r="E1441" s="915"/>
      <c r="F1441" s="915"/>
      <c r="G1441" s="989"/>
      <c r="H1441" s="915"/>
      <c r="I1441" s="915"/>
    </row>
    <row r="1442" spans="2:9">
      <c r="B1442" s="915"/>
      <c r="C1442" s="915"/>
      <c r="E1442" s="915"/>
      <c r="F1442" s="915"/>
      <c r="G1442" s="989"/>
      <c r="H1442" s="915"/>
      <c r="I1442" s="915"/>
    </row>
    <row r="1443" spans="2:9">
      <c r="B1443" s="915"/>
      <c r="C1443" s="915"/>
      <c r="E1443" s="915"/>
      <c r="F1443" s="915"/>
      <c r="G1443" s="989"/>
      <c r="H1443" s="915"/>
      <c r="I1443" s="915"/>
    </row>
    <row r="1444" spans="2:9">
      <c r="B1444" s="915"/>
      <c r="C1444" s="915"/>
      <c r="E1444" s="915"/>
      <c r="F1444" s="915"/>
      <c r="G1444" s="989"/>
      <c r="H1444" s="915"/>
      <c r="I1444" s="915"/>
    </row>
    <row r="1445" spans="2:9">
      <c r="B1445" s="915"/>
      <c r="C1445" s="915"/>
      <c r="E1445" s="915"/>
      <c r="F1445" s="915"/>
      <c r="G1445" s="989"/>
      <c r="H1445" s="915"/>
      <c r="I1445" s="915"/>
    </row>
    <row r="1446" spans="2:9">
      <c r="B1446" s="915"/>
      <c r="C1446" s="915"/>
      <c r="E1446" s="915"/>
      <c r="F1446" s="915"/>
      <c r="G1446" s="989"/>
      <c r="H1446" s="915"/>
      <c r="I1446" s="915"/>
    </row>
    <row r="1447" spans="2:9">
      <c r="B1447" s="915"/>
      <c r="C1447" s="915"/>
      <c r="E1447" s="915"/>
      <c r="F1447" s="915"/>
      <c r="G1447" s="989"/>
      <c r="H1447" s="915"/>
      <c r="I1447" s="915"/>
    </row>
    <row r="1448" spans="2:9">
      <c r="B1448" s="915"/>
      <c r="C1448" s="915"/>
      <c r="E1448" s="915"/>
      <c r="F1448" s="915"/>
      <c r="G1448" s="989"/>
      <c r="H1448" s="915"/>
      <c r="I1448" s="915"/>
    </row>
    <row r="1449" spans="2:9">
      <c r="B1449" s="915"/>
      <c r="C1449" s="915"/>
      <c r="E1449" s="915"/>
      <c r="F1449" s="915"/>
      <c r="G1449" s="989"/>
      <c r="H1449" s="915"/>
      <c r="I1449" s="915"/>
    </row>
    <row r="1450" spans="2:9">
      <c r="B1450" s="915"/>
      <c r="C1450" s="915"/>
      <c r="E1450" s="915"/>
      <c r="F1450" s="915"/>
      <c r="G1450" s="989"/>
      <c r="H1450" s="915"/>
      <c r="I1450" s="915"/>
    </row>
    <row r="1451" spans="2:9">
      <c r="B1451" s="915"/>
      <c r="C1451" s="915"/>
      <c r="E1451" s="915"/>
      <c r="F1451" s="915"/>
      <c r="G1451" s="989"/>
      <c r="H1451" s="915"/>
      <c r="I1451" s="915"/>
    </row>
    <row r="1452" spans="2:9">
      <c r="B1452" s="915"/>
      <c r="C1452" s="915"/>
      <c r="E1452" s="915"/>
      <c r="F1452" s="915"/>
      <c r="G1452" s="989"/>
      <c r="H1452" s="915"/>
      <c r="I1452" s="915"/>
    </row>
    <row r="1453" spans="2:9">
      <c r="B1453" s="915"/>
      <c r="C1453" s="915"/>
      <c r="E1453" s="915"/>
      <c r="F1453" s="915"/>
      <c r="G1453" s="989"/>
      <c r="H1453" s="915"/>
      <c r="I1453" s="915"/>
    </row>
    <row r="1454" spans="2:9">
      <c r="B1454" s="915"/>
      <c r="C1454" s="915"/>
      <c r="E1454" s="915"/>
      <c r="F1454" s="915"/>
      <c r="G1454" s="989"/>
      <c r="H1454" s="915"/>
      <c r="I1454" s="915"/>
    </row>
    <row r="1455" spans="2:9">
      <c r="B1455" s="915"/>
      <c r="C1455" s="915"/>
      <c r="E1455" s="915"/>
      <c r="F1455" s="915"/>
      <c r="G1455" s="989"/>
      <c r="H1455" s="915"/>
      <c r="I1455" s="915"/>
    </row>
    <row r="1456" spans="2:9">
      <c r="B1456" s="915"/>
      <c r="C1456" s="915"/>
      <c r="E1456" s="915"/>
      <c r="F1456" s="915"/>
      <c r="G1456" s="989"/>
      <c r="H1456" s="915"/>
      <c r="I1456" s="915"/>
    </row>
    <row r="1457" spans="2:9">
      <c r="B1457" s="915"/>
      <c r="C1457" s="915"/>
      <c r="E1457" s="915"/>
      <c r="F1457" s="915"/>
      <c r="G1457" s="989"/>
      <c r="H1457" s="915"/>
      <c r="I1457" s="915"/>
    </row>
    <row r="1458" spans="2:9">
      <c r="B1458" s="915"/>
      <c r="C1458" s="915"/>
      <c r="E1458" s="915"/>
      <c r="F1458" s="915"/>
      <c r="G1458" s="989"/>
      <c r="H1458" s="915"/>
      <c r="I1458" s="915"/>
    </row>
    <row r="1459" spans="2:9">
      <c r="B1459" s="915"/>
      <c r="C1459" s="915"/>
      <c r="E1459" s="915"/>
      <c r="F1459" s="915"/>
      <c r="G1459" s="989"/>
      <c r="H1459" s="915"/>
      <c r="I1459" s="915"/>
    </row>
    <row r="1460" spans="2:9">
      <c r="B1460" s="915"/>
      <c r="C1460" s="915"/>
      <c r="E1460" s="915"/>
      <c r="F1460" s="915"/>
      <c r="G1460" s="989"/>
      <c r="H1460" s="915"/>
      <c r="I1460" s="915"/>
    </row>
    <row r="1461" spans="2:9">
      <c r="B1461" s="915"/>
      <c r="C1461" s="915"/>
      <c r="E1461" s="915"/>
      <c r="F1461" s="915"/>
      <c r="G1461" s="989"/>
      <c r="H1461" s="915"/>
      <c r="I1461" s="915"/>
    </row>
    <row r="1462" spans="2:9">
      <c r="B1462" s="915"/>
      <c r="C1462" s="915"/>
      <c r="E1462" s="915"/>
      <c r="F1462" s="915"/>
      <c r="G1462" s="989"/>
      <c r="H1462" s="915"/>
      <c r="I1462" s="915"/>
    </row>
    <row r="1463" spans="2:9">
      <c r="B1463" s="915"/>
      <c r="C1463" s="915"/>
      <c r="E1463" s="915"/>
      <c r="F1463" s="915"/>
      <c r="G1463" s="989"/>
      <c r="H1463" s="915"/>
      <c r="I1463" s="915"/>
    </row>
    <row r="1464" spans="2:9">
      <c r="B1464" s="915"/>
      <c r="C1464" s="915"/>
      <c r="E1464" s="915"/>
      <c r="F1464" s="915"/>
      <c r="G1464" s="989"/>
      <c r="H1464" s="915"/>
      <c r="I1464" s="915"/>
    </row>
    <row r="1465" spans="2:9">
      <c r="B1465" s="915"/>
      <c r="C1465" s="915"/>
      <c r="E1465" s="915"/>
      <c r="F1465" s="915"/>
      <c r="G1465" s="989"/>
      <c r="H1465" s="915"/>
      <c r="I1465" s="915"/>
    </row>
    <row r="1466" spans="2:9">
      <c r="B1466" s="915"/>
      <c r="C1466" s="915"/>
      <c r="E1466" s="915"/>
      <c r="F1466" s="915"/>
      <c r="G1466" s="989"/>
      <c r="H1466" s="915"/>
      <c r="I1466" s="915"/>
    </row>
    <row r="1467" spans="2:9">
      <c r="B1467" s="915"/>
      <c r="C1467" s="915"/>
      <c r="E1467" s="915"/>
      <c r="F1467" s="915"/>
      <c r="G1467" s="989"/>
      <c r="H1467" s="915"/>
      <c r="I1467" s="915"/>
    </row>
    <row r="1468" spans="2:9">
      <c r="B1468" s="915"/>
      <c r="C1468" s="915"/>
      <c r="E1468" s="915"/>
      <c r="F1468" s="915"/>
      <c r="G1468" s="989"/>
      <c r="H1468" s="915"/>
      <c r="I1468" s="915"/>
    </row>
    <row r="1469" spans="2:9">
      <c r="B1469" s="915"/>
      <c r="C1469" s="915"/>
      <c r="E1469" s="915"/>
      <c r="F1469" s="915"/>
      <c r="G1469" s="989"/>
      <c r="H1469" s="915"/>
      <c r="I1469" s="915"/>
    </row>
    <row r="1470" spans="2:9">
      <c r="B1470" s="915"/>
      <c r="C1470" s="915"/>
      <c r="E1470" s="915"/>
      <c r="F1470" s="915"/>
      <c r="G1470" s="989"/>
      <c r="H1470" s="915"/>
      <c r="I1470" s="915"/>
    </row>
    <row r="1471" spans="2:9">
      <c r="B1471" s="915"/>
      <c r="C1471" s="915"/>
      <c r="E1471" s="915"/>
      <c r="F1471" s="915"/>
      <c r="G1471" s="989"/>
      <c r="H1471" s="915"/>
      <c r="I1471" s="915"/>
    </row>
    <row r="1472" spans="2:9">
      <c r="B1472" s="915"/>
      <c r="C1472" s="915"/>
      <c r="E1472" s="915"/>
      <c r="F1472" s="915"/>
      <c r="G1472" s="989"/>
      <c r="H1472" s="915"/>
      <c r="I1472" s="915"/>
    </row>
    <row r="1473" spans="2:9">
      <c r="B1473" s="915"/>
      <c r="C1473" s="915"/>
      <c r="E1473" s="915"/>
      <c r="F1473" s="915"/>
      <c r="G1473" s="989"/>
      <c r="H1473" s="915"/>
      <c r="I1473" s="915"/>
    </row>
    <row r="1474" spans="2:9">
      <c r="B1474" s="915"/>
      <c r="C1474" s="915"/>
      <c r="E1474" s="915"/>
      <c r="F1474" s="915"/>
      <c r="G1474" s="989"/>
      <c r="H1474" s="915"/>
      <c r="I1474" s="915"/>
    </row>
    <row r="1475" spans="2:9">
      <c r="B1475" s="915"/>
      <c r="C1475" s="915"/>
      <c r="E1475" s="915"/>
      <c r="F1475" s="915"/>
      <c r="G1475" s="989"/>
      <c r="H1475" s="915"/>
      <c r="I1475" s="915"/>
    </row>
    <row r="1476" spans="2:9">
      <c r="B1476" s="915"/>
      <c r="C1476" s="915"/>
      <c r="E1476" s="915"/>
      <c r="F1476" s="915"/>
      <c r="G1476" s="989"/>
      <c r="H1476" s="915"/>
      <c r="I1476" s="915"/>
    </row>
    <row r="1477" spans="2:9">
      <c r="B1477" s="915"/>
      <c r="C1477" s="915"/>
      <c r="E1477" s="915"/>
      <c r="F1477" s="915"/>
      <c r="G1477" s="989"/>
      <c r="H1477" s="915"/>
      <c r="I1477" s="915"/>
    </row>
    <row r="1478" spans="2:9">
      <c r="B1478" s="915"/>
      <c r="C1478" s="915"/>
      <c r="E1478" s="915"/>
      <c r="F1478" s="915"/>
      <c r="G1478" s="989"/>
      <c r="H1478" s="915"/>
      <c r="I1478" s="915"/>
    </row>
    <row r="1479" spans="2:9">
      <c r="B1479" s="915"/>
      <c r="C1479" s="915"/>
      <c r="E1479" s="915"/>
      <c r="F1479" s="915"/>
      <c r="G1479" s="989"/>
      <c r="H1479" s="915"/>
      <c r="I1479" s="915"/>
    </row>
    <row r="1480" spans="2:9">
      <c r="B1480" s="915"/>
      <c r="C1480" s="915"/>
      <c r="E1480" s="915"/>
      <c r="F1480" s="915"/>
      <c r="G1480" s="989"/>
      <c r="H1480" s="915"/>
      <c r="I1480" s="915"/>
    </row>
    <row r="1481" spans="2:9">
      <c r="B1481" s="915"/>
      <c r="C1481" s="915"/>
      <c r="E1481" s="915"/>
      <c r="F1481" s="915"/>
      <c r="G1481" s="989"/>
      <c r="H1481" s="915"/>
      <c r="I1481" s="915"/>
    </row>
    <row r="1482" spans="2:9">
      <c r="B1482" s="915"/>
      <c r="C1482" s="915"/>
      <c r="E1482" s="915"/>
      <c r="F1482" s="915"/>
      <c r="G1482" s="989"/>
      <c r="H1482" s="915"/>
      <c r="I1482" s="915"/>
    </row>
    <row r="1483" spans="2:9">
      <c r="B1483" s="915"/>
      <c r="C1483" s="915"/>
      <c r="E1483" s="915"/>
      <c r="F1483" s="915"/>
      <c r="G1483" s="989"/>
      <c r="H1483" s="915"/>
      <c r="I1483" s="915"/>
    </row>
    <row r="1484" spans="2:9">
      <c r="B1484" s="915"/>
      <c r="C1484" s="915"/>
      <c r="E1484" s="915"/>
      <c r="F1484" s="915"/>
      <c r="G1484" s="989"/>
      <c r="H1484" s="915"/>
      <c r="I1484" s="915"/>
    </row>
    <row r="1485" spans="2:9">
      <c r="B1485" s="915"/>
      <c r="C1485" s="915"/>
      <c r="E1485" s="915"/>
      <c r="F1485" s="915"/>
      <c r="G1485" s="989"/>
      <c r="H1485" s="915"/>
      <c r="I1485" s="915"/>
    </row>
    <row r="1486" spans="2:9">
      <c r="B1486" s="915"/>
      <c r="C1486" s="915"/>
      <c r="E1486" s="915"/>
      <c r="F1486" s="915"/>
      <c r="G1486" s="989"/>
      <c r="H1486" s="915"/>
      <c r="I1486" s="915"/>
    </row>
    <row r="1487" spans="2:9">
      <c r="B1487" s="915"/>
      <c r="C1487" s="915"/>
      <c r="E1487" s="915"/>
      <c r="F1487" s="915"/>
      <c r="G1487" s="989"/>
      <c r="H1487" s="915"/>
      <c r="I1487" s="915"/>
    </row>
    <row r="1488" spans="2:9">
      <c r="B1488" s="915"/>
      <c r="C1488" s="915"/>
      <c r="E1488" s="915"/>
      <c r="F1488" s="915"/>
      <c r="G1488" s="989"/>
      <c r="H1488" s="915"/>
      <c r="I1488" s="915"/>
    </row>
    <row r="1489" spans="2:9">
      <c r="B1489" s="915"/>
      <c r="C1489" s="915"/>
      <c r="E1489" s="915"/>
      <c r="F1489" s="915"/>
      <c r="G1489" s="989"/>
      <c r="H1489" s="915"/>
      <c r="I1489" s="915"/>
    </row>
    <row r="1490" spans="2:9">
      <c r="B1490" s="915"/>
      <c r="C1490" s="915"/>
      <c r="E1490" s="915"/>
      <c r="F1490" s="915"/>
      <c r="G1490" s="989"/>
      <c r="H1490" s="915"/>
      <c r="I1490" s="915"/>
    </row>
    <row r="1491" spans="2:9">
      <c r="B1491" s="915"/>
      <c r="C1491" s="915"/>
      <c r="E1491" s="915"/>
      <c r="F1491" s="915"/>
      <c r="G1491" s="989"/>
      <c r="H1491" s="915"/>
      <c r="I1491" s="915"/>
    </row>
    <row r="1492" spans="2:9">
      <c r="B1492" s="915"/>
      <c r="C1492" s="915"/>
      <c r="E1492" s="915"/>
      <c r="F1492" s="915"/>
      <c r="G1492" s="989"/>
      <c r="H1492" s="915"/>
      <c r="I1492" s="915"/>
    </row>
    <row r="1493" spans="2:9">
      <c r="B1493" s="915"/>
      <c r="C1493" s="915"/>
      <c r="E1493" s="915"/>
      <c r="F1493" s="915"/>
      <c r="G1493" s="989"/>
      <c r="H1493" s="915"/>
      <c r="I1493" s="915"/>
    </row>
    <row r="1494" spans="2:9">
      <c r="B1494" s="915"/>
      <c r="C1494" s="915"/>
      <c r="E1494" s="915"/>
      <c r="F1494" s="915"/>
      <c r="G1494" s="989"/>
      <c r="H1494" s="915"/>
      <c r="I1494" s="915"/>
    </row>
    <row r="1495" spans="2:9">
      <c r="B1495" s="915"/>
      <c r="C1495" s="915"/>
      <c r="E1495" s="915"/>
      <c r="F1495" s="915"/>
      <c r="G1495" s="989"/>
      <c r="H1495" s="915"/>
      <c r="I1495" s="915"/>
    </row>
    <row r="1496" spans="2:9">
      <c r="B1496" s="915"/>
      <c r="C1496" s="915"/>
      <c r="E1496" s="915"/>
      <c r="F1496" s="915"/>
      <c r="G1496" s="989"/>
      <c r="H1496" s="915"/>
      <c r="I1496" s="915"/>
    </row>
    <row r="1497" spans="2:9">
      <c r="B1497" s="915"/>
      <c r="C1497" s="915"/>
      <c r="E1497" s="915"/>
      <c r="F1497" s="915"/>
      <c r="G1497" s="989"/>
      <c r="H1497" s="915"/>
      <c r="I1497" s="915"/>
    </row>
    <row r="1498" spans="2:9">
      <c r="B1498" s="915"/>
      <c r="C1498" s="915"/>
      <c r="E1498" s="915"/>
      <c r="F1498" s="915"/>
      <c r="G1498" s="989"/>
      <c r="H1498" s="915"/>
      <c r="I1498" s="915"/>
    </row>
    <row r="1499" spans="2:9">
      <c r="B1499" s="915"/>
      <c r="C1499" s="915"/>
      <c r="E1499" s="915"/>
      <c r="F1499" s="915"/>
      <c r="G1499" s="989"/>
      <c r="H1499" s="915"/>
      <c r="I1499" s="915"/>
    </row>
    <row r="1500" spans="2:9">
      <c r="B1500" s="915"/>
      <c r="C1500" s="915"/>
      <c r="E1500" s="915"/>
      <c r="F1500" s="915"/>
      <c r="G1500" s="989"/>
      <c r="H1500" s="915"/>
      <c r="I1500" s="915"/>
    </row>
    <row r="1501" spans="2:9">
      <c r="B1501" s="915"/>
      <c r="C1501" s="915"/>
      <c r="E1501" s="915"/>
      <c r="F1501" s="915"/>
      <c r="G1501" s="989"/>
      <c r="H1501" s="915"/>
      <c r="I1501" s="915"/>
    </row>
    <row r="1502" spans="2:9">
      <c r="B1502" s="915"/>
      <c r="C1502" s="915"/>
      <c r="E1502" s="915"/>
      <c r="F1502" s="915"/>
      <c r="G1502" s="989"/>
      <c r="H1502" s="915"/>
      <c r="I1502" s="915"/>
    </row>
    <row r="1503" spans="2:9">
      <c r="B1503" s="915"/>
      <c r="C1503" s="915"/>
      <c r="E1503" s="915"/>
      <c r="F1503" s="915"/>
      <c r="G1503" s="990"/>
      <c r="H1503" s="915"/>
      <c r="I1503" s="915"/>
    </row>
    <row r="1504" spans="2:9">
      <c r="B1504" s="915"/>
      <c r="C1504" s="915"/>
      <c r="E1504" s="915"/>
      <c r="F1504" s="915"/>
      <c r="G1504" s="990"/>
      <c r="H1504" s="915"/>
      <c r="I1504" s="915"/>
    </row>
    <row r="1505" spans="2:9">
      <c r="B1505" s="915"/>
      <c r="C1505" s="915"/>
      <c r="E1505" s="915"/>
      <c r="F1505" s="915"/>
      <c r="G1505" s="989"/>
      <c r="H1505" s="915"/>
      <c r="I1505" s="915"/>
    </row>
    <row r="1506" spans="2:9">
      <c r="B1506" s="915"/>
      <c r="C1506" s="915"/>
      <c r="E1506" s="915"/>
      <c r="F1506" s="915"/>
      <c r="G1506" s="989"/>
      <c r="H1506" s="915"/>
      <c r="I1506" s="915"/>
    </row>
    <row r="1507" spans="2:9">
      <c r="B1507" s="915"/>
      <c r="C1507" s="915"/>
      <c r="E1507" s="915"/>
      <c r="F1507" s="915"/>
      <c r="G1507" s="989"/>
      <c r="H1507" s="915"/>
      <c r="I1507" s="915"/>
    </row>
    <row r="1508" spans="2:9">
      <c r="B1508" s="915"/>
      <c r="C1508" s="915"/>
      <c r="E1508" s="915"/>
      <c r="F1508" s="915"/>
      <c r="G1508" s="989"/>
      <c r="H1508" s="915"/>
      <c r="I1508" s="915"/>
    </row>
    <row r="1509" spans="2:9">
      <c r="B1509" s="915"/>
      <c r="C1509" s="915"/>
      <c r="E1509" s="915"/>
      <c r="F1509" s="915"/>
      <c r="G1509" s="989"/>
      <c r="H1509" s="915"/>
      <c r="I1509" s="915"/>
    </row>
    <row r="1510" spans="2:9">
      <c r="B1510" s="915"/>
      <c r="C1510" s="915"/>
      <c r="E1510" s="915"/>
      <c r="F1510" s="915"/>
      <c r="G1510" s="989"/>
      <c r="H1510" s="915"/>
      <c r="I1510" s="915"/>
    </row>
    <row r="1511" spans="2:9">
      <c r="B1511" s="915"/>
      <c r="C1511" s="915"/>
      <c r="E1511" s="915"/>
      <c r="F1511" s="915"/>
      <c r="G1511" s="989"/>
      <c r="H1511" s="915"/>
      <c r="I1511" s="915"/>
    </row>
    <row r="1512" spans="2:9">
      <c r="B1512" s="915"/>
      <c r="C1512" s="915"/>
      <c r="E1512" s="915"/>
      <c r="F1512" s="915"/>
      <c r="G1512" s="989"/>
      <c r="H1512" s="915"/>
      <c r="I1512" s="915"/>
    </row>
    <row r="1513" spans="2:9">
      <c r="B1513" s="915"/>
      <c r="C1513" s="915"/>
      <c r="E1513" s="915"/>
      <c r="F1513" s="915"/>
      <c r="G1513" s="989"/>
      <c r="H1513" s="915"/>
      <c r="I1513" s="915"/>
    </row>
    <row r="1514" spans="2:9">
      <c r="B1514" s="915"/>
      <c r="C1514" s="915"/>
      <c r="E1514" s="915"/>
      <c r="F1514" s="915"/>
      <c r="G1514" s="989"/>
      <c r="H1514" s="915"/>
      <c r="I1514" s="915"/>
    </row>
    <row r="1515" spans="2:9">
      <c r="B1515" s="915"/>
      <c r="C1515" s="915"/>
      <c r="E1515" s="915"/>
      <c r="F1515" s="915"/>
      <c r="G1515" s="989"/>
      <c r="H1515" s="915"/>
      <c r="I1515" s="915"/>
    </row>
    <row r="1516" spans="2:9">
      <c r="B1516" s="915"/>
      <c r="C1516" s="915"/>
      <c r="E1516" s="915"/>
      <c r="F1516" s="915"/>
      <c r="G1516" s="989"/>
      <c r="H1516" s="915"/>
      <c r="I1516" s="915"/>
    </row>
    <row r="1517" spans="2:9">
      <c r="B1517" s="915"/>
      <c r="C1517" s="915"/>
      <c r="E1517" s="915"/>
      <c r="F1517" s="915"/>
      <c r="G1517" s="989"/>
      <c r="H1517" s="915"/>
      <c r="I1517" s="915"/>
    </row>
    <row r="1518" spans="2:9">
      <c r="B1518" s="915"/>
      <c r="C1518" s="915"/>
      <c r="E1518" s="915"/>
      <c r="F1518" s="915"/>
      <c r="G1518" s="989"/>
      <c r="H1518" s="915"/>
      <c r="I1518" s="915"/>
    </row>
    <row r="1519" spans="2:9">
      <c r="B1519" s="915"/>
      <c r="C1519" s="915"/>
      <c r="E1519" s="915"/>
      <c r="F1519" s="915"/>
      <c r="G1519" s="989"/>
      <c r="H1519" s="915"/>
      <c r="I1519" s="915"/>
    </row>
    <row r="1520" spans="2:9">
      <c r="B1520" s="915"/>
      <c r="C1520" s="915"/>
      <c r="E1520" s="915"/>
      <c r="F1520" s="915"/>
      <c r="G1520" s="989"/>
      <c r="H1520" s="915"/>
      <c r="I1520" s="915"/>
    </row>
    <row r="1521" spans="2:9">
      <c r="B1521" s="915"/>
      <c r="C1521" s="915"/>
      <c r="E1521" s="915"/>
      <c r="F1521" s="915"/>
      <c r="G1521" s="989"/>
      <c r="H1521" s="915"/>
      <c r="I1521" s="915"/>
    </row>
    <row r="1522" spans="2:9">
      <c r="B1522" s="915"/>
      <c r="C1522" s="915"/>
      <c r="E1522" s="915"/>
      <c r="F1522" s="915"/>
      <c r="G1522" s="989"/>
      <c r="H1522" s="915"/>
      <c r="I1522" s="915"/>
    </row>
    <row r="1523" spans="2:9">
      <c r="B1523" s="915"/>
      <c r="C1523" s="915"/>
      <c r="E1523" s="915"/>
      <c r="F1523" s="915"/>
      <c r="G1523" s="989"/>
      <c r="H1523" s="915"/>
      <c r="I1523" s="915"/>
    </row>
    <row r="1524" spans="2:9">
      <c r="B1524" s="915"/>
      <c r="C1524" s="915"/>
      <c r="E1524" s="915"/>
      <c r="F1524" s="915"/>
      <c r="G1524" s="989"/>
      <c r="H1524" s="915"/>
      <c r="I1524" s="915"/>
    </row>
    <row r="1525" spans="2:9">
      <c r="B1525" s="915"/>
      <c r="C1525" s="915"/>
      <c r="E1525" s="915"/>
      <c r="F1525" s="915"/>
      <c r="G1525" s="989"/>
      <c r="H1525" s="915"/>
      <c r="I1525" s="915"/>
    </row>
    <row r="1526" spans="2:9">
      <c r="B1526" s="915"/>
      <c r="C1526" s="915"/>
      <c r="E1526" s="915"/>
      <c r="F1526" s="915"/>
      <c r="G1526" s="989"/>
      <c r="H1526" s="915"/>
      <c r="I1526" s="915"/>
    </row>
    <row r="1527" spans="2:9">
      <c r="B1527" s="915"/>
      <c r="C1527" s="915"/>
      <c r="E1527" s="915"/>
      <c r="F1527" s="915"/>
      <c r="G1527" s="989"/>
      <c r="H1527" s="915"/>
      <c r="I1527" s="915"/>
    </row>
    <row r="1528" spans="2:9">
      <c r="B1528" s="915"/>
      <c r="C1528" s="915"/>
      <c r="E1528" s="915"/>
      <c r="F1528" s="915"/>
      <c r="G1528" s="989"/>
      <c r="H1528" s="915"/>
      <c r="I1528" s="915"/>
    </row>
    <row r="1529" spans="2:9">
      <c r="B1529" s="915"/>
      <c r="C1529" s="915"/>
      <c r="E1529" s="915"/>
      <c r="F1529" s="915"/>
      <c r="G1529" s="989"/>
      <c r="H1529" s="915"/>
      <c r="I1529" s="915"/>
    </row>
    <row r="1530" spans="2:9">
      <c r="B1530" s="915"/>
      <c r="C1530" s="915"/>
      <c r="E1530" s="915"/>
      <c r="F1530" s="915"/>
      <c r="G1530" s="989"/>
      <c r="H1530" s="915"/>
      <c r="I1530" s="915"/>
    </row>
    <row r="1531" spans="2:9">
      <c r="B1531" s="915"/>
      <c r="C1531" s="915"/>
      <c r="E1531" s="915"/>
      <c r="F1531" s="915"/>
      <c r="G1531" s="989"/>
      <c r="H1531" s="915"/>
      <c r="I1531" s="915"/>
    </row>
    <row r="1532" spans="2:9">
      <c r="B1532" s="915"/>
      <c r="C1532" s="915"/>
      <c r="E1532" s="915"/>
      <c r="F1532" s="915"/>
      <c r="G1532" s="989"/>
      <c r="H1532" s="915"/>
      <c r="I1532" s="915"/>
    </row>
    <row r="1533" spans="2:9">
      <c r="B1533" s="915"/>
      <c r="C1533" s="915"/>
      <c r="E1533" s="915"/>
      <c r="F1533" s="915"/>
      <c r="G1533" s="989"/>
      <c r="H1533" s="915"/>
      <c r="I1533" s="915"/>
    </row>
    <row r="1534" spans="2:9">
      <c r="B1534" s="915"/>
      <c r="C1534" s="915"/>
      <c r="E1534" s="915"/>
      <c r="F1534" s="915"/>
      <c r="G1534" s="989"/>
      <c r="H1534" s="915"/>
      <c r="I1534" s="915"/>
    </row>
    <row r="1535" spans="2:9">
      <c r="B1535" s="915"/>
      <c r="C1535" s="915"/>
      <c r="E1535" s="915"/>
      <c r="F1535" s="915"/>
      <c r="G1535" s="989"/>
      <c r="H1535" s="915"/>
      <c r="I1535" s="915"/>
    </row>
    <row r="1536" spans="2:9">
      <c r="B1536" s="915"/>
      <c r="C1536" s="915"/>
      <c r="E1536" s="915"/>
      <c r="F1536" s="915"/>
      <c r="G1536" s="989"/>
      <c r="H1536" s="915"/>
      <c r="I1536" s="915"/>
    </row>
    <row r="1537" spans="2:9">
      <c r="B1537" s="915"/>
      <c r="C1537" s="915"/>
      <c r="E1537" s="915"/>
      <c r="F1537" s="915"/>
      <c r="G1537" s="989"/>
      <c r="H1537" s="915"/>
      <c r="I1537" s="915"/>
    </row>
    <row r="1538" spans="2:9">
      <c r="B1538" s="915"/>
      <c r="C1538" s="915"/>
      <c r="E1538" s="915"/>
      <c r="F1538" s="915"/>
      <c r="G1538" s="989"/>
      <c r="H1538" s="915"/>
      <c r="I1538" s="915"/>
    </row>
    <row r="1539" spans="2:9">
      <c r="B1539" s="915"/>
      <c r="C1539" s="915"/>
      <c r="E1539" s="915"/>
      <c r="F1539" s="915"/>
      <c r="G1539" s="989"/>
      <c r="H1539" s="915"/>
      <c r="I1539" s="915"/>
    </row>
    <row r="1540" spans="2:9">
      <c r="B1540" s="915"/>
      <c r="C1540" s="915"/>
      <c r="E1540" s="915"/>
      <c r="F1540" s="915"/>
      <c r="G1540" s="989"/>
      <c r="H1540" s="915"/>
      <c r="I1540" s="915"/>
    </row>
    <row r="1541" spans="2:9">
      <c r="B1541" s="915"/>
      <c r="C1541" s="915"/>
      <c r="E1541" s="915"/>
      <c r="F1541" s="915"/>
      <c r="G1541" s="989"/>
      <c r="H1541" s="915"/>
      <c r="I1541" s="915"/>
    </row>
    <row r="1542" spans="2:9">
      <c r="B1542" s="915"/>
      <c r="C1542" s="915"/>
      <c r="E1542" s="915"/>
      <c r="F1542" s="915"/>
      <c r="G1542" s="989"/>
      <c r="H1542" s="915"/>
      <c r="I1542" s="915"/>
    </row>
    <row r="1543" spans="2:9">
      <c r="B1543" s="915"/>
      <c r="C1543" s="915"/>
      <c r="E1543" s="915"/>
      <c r="F1543" s="915"/>
      <c r="G1543" s="989"/>
      <c r="H1543" s="915"/>
      <c r="I1543" s="915"/>
    </row>
    <row r="1544" spans="2:9">
      <c r="B1544" s="915"/>
      <c r="C1544" s="915"/>
      <c r="E1544" s="915"/>
      <c r="F1544" s="915"/>
      <c r="G1544" s="989"/>
      <c r="H1544" s="915"/>
      <c r="I1544" s="915"/>
    </row>
    <row r="1545" spans="2:9">
      <c r="B1545" s="915"/>
      <c r="C1545" s="915"/>
      <c r="E1545" s="915"/>
      <c r="F1545" s="915"/>
      <c r="G1545" s="989"/>
      <c r="H1545" s="915"/>
      <c r="I1545" s="915"/>
    </row>
    <row r="1546" spans="2:9">
      <c r="B1546" s="915"/>
      <c r="C1546" s="915"/>
      <c r="E1546" s="915"/>
      <c r="F1546" s="915"/>
      <c r="G1546" s="989"/>
      <c r="H1546" s="915"/>
      <c r="I1546" s="915"/>
    </row>
    <row r="1547" spans="2:9">
      <c r="B1547" s="915"/>
      <c r="C1547" s="915"/>
      <c r="E1547" s="915"/>
      <c r="F1547" s="915"/>
      <c r="G1547" s="989"/>
      <c r="H1547" s="915"/>
      <c r="I1547" s="915"/>
    </row>
    <row r="1548" spans="2:9">
      <c r="B1548" s="915"/>
      <c r="C1548" s="915"/>
      <c r="E1548" s="915"/>
      <c r="F1548" s="915"/>
      <c r="G1548" s="989"/>
      <c r="H1548" s="915"/>
      <c r="I1548" s="915"/>
    </row>
    <row r="1549" spans="2:9">
      <c r="B1549" s="915"/>
      <c r="C1549" s="915"/>
      <c r="E1549" s="915"/>
      <c r="F1549" s="915"/>
      <c r="G1549" s="989"/>
      <c r="H1549" s="915"/>
      <c r="I1549" s="915"/>
    </row>
    <row r="1550" spans="2:9">
      <c r="B1550" s="915"/>
      <c r="C1550" s="915"/>
      <c r="E1550" s="915"/>
      <c r="F1550" s="915"/>
      <c r="G1550" s="989"/>
      <c r="H1550" s="915"/>
      <c r="I1550" s="915"/>
    </row>
    <row r="1551" spans="2:9">
      <c r="B1551" s="915"/>
      <c r="C1551" s="915"/>
      <c r="E1551" s="915"/>
      <c r="F1551" s="915"/>
      <c r="G1551" s="989"/>
      <c r="H1551" s="915"/>
      <c r="I1551" s="915"/>
    </row>
    <row r="1552" spans="2:9">
      <c r="B1552" s="915"/>
      <c r="C1552" s="915"/>
      <c r="E1552" s="915"/>
      <c r="F1552" s="915"/>
      <c r="G1552" s="989"/>
      <c r="H1552" s="915"/>
      <c r="I1552" s="915"/>
    </row>
    <row r="1553" spans="2:9">
      <c r="B1553" s="915"/>
      <c r="C1553" s="915"/>
      <c r="E1553" s="915"/>
      <c r="F1553" s="915"/>
      <c r="G1553" s="989"/>
      <c r="H1553" s="915"/>
      <c r="I1553" s="915"/>
    </row>
    <row r="1554" spans="2:9">
      <c r="B1554" s="915"/>
      <c r="C1554" s="915"/>
      <c r="E1554" s="915"/>
      <c r="F1554" s="915"/>
      <c r="G1554" s="989"/>
      <c r="H1554" s="915"/>
      <c r="I1554" s="915"/>
    </row>
    <row r="1555" spans="2:9">
      <c r="B1555" s="915"/>
      <c r="C1555" s="915"/>
      <c r="E1555" s="915"/>
      <c r="F1555" s="915"/>
      <c r="G1555" s="989"/>
      <c r="H1555" s="915"/>
      <c r="I1555" s="915"/>
    </row>
    <row r="1556" spans="2:9">
      <c r="B1556" s="915"/>
      <c r="C1556" s="915"/>
      <c r="E1556" s="915"/>
      <c r="F1556" s="915"/>
      <c r="G1556" s="989"/>
      <c r="H1556" s="915"/>
      <c r="I1556" s="915"/>
    </row>
    <row r="1557" spans="2:9">
      <c r="B1557" s="915"/>
      <c r="C1557" s="915"/>
      <c r="E1557" s="915"/>
      <c r="F1557" s="915"/>
      <c r="G1557" s="989"/>
      <c r="H1557" s="915"/>
      <c r="I1557" s="915"/>
    </row>
    <row r="1558" spans="2:9">
      <c r="B1558" s="915"/>
      <c r="C1558" s="915"/>
      <c r="E1558" s="915"/>
      <c r="F1558" s="915"/>
      <c r="G1558" s="989"/>
      <c r="H1558" s="915"/>
      <c r="I1558" s="915"/>
    </row>
    <row r="1559" spans="2:9">
      <c r="B1559" s="915"/>
      <c r="C1559" s="915"/>
      <c r="E1559" s="915"/>
      <c r="F1559" s="915"/>
      <c r="G1559" s="989"/>
      <c r="H1559" s="915"/>
      <c r="I1559" s="915"/>
    </row>
    <row r="1560" spans="2:9">
      <c r="B1560" s="915"/>
      <c r="C1560" s="915"/>
      <c r="E1560" s="915"/>
      <c r="F1560" s="915"/>
      <c r="G1560" s="989"/>
      <c r="H1560" s="915"/>
      <c r="I1560" s="915"/>
    </row>
    <row r="1561" spans="2:9">
      <c r="B1561" s="915"/>
      <c r="C1561" s="915"/>
      <c r="E1561" s="915"/>
      <c r="F1561" s="915"/>
      <c r="G1561" s="989"/>
      <c r="H1561" s="915"/>
      <c r="I1561" s="915"/>
    </row>
    <row r="1562" spans="2:9">
      <c r="B1562" s="915"/>
      <c r="C1562" s="915"/>
      <c r="E1562" s="915"/>
      <c r="F1562" s="915"/>
      <c r="G1562" s="989"/>
      <c r="H1562" s="915"/>
      <c r="I1562" s="915"/>
    </row>
    <row r="1563" spans="2:9">
      <c r="B1563" s="915"/>
      <c r="C1563" s="915"/>
      <c r="E1563" s="915"/>
      <c r="F1563" s="915"/>
      <c r="G1563" s="989"/>
      <c r="H1563" s="915"/>
      <c r="I1563" s="915"/>
    </row>
    <row r="1564" spans="2:9">
      <c r="B1564" s="915"/>
      <c r="C1564" s="915"/>
      <c r="E1564" s="915"/>
      <c r="F1564" s="915"/>
      <c r="G1564" s="989"/>
      <c r="H1564" s="915"/>
      <c r="I1564" s="915"/>
    </row>
    <row r="1565" spans="2:9">
      <c r="B1565" s="915"/>
      <c r="C1565" s="915"/>
      <c r="E1565" s="915"/>
      <c r="F1565" s="915"/>
      <c r="G1565" s="989"/>
      <c r="H1565" s="915"/>
      <c r="I1565" s="915"/>
    </row>
    <row r="1566" spans="2:9">
      <c r="B1566" s="915"/>
      <c r="C1566" s="915"/>
      <c r="E1566" s="915"/>
      <c r="F1566" s="915"/>
      <c r="G1566" s="989"/>
      <c r="H1566" s="915"/>
      <c r="I1566" s="915"/>
    </row>
    <row r="1567" spans="2:9">
      <c r="B1567" s="915"/>
      <c r="C1567" s="915"/>
      <c r="E1567" s="915"/>
      <c r="F1567" s="915"/>
      <c r="G1567" s="989"/>
      <c r="H1567" s="915"/>
      <c r="I1567" s="915"/>
    </row>
    <row r="1568" spans="2:9">
      <c r="B1568" s="915"/>
      <c r="C1568" s="915"/>
      <c r="E1568" s="915"/>
      <c r="F1568" s="915"/>
      <c r="G1568" s="989"/>
      <c r="H1568" s="915"/>
      <c r="I1568" s="915"/>
    </row>
    <row r="1569" spans="2:9">
      <c r="B1569" s="915"/>
      <c r="C1569" s="915"/>
      <c r="E1569" s="915"/>
      <c r="F1569" s="915"/>
      <c r="G1569" s="989"/>
      <c r="H1569" s="915"/>
      <c r="I1569" s="915"/>
    </row>
    <row r="1570" spans="2:9">
      <c r="B1570" s="915"/>
      <c r="C1570" s="915"/>
      <c r="E1570" s="915"/>
      <c r="F1570" s="915"/>
      <c r="G1570" s="989"/>
      <c r="H1570" s="915"/>
      <c r="I1570" s="915"/>
    </row>
    <row r="1571" spans="2:9">
      <c r="B1571" s="915"/>
      <c r="C1571" s="915"/>
      <c r="E1571" s="915"/>
      <c r="F1571" s="915"/>
      <c r="G1571" s="989"/>
      <c r="H1571" s="915"/>
      <c r="I1571" s="915"/>
    </row>
    <row r="1572" spans="2:9">
      <c r="B1572" s="915"/>
      <c r="C1572" s="915"/>
      <c r="E1572" s="915"/>
      <c r="F1572" s="915"/>
      <c r="G1572" s="989"/>
      <c r="H1572" s="915"/>
      <c r="I1572" s="915"/>
    </row>
    <row r="1573" spans="2:9">
      <c r="B1573" s="915"/>
      <c r="C1573" s="915"/>
      <c r="E1573" s="915"/>
      <c r="F1573" s="915"/>
      <c r="G1573" s="989"/>
      <c r="H1573" s="915"/>
      <c r="I1573" s="915"/>
    </row>
    <row r="1574" spans="2:9">
      <c r="B1574" s="915"/>
      <c r="C1574" s="915"/>
      <c r="E1574" s="915"/>
      <c r="F1574" s="915"/>
      <c r="G1574" s="989"/>
      <c r="H1574" s="915"/>
      <c r="I1574" s="915"/>
    </row>
    <row r="1575" spans="2:9">
      <c r="B1575" s="915"/>
      <c r="C1575" s="915"/>
      <c r="E1575" s="915"/>
      <c r="F1575" s="915"/>
      <c r="G1575" s="989"/>
      <c r="H1575" s="915"/>
      <c r="I1575" s="915"/>
    </row>
    <row r="1576" spans="2:9">
      <c r="B1576" s="915"/>
      <c r="C1576" s="915"/>
      <c r="E1576" s="915"/>
      <c r="F1576" s="915"/>
      <c r="G1576" s="989"/>
      <c r="H1576" s="915"/>
      <c r="I1576" s="915"/>
    </row>
    <row r="1577" spans="2:9">
      <c r="B1577" s="915"/>
      <c r="C1577" s="915"/>
      <c r="E1577" s="915"/>
      <c r="F1577" s="915"/>
      <c r="G1577" s="989"/>
      <c r="H1577" s="915"/>
      <c r="I1577" s="915"/>
    </row>
    <row r="1578" spans="2:9">
      <c r="B1578" s="915"/>
      <c r="C1578" s="915"/>
      <c r="E1578" s="915"/>
      <c r="F1578" s="915"/>
      <c r="G1578" s="989"/>
      <c r="H1578" s="915"/>
      <c r="I1578" s="915"/>
    </row>
    <row r="1579" spans="2:9">
      <c r="B1579" s="915"/>
      <c r="C1579" s="915"/>
      <c r="E1579" s="915"/>
      <c r="F1579" s="915"/>
      <c r="G1579" s="989"/>
      <c r="H1579" s="915"/>
      <c r="I1579" s="915"/>
    </row>
    <row r="1580" spans="2:9">
      <c r="B1580" s="915"/>
      <c r="C1580" s="915"/>
      <c r="E1580" s="915"/>
      <c r="F1580" s="915"/>
      <c r="G1580" s="989"/>
      <c r="H1580" s="915"/>
      <c r="I1580" s="915"/>
    </row>
    <row r="1581" spans="2:9">
      <c r="B1581" s="915"/>
      <c r="C1581" s="915"/>
      <c r="E1581" s="915"/>
      <c r="F1581" s="915"/>
      <c r="G1581" s="989"/>
      <c r="H1581" s="915"/>
      <c r="I1581" s="915"/>
    </row>
    <row r="1582" spans="2:9">
      <c r="B1582" s="915"/>
      <c r="C1582" s="915"/>
      <c r="E1582" s="915"/>
      <c r="F1582" s="915"/>
      <c r="G1582" s="989"/>
      <c r="H1582" s="915"/>
      <c r="I1582" s="915"/>
    </row>
    <row r="1583" spans="2:9">
      <c r="B1583" s="915"/>
      <c r="C1583" s="915"/>
      <c r="E1583" s="915"/>
      <c r="F1583" s="915"/>
      <c r="G1583" s="989"/>
      <c r="H1583" s="915"/>
      <c r="I1583" s="915"/>
    </row>
    <row r="1584" spans="2:9">
      <c r="B1584" s="915"/>
      <c r="C1584" s="915"/>
      <c r="E1584" s="915"/>
      <c r="F1584" s="915"/>
      <c r="G1584" s="989"/>
      <c r="H1584" s="915"/>
      <c r="I1584" s="915"/>
    </row>
    <row r="1585" spans="2:9">
      <c r="B1585" s="915"/>
      <c r="C1585" s="915"/>
      <c r="E1585" s="915"/>
      <c r="F1585" s="915"/>
      <c r="G1585" s="989"/>
      <c r="H1585" s="915"/>
      <c r="I1585" s="915"/>
    </row>
    <row r="1586" spans="2:9">
      <c r="B1586" s="915"/>
      <c r="C1586" s="915"/>
      <c r="E1586" s="915"/>
      <c r="F1586" s="915"/>
      <c r="G1586" s="989"/>
      <c r="H1586" s="915"/>
      <c r="I1586" s="915"/>
    </row>
    <row r="1587" spans="2:9">
      <c r="B1587" s="915"/>
      <c r="C1587" s="915"/>
      <c r="E1587" s="915"/>
      <c r="F1587" s="915"/>
      <c r="G1587" s="989"/>
      <c r="H1587" s="915"/>
      <c r="I1587" s="915"/>
    </row>
    <row r="1588" spans="2:9">
      <c r="B1588" s="915"/>
      <c r="C1588" s="915"/>
      <c r="E1588" s="915"/>
      <c r="F1588" s="915"/>
      <c r="G1588" s="989"/>
      <c r="H1588" s="915"/>
      <c r="I1588" s="915"/>
    </row>
    <row r="1589" spans="2:9">
      <c r="B1589" s="915"/>
      <c r="C1589" s="915"/>
      <c r="E1589" s="915"/>
      <c r="F1589" s="915"/>
      <c r="G1589" s="989"/>
      <c r="H1589" s="915"/>
      <c r="I1589" s="915"/>
    </row>
    <row r="1590" spans="2:9">
      <c r="B1590" s="915"/>
      <c r="C1590" s="915"/>
      <c r="E1590" s="915"/>
      <c r="F1590" s="915"/>
      <c r="G1590" s="989"/>
      <c r="H1590" s="915"/>
      <c r="I1590" s="915"/>
    </row>
    <row r="1591" spans="2:9">
      <c r="B1591" s="915"/>
      <c r="C1591" s="915"/>
      <c r="E1591" s="915"/>
      <c r="F1591" s="915"/>
      <c r="G1591" s="989"/>
      <c r="H1591" s="915"/>
      <c r="I1591" s="915"/>
    </row>
    <row r="1592" spans="2:9">
      <c r="B1592" s="915"/>
      <c r="C1592" s="915"/>
      <c r="E1592" s="915"/>
      <c r="F1592" s="915"/>
      <c r="G1592" s="989"/>
      <c r="H1592" s="915"/>
      <c r="I1592" s="915"/>
    </row>
    <row r="1593" spans="2:9">
      <c r="B1593" s="915"/>
      <c r="C1593" s="915"/>
      <c r="E1593" s="915"/>
      <c r="F1593" s="915"/>
      <c r="G1593" s="989"/>
      <c r="H1593" s="915"/>
      <c r="I1593" s="915"/>
    </row>
    <row r="1594" spans="2:9">
      <c r="B1594" s="915"/>
      <c r="C1594" s="915"/>
      <c r="E1594" s="915"/>
      <c r="F1594" s="915"/>
      <c r="G1594" s="989"/>
      <c r="H1594" s="915"/>
      <c r="I1594" s="915"/>
    </row>
    <row r="1595" spans="2:9">
      <c r="B1595" s="915"/>
      <c r="C1595" s="915"/>
      <c r="E1595" s="915"/>
      <c r="F1595" s="915"/>
      <c r="G1595" s="989"/>
      <c r="H1595" s="915"/>
      <c r="I1595" s="915"/>
    </row>
    <row r="1596" spans="2:9">
      <c r="B1596" s="915"/>
      <c r="C1596" s="915"/>
      <c r="E1596" s="915"/>
      <c r="F1596" s="915"/>
      <c r="G1596" s="989"/>
      <c r="H1596" s="915"/>
      <c r="I1596" s="915"/>
    </row>
    <row r="1597" spans="2:9">
      <c r="B1597" s="915"/>
      <c r="C1597" s="915"/>
      <c r="E1597" s="915"/>
      <c r="F1597" s="915"/>
      <c r="G1597" s="989"/>
      <c r="H1597" s="915"/>
      <c r="I1597" s="915"/>
    </row>
    <row r="1598" spans="2:9">
      <c r="B1598" s="915"/>
      <c r="C1598" s="915"/>
      <c r="E1598" s="915"/>
      <c r="F1598" s="915"/>
      <c r="G1598" s="989"/>
      <c r="H1598" s="915"/>
      <c r="I1598" s="915"/>
    </row>
    <row r="1599" spans="2:9">
      <c r="B1599" s="915"/>
      <c r="C1599" s="915"/>
      <c r="E1599" s="915"/>
      <c r="F1599" s="915"/>
      <c r="G1599" s="989"/>
      <c r="H1599" s="915"/>
      <c r="I1599" s="915"/>
    </row>
    <row r="1600" spans="2:9">
      <c r="B1600" s="915"/>
      <c r="C1600" s="915"/>
      <c r="E1600" s="915"/>
      <c r="F1600" s="915"/>
      <c r="G1600" s="989"/>
      <c r="H1600" s="915"/>
      <c r="I1600" s="915"/>
    </row>
    <row r="1601" spans="2:9">
      <c r="B1601" s="915"/>
      <c r="C1601" s="915"/>
      <c r="E1601" s="915"/>
      <c r="F1601" s="915"/>
      <c r="G1601" s="989"/>
      <c r="H1601" s="915"/>
      <c r="I1601" s="915"/>
    </row>
    <row r="1602" spans="2:9">
      <c r="B1602" s="915"/>
      <c r="C1602" s="915"/>
      <c r="E1602" s="915"/>
      <c r="F1602" s="915"/>
      <c r="G1602" s="989"/>
      <c r="H1602" s="915"/>
      <c r="I1602" s="915"/>
    </row>
    <row r="1603" spans="2:9">
      <c r="B1603" s="915"/>
      <c r="C1603" s="915"/>
      <c r="E1603" s="915"/>
      <c r="F1603" s="915"/>
      <c r="G1603" s="989"/>
      <c r="H1603" s="915"/>
      <c r="I1603" s="915"/>
    </row>
    <row r="1604" spans="2:9">
      <c r="B1604" s="915"/>
      <c r="C1604" s="915"/>
      <c r="E1604" s="915"/>
      <c r="F1604" s="915"/>
      <c r="G1604" s="989"/>
      <c r="H1604" s="915"/>
      <c r="I1604" s="915"/>
    </row>
    <row r="1605" spans="2:9">
      <c r="B1605" s="915"/>
      <c r="C1605" s="915"/>
      <c r="E1605" s="915"/>
      <c r="F1605" s="915"/>
      <c r="G1605" s="989"/>
      <c r="H1605" s="915"/>
      <c r="I1605" s="915"/>
    </row>
    <row r="1606" spans="2:9">
      <c r="B1606" s="915"/>
      <c r="C1606" s="915"/>
      <c r="E1606" s="915"/>
      <c r="F1606" s="915"/>
      <c r="G1606" s="989"/>
      <c r="H1606" s="915"/>
      <c r="I1606" s="915"/>
    </row>
    <row r="1607" spans="2:9">
      <c r="B1607" s="915"/>
      <c r="C1607" s="915"/>
      <c r="E1607" s="915"/>
      <c r="F1607" s="915"/>
      <c r="G1607" s="989"/>
      <c r="H1607" s="915"/>
      <c r="I1607" s="915"/>
    </row>
    <row r="1608" spans="2:9">
      <c r="B1608" s="915"/>
      <c r="C1608" s="915"/>
      <c r="E1608" s="915"/>
      <c r="F1608" s="915"/>
      <c r="G1608" s="989"/>
      <c r="H1608" s="915"/>
      <c r="I1608" s="915"/>
    </row>
    <row r="1609" spans="2:9">
      <c r="B1609" s="915"/>
      <c r="C1609" s="915"/>
      <c r="E1609" s="915"/>
      <c r="F1609" s="915"/>
      <c r="G1609" s="989"/>
      <c r="H1609" s="915"/>
      <c r="I1609" s="915"/>
    </row>
    <row r="1610" spans="2:9">
      <c r="B1610" s="915"/>
      <c r="C1610" s="915"/>
      <c r="E1610" s="915"/>
      <c r="F1610" s="915"/>
      <c r="G1610" s="989"/>
      <c r="H1610" s="915"/>
      <c r="I1610" s="915"/>
    </row>
    <row r="1611" spans="2:9">
      <c r="B1611" s="915"/>
      <c r="C1611" s="915"/>
      <c r="E1611" s="915"/>
      <c r="F1611" s="915"/>
      <c r="G1611" s="989"/>
      <c r="H1611" s="915"/>
      <c r="I1611" s="915"/>
    </row>
    <row r="1612" spans="2:9">
      <c r="B1612" s="915"/>
      <c r="C1612" s="915"/>
      <c r="E1612" s="915"/>
      <c r="F1612" s="915"/>
      <c r="G1612" s="989"/>
      <c r="H1612" s="915"/>
      <c r="I1612" s="915"/>
    </row>
    <row r="1613" spans="2:9">
      <c r="B1613" s="915"/>
      <c r="C1613" s="915"/>
      <c r="E1613" s="915"/>
      <c r="F1613" s="915"/>
      <c r="G1613" s="989"/>
      <c r="H1613" s="915"/>
      <c r="I1613" s="915"/>
    </row>
    <row r="1614" spans="2:9">
      <c r="B1614" s="915"/>
      <c r="C1614" s="915"/>
      <c r="E1614" s="915"/>
      <c r="F1614" s="915"/>
      <c r="G1614" s="989"/>
      <c r="H1614" s="915"/>
      <c r="I1614" s="915"/>
    </row>
    <row r="1615" spans="2:9">
      <c r="B1615" s="915"/>
      <c r="C1615" s="915"/>
      <c r="E1615" s="915"/>
      <c r="F1615" s="915"/>
      <c r="G1615" s="989"/>
      <c r="H1615" s="915"/>
      <c r="I1615" s="915"/>
    </row>
    <row r="1616" spans="2:9">
      <c r="B1616" s="915"/>
      <c r="C1616" s="915"/>
      <c r="E1616" s="915"/>
      <c r="F1616" s="915"/>
      <c r="G1616" s="989"/>
      <c r="H1616" s="915"/>
      <c r="I1616" s="915"/>
    </row>
    <row r="1617" spans="2:9">
      <c r="B1617" s="915"/>
      <c r="C1617" s="915"/>
      <c r="E1617" s="915"/>
      <c r="F1617" s="915"/>
      <c r="G1617" s="989"/>
      <c r="H1617" s="915"/>
      <c r="I1617" s="915"/>
    </row>
    <row r="1618" spans="2:9">
      <c r="B1618" s="915"/>
      <c r="C1618" s="915"/>
      <c r="E1618" s="915"/>
      <c r="F1618" s="915"/>
      <c r="G1618" s="989"/>
      <c r="H1618" s="915"/>
      <c r="I1618" s="915"/>
    </row>
    <row r="1619" spans="2:9">
      <c r="B1619" s="915"/>
      <c r="C1619" s="915"/>
      <c r="E1619" s="915"/>
      <c r="F1619" s="915"/>
      <c r="G1619" s="989"/>
      <c r="H1619" s="915"/>
      <c r="I1619" s="915"/>
    </row>
    <row r="1620" spans="2:9">
      <c r="B1620" s="915"/>
      <c r="C1620" s="915"/>
      <c r="E1620" s="915"/>
      <c r="F1620" s="915"/>
      <c r="G1620" s="989"/>
      <c r="H1620" s="915"/>
      <c r="I1620" s="915"/>
    </row>
    <row r="1621" spans="2:9">
      <c r="B1621" s="915"/>
      <c r="C1621" s="915"/>
      <c r="E1621" s="915"/>
      <c r="F1621" s="915"/>
      <c r="G1621" s="989"/>
      <c r="H1621" s="915"/>
      <c r="I1621" s="915"/>
    </row>
    <row r="1622" spans="2:9">
      <c r="B1622" s="915"/>
      <c r="C1622" s="915"/>
      <c r="E1622" s="915"/>
      <c r="F1622" s="915"/>
      <c r="G1622" s="989"/>
      <c r="H1622" s="915"/>
      <c r="I1622" s="915"/>
    </row>
    <row r="1623" spans="2:9">
      <c r="B1623" s="915"/>
      <c r="C1623" s="915"/>
      <c r="E1623" s="915"/>
      <c r="F1623" s="915"/>
      <c r="G1623" s="989"/>
      <c r="H1623" s="915"/>
      <c r="I1623" s="915"/>
    </row>
    <row r="1624" spans="2:9">
      <c r="B1624" s="915"/>
      <c r="C1624" s="915"/>
      <c r="E1624" s="915"/>
      <c r="F1624" s="915"/>
      <c r="G1624" s="989"/>
      <c r="H1624" s="915"/>
      <c r="I1624" s="915"/>
    </row>
    <row r="1625" spans="2:9">
      <c r="B1625" s="915"/>
      <c r="C1625" s="915"/>
      <c r="E1625" s="915"/>
      <c r="F1625" s="915"/>
      <c r="G1625" s="989"/>
      <c r="H1625" s="915"/>
      <c r="I1625" s="915"/>
    </row>
    <row r="1626" spans="2:9">
      <c r="B1626" s="915"/>
      <c r="C1626" s="915"/>
      <c r="E1626" s="915"/>
      <c r="F1626" s="915"/>
      <c r="G1626" s="989"/>
      <c r="H1626" s="915"/>
      <c r="I1626" s="915"/>
    </row>
    <row r="1627" spans="2:9">
      <c r="B1627" s="915"/>
      <c r="C1627" s="915"/>
      <c r="E1627" s="915"/>
      <c r="F1627" s="915"/>
      <c r="G1627" s="989"/>
      <c r="H1627" s="915"/>
      <c r="I1627" s="915"/>
    </row>
    <row r="1628" spans="2:9">
      <c r="B1628" s="915"/>
      <c r="C1628" s="915"/>
      <c r="E1628" s="915"/>
      <c r="F1628" s="915"/>
      <c r="G1628" s="989"/>
      <c r="H1628" s="915"/>
      <c r="I1628" s="915"/>
    </row>
    <row r="1629" spans="2:9">
      <c r="B1629" s="915"/>
      <c r="C1629" s="915"/>
      <c r="E1629" s="915"/>
      <c r="F1629" s="915"/>
      <c r="G1629" s="989"/>
      <c r="H1629" s="915"/>
      <c r="I1629" s="915"/>
    </row>
    <row r="1630" spans="2:9">
      <c r="B1630" s="915"/>
      <c r="C1630" s="915"/>
      <c r="E1630" s="915"/>
      <c r="F1630" s="915"/>
      <c r="G1630" s="989"/>
      <c r="H1630" s="915"/>
      <c r="I1630" s="915"/>
    </row>
    <row r="1631" spans="2:9">
      <c r="B1631" s="915"/>
      <c r="C1631" s="915"/>
      <c r="E1631" s="915"/>
      <c r="F1631" s="915"/>
      <c r="G1631" s="989"/>
      <c r="H1631" s="915"/>
      <c r="I1631" s="915"/>
    </row>
    <row r="1632" spans="2:9">
      <c r="B1632" s="915"/>
      <c r="C1632" s="915"/>
      <c r="E1632" s="915"/>
      <c r="F1632" s="915"/>
      <c r="G1632" s="989"/>
      <c r="H1632" s="915"/>
      <c r="I1632" s="915"/>
    </row>
    <row r="1633" spans="2:9">
      <c r="B1633" s="915"/>
      <c r="C1633" s="915"/>
      <c r="E1633" s="915"/>
      <c r="F1633" s="915"/>
      <c r="G1633" s="989"/>
      <c r="H1633" s="915"/>
      <c r="I1633" s="915"/>
    </row>
    <row r="1634" spans="2:9">
      <c r="B1634" s="915"/>
      <c r="C1634" s="915"/>
      <c r="E1634" s="915"/>
      <c r="F1634" s="915"/>
      <c r="G1634" s="989"/>
      <c r="H1634" s="915"/>
      <c r="I1634" s="915"/>
    </row>
    <row r="1635" spans="2:9">
      <c r="B1635" s="915"/>
      <c r="C1635" s="915"/>
      <c r="E1635" s="915"/>
      <c r="F1635" s="915"/>
      <c r="G1635" s="989"/>
      <c r="H1635" s="915"/>
      <c r="I1635" s="915"/>
    </row>
    <row r="1636" spans="2:9">
      <c r="B1636" s="915"/>
      <c r="C1636" s="915"/>
      <c r="E1636" s="915"/>
      <c r="F1636" s="915"/>
      <c r="G1636" s="989"/>
      <c r="H1636" s="915"/>
      <c r="I1636" s="915"/>
    </row>
    <row r="1637" spans="2:9">
      <c r="B1637" s="915"/>
      <c r="C1637" s="915"/>
      <c r="E1637" s="915"/>
      <c r="F1637" s="915"/>
      <c r="G1637" s="989"/>
      <c r="H1637" s="915"/>
      <c r="I1637" s="915"/>
    </row>
    <row r="1638" spans="2:9">
      <c r="B1638" s="915"/>
      <c r="C1638" s="915"/>
      <c r="E1638" s="915"/>
      <c r="F1638" s="915"/>
      <c r="G1638" s="989"/>
      <c r="H1638" s="915"/>
      <c r="I1638" s="915"/>
    </row>
    <row r="1639" spans="2:9">
      <c r="B1639" s="915"/>
      <c r="C1639" s="915"/>
      <c r="E1639" s="915"/>
      <c r="F1639" s="915"/>
      <c r="G1639" s="989"/>
      <c r="H1639" s="915"/>
      <c r="I1639" s="915"/>
    </row>
    <row r="1640" spans="2:9">
      <c r="B1640" s="915"/>
      <c r="C1640" s="915"/>
      <c r="E1640" s="915"/>
      <c r="F1640" s="915"/>
      <c r="G1640" s="989"/>
      <c r="H1640" s="915"/>
      <c r="I1640" s="915"/>
    </row>
    <row r="1641" spans="2:9">
      <c r="B1641" s="915"/>
      <c r="C1641" s="915"/>
      <c r="E1641" s="915"/>
      <c r="F1641" s="915"/>
      <c r="G1641" s="989"/>
      <c r="H1641" s="915"/>
      <c r="I1641" s="915"/>
    </row>
    <row r="1642" spans="2:9">
      <c r="B1642" s="915"/>
      <c r="C1642" s="915"/>
      <c r="E1642" s="915"/>
      <c r="F1642" s="915"/>
      <c r="G1642" s="989"/>
      <c r="H1642" s="915"/>
      <c r="I1642" s="915"/>
    </row>
    <row r="1643" spans="2:9">
      <c r="B1643" s="915"/>
      <c r="C1643" s="915"/>
      <c r="E1643" s="915"/>
      <c r="F1643" s="915"/>
      <c r="G1643" s="989"/>
      <c r="H1643" s="915"/>
      <c r="I1643" s="915"/>
    </row>
    <row r="1644" spans="2:9">
      <c r="B1644" s="915"/>
      <c r="C1644" s="915"/>
      <c r="E1644" s="915"/>
      <c r="F1644" s="915"/>
      <c r="G1644" s="989"/>
      <c r="H1644" s="915"/>
      <c r="I1644" s="915"/>
    </row>
    <row r="1645" spans="2:9">
      <c r="B1645" s="915"/>
      <c r="C1645" s="915"/>
      <c r="E1645" s="915"/>
      <c r="F1645" s="915"/>
      <c r="G1645" s="989"/>
      <c r="H1645" s="915"/>
      <c r="I1645" s="915"/>
    </row>
    <row r="1646" spans="2:9">
      <c r="B1646" s="915"/>
      <c r="C1646" s="915"/>
      <c r="E1646" s="915"/>
      <c r="F1646" s="915"/>
      <c r="G1646" s="989"/>
      <c r="H1646" s="915"/>
      <c r="I1646" s="915"/>
    </row>
    <row r="1647" spans="2:9">
      <c r="B1647" s="915"/>
      <c r="C1647" s="915"/>
      <c r="E1647" s="915"/>
      <c r="F1647" s="915"/>
      <c r="G1647" s="989"/>
      <c r="H1647" s="915"/>
      <c r="I1647" s="915"/>
    </row>
    <row r="1648" spans="2:9">
      <c r="B1648" s="915"/>
      <c r="C1648" s="915"/>
      <c r="E1648" s="915"/>
      <c r="F1648" s="915"/>
      <c r="G1648" s="989"/>
      <c r="H1648" s="915"/>
      <c r="I1648" s="915"/>
    </row>
    <row r="1649" spans="2:9">
      <c r="B1649" s="915"/>
      <c r="C1649" s="915"/>
      <c r="E1649" s="915"/>
      <c r="F1649" s="915"/>
      <c r="G1649" s="989"/>
      <c r="H1649" s="915"/>
      <c r="I1649" s="915"/>
    </row>
    <row r="1650" spans="2:9">
      <c r="B1650" s="915"/>
      <c r="C1650" s="915"/>
      <c r="E1650" s="915"/>
      <c r="F1650" s="915"/>
      <c r="G1650" s="989"/>
      <c r="H1650" s="915"/>
      <c r="I1650" s="915"/>
    </row>
    <row r="1651" spans="2:9">
      <c r="B1651" s="915"/>
      <c r="C1651" s="915"/>
      <c r="E1651" s="915"/>
      <c r="F1651" s="915"/>
      <c r="G1651" s="989"/>
      <c r="H1651" s="915"/>
      <c r="I1651" s="915"/>
    </row>
    <row r="1652" spans="2:9">
      <c r="B1652" s="915"/>
      <c r="C1652" s="915"/>
      <c r="E1652" s="915"/>
      <c r="F1652" s="915"/>
      <c r="G1652" s="989"/>
      <c r="H1652" s="915"/>
      <c r="I1652" s="915"/>
    </row>
    <row r="1653" spans="2:9">
      <c r="B1653" s="915"/>
      <c r="C1653" s="915"/>
      <c r="E1653" s="915"/>
      <c r="F1653" s="915"/>
      <c r="G1653" s="989"/>
      <c r="H1653" s="915"/>
      <c r="I1653" s="915"/>
    </row>
    <row r="1654" spans="2:9">
      <c r="B1654" s="915"/>
      <c r="C1654" s="915"/>
      <c r="E1654" s="915"/>
      <c r="F1654" s="915"/>
      <c r="G1654" s="989"/>
      <c r="H1654" s="915"/>
      <c r="I1654" s="915"/>
    </row>
    <row r="1655" spans="2:9">
      <c r="B1655" s="915"/>
      <c r="C1655" s="915"/>
      <c r="E1655" s="915"/>
      <c r="F1655" s="915"/>
      <c r="G1655" s="989"/>
      <c r="H1655" s="915"/>
      <c r="I1655" s="915"/>
    </row>
    <row r="1656" spans="2:9">
      <c r="B1656" s="915"/>
      <c r="C1656" s="915"/>
      <c r="E1656" s="915"/>
      <c r="F1656" s="915"/>
      <c r="G1656" s="989"/>
      <c r="H1656" s="915"/>
      <c r="I1656" s="915"/>
    </row>
    <row r="1657" spans="2:9">
      <c r="B1657" s="915"/>
      <c r="C1657" s="915"/>
      <c r="E1657" s="915"/>
      <c r="F1657" s="915"/>
      <c r="G1657" s="989"/>
      <c r="H1657" s="915"/>
      <c r="I1657" s="915"/>
    </row>
    <row r="1658" spans="2:9">
      <c r="B1658" s="915"/>
      <c r="C1658" s="915"/>
      <c r="E1658" s="915"/>
      <c r="F1658" s="915"/>
      <c r="G1658" s="989"/>
      <c r="H1658" s="915"/>
      <c r="I1658" s="915"/>
    </row>
    <row r="1659" spans="2:9">
      <c r="B1659" s="915"/>
      <c r="C1659" s="915"/>
      <c r="E1659" s="915"/>
      <c r="F1659" s="915"/>
      <c r="G1659" s="989"/>
      <c r="H1659" s="915"/>
      <c r="I1659" s="915"/>
    </row>
    <row r="1660" spans="2:9">
      <c r="B1660" s="915"/>
      <c r="C1660" s="915"/>
      <c r="E1660" s="915"/>
      <c r="F1660" s="915"/>
      <c r="G1660" s="989"/>
      <c r="H1660" s="915"/>
      <c r="I1660" s="915"/>
    </row>
    <row r="1661" spans="2:9">
      <c r="B1661" s="915"/>
      <c r="C1661" s="915"/>
      <c r="E1661" s="915"/>
      <c r="F1661" s="915"/>
      <c r="G1661" s="989"/>
      <c r="H1661" s="915"/>
      <c r="I1661" s="915"/>
    </row>
    <row r="1662" spans="2:9">
      <c r="B1662" s="915"/>
      <c r="C1662" s="915"/>
      <c r="E1662" s="915"/>
      <c r="F1662" s="915"/>
      <c r="G1662" s="989"/>
      <c r="H1662" s="915"/>
      <c r="I1662" s="915"/>
    </row>
    <row r="1663" spans="2:9">
      <c r="B1663" s="915"/>
      <c r="C1663" s="915"/>
      <c r="E1663" s="915"/>
      <c r="F1663" s="915"/>
      <c r="G1663" s="989"/>
      <c r="H1663" s="915"/>
      <c r="I1663" s="915"/>
    </row>
    <row r="1664" spans="2:9">
      <c r="B1664" s="915"/>
      <c r="C1664" s="915"/>
      <c r="E1664" s="915"/>
      <c r="F1664" s="915"/>
      <c r="G1664" s="989"/>
      <c r="H1664" s="915"/>
      <c r="I1664" s="915"/>
    </row>
    <row r="1665" spans="2:9">
      <c r="B1665" s="915"/>
      <c r="C1665" s="915"/>
      <c r="E1665" s="915"/>
      <c r="F1665" s="915"/>
      <c r="G1665" s="989"/>
      <c r="H1665" s="915"/>
      <c r="I1665" s="915"/>
    </row>
    <row r="1666" spans="2:9">
      <c r="B1666" s="915"/>
      <c r="C1666" s="915"/>
      <c r="E1666" s="915"/>
      <c r="F1666" s="915"/>
      <c r="G1666" s="989"/>
      <c r="H1666" s="915"/>
      <c r="I1666" s="915"/>
    </row>
    <row r="1667" spans="2:9">
      <c r="B1667" s="915"/>
      <c r="C1667" s="915"/>
      <c r="E1667" s="915"/>
      <c r="F1667" s="915"/>
      <c r="G1667" s="989"/>
      <c r="H1667" s="915"/>
      <c r="I1667" s="915"/>
    </row>
    <row r="1668" spans="2:9">
      <c r="B1668" s="915"/>
      <c r="C1668" s="915"/>
      <c r="E1668" s="915"/>
      <c r="F1668" s="915"/>
      <c r="G1668" s="989"/>
      <c r="H1668" s="915"/>
      <c r="I1668" s="915"/>
    </row>
    <row r="1669" spans="2:9">
      <c r="B1669" s="915"/>
      <c r="C1669" s="915"/>
      <c r="E1669" s="915"/>
      <c r="F1669" s="915"/>
      <c r="G1669" s="989"/>
      <c r="H1669" s="915"/>
      <c r="I1669" s="915"/>
    </row>
    <row r="1670" spans="2:9">
      <c r="B1670" s="915"/>
      <c r="C1670" s="915"/>
      <c r="E1670" s="915"/>
      <c r="F1670" s="915"/>
      <c r="G1670" s="989"/>
      <c r="H1670" s="915"/>
      <c r="I1670" s="915"/>
    </row>
    <row r="1671" spans="2:9">
      <c r="B1671" s="915"/>
      <c r="C1671" s="915"/>
      <c r="E1671" s="915"/>
      <c r="F1671" s="915"/>
      <c r="G1671" s="989"/>
      <c r="H1671" s="915"/>
      <c r="I1671" s="915"/>
    </row>
    <row r="1672" spans="2:9">
      <c r="B1672" s="915"/>
      <c r="C1672" s="915"/>
      <c r="E1672" s="915"/>
      <c r="F1672" s="915"/>
      <c r="G1672" s="989"/>
      <c r="H1672" s="915"/>
      <c r="I1672" s="915"/>
    </row>
    <row r="1673" spans="2:9">
      <c r="B1673" s="915"/>
      <c r="C1673" s="915"/>
      <c r="E1673" s="915"/>
      <c r="F1673" s="915"/>
      <c r="G1673" s="989"/>
      <c r="H1673" s="915"/>
      <c r="I1673" s="915"/>
    </row>
    <row r="1674" spans="2:9">
      <c r="B1674" s="915"/>
      <c r="C1674" s="915"/>
      <c r="E1674" s="915"/>
      <c r="F1674" s="915"/>
      <c r="G1674" s="989"/>
      <c r="H1674" s="915"/>
      <c r="I1674" s="915"/>
    </row>
    <row r="1675" spans="2:9">
      <c r="B1675" s="915"/>
      <c r="C1675" s="915"/>
      <c r="E1675" s="915"/>
      <c r="F1675" s="915"/>
      <c r="G1675" s="989"/>
      <c r="H1675" s="915"/>
      <c r="I1675" s="915"/>
    </row>
    <row r="1676" spans="2:9">
      <c r="B1676" s="915"/>
      <c r="C1676" s="915"/>
      <c r="E1676" s="915"/>
      <c r="F1676" s="915"/>
      <c r="G1676" s="989"/>
      <c r="H1676" s="915"/>
      <c r="I1676" s="915"/>
    </row>
    <row r="1677" spans="2:9">
      <c r="B1677" s="915"/>
      <c r="C1677" s="915"/>
      <c r="E1677" s="915"/>
      <c r="F1677" s="915"/>
      <c r="G1677" s="989"/>
      <c r="H1677" s="915"/>
      <c r="I1677" s="915"/>
    </row>
    <row r="1678" spans="2:9">
      <c r="B1678" s="915"/>
      <c r="C1678" s="915"/>
      <c r="E1678" s="915"/>
      <c r="F1678" s="915"/>
      <c r="G1678" s="989"/>
      <c r="H1678" s="915"/>
      <c r="I1678" s="915"/>
    </row>
    <row r="1679" spans="2:9">
      <c r="B1679" s="915"/>
      <c r="C1679" s="915"/>
      <c r="E1679" s="915"/>
      <c r="F1679" s="915"/>
      <c r="G1679" s="989"/>
      <c r="H1679" s="915"/>
      <c r="I1679" s="915"/>
    </row>
    <row r="1680" spans="2:9">
      <c r="B1680" s="915"/>
      <c r="C1680" s="915"/>
      <c r="E1680" s="915"/>
      <c r="F1680" s="915"/>
      <c r="G1680" s="989"/>
      <c r="H1680" s="915"/>
      <c r="I1680" s="915"/>
    </row>
    <row r="1681" spans="2:9">
      <c r="B1681" s="915"/>
      <c r="C1681" s="915"/>
      <c r="E1681" s="915"/>
      <c r="F1681" s="915"/>
      <c r="G1681" s="989"/>
      <c r="H1681" s="915"/>
      <c r="I1681" s="915"/>
    </row>
    <row r="1682" spans="2:9">
      <c r="B1682" s="915"/>
      <c r="C1682" s="915"/>
      <c r="E1682" s="915"/>
      <c r="F1682" s="915"/>
      <c r="G1682" s="989"/>
      <c r="H1682" s="915"/>
      <c r="I1682" s="915"/>
    </row>
    <row r="1683" spans="2:9">
      <c r="B1683" s="915"/>
      <c r="C1683" s="915"/>
      <c r="E1683" s="915"/>
      <c r="F1683" s="915"/>
      <c r="G1683" s="989"/>
      <c r="H1683" s="915"/>
      <c r="I1683" s="915"/>
    </row>
    <row r="1684" spans="2:9">
      <c r="B1684" s="915"/>
      <c r="C1684" s="915"/>
      <c r="E1684" s="915"/>
      <c r="F1684" s="915"/>
      <c r="G1684" s="989"/>
      <c r="H1684" s="915"/>
      <c r="I1684" s="915"/>
    </row>
    <row r="1685" spans="2:9">
      <c r="B1685" s="915"/>
      <c r="C1685" s="915"/>
      <c r="E1685" s="915"/>
      <c r="F1685" s="915"/>
      <c r="G1685" s="989"/>
      <c r="H1685" s="915"/>
      <c r="I1685" s="915"/>
    </row>
    <row r="1686" spans="2:9">
      <c r="B1686" s="915"/>
      <c r="C1686" s="915"/>
      <c r="E1686" s="915"/>
      <c r="F1686" s="915"/>
      <c r="G1686" s="989"/>
      <c r="H1686" s="915"/>
      <c r="I1686" s="915"/>
    </row>
    <row r="1687" spans="2:9">
      <c r="B1687" s="915"/>
      <c r="C1687" s="915"/>
      <c r="E1687" s="915"/>
      <c r="F1687" s="915"/>
      <c r="G1687" s="989"/>
      <c r="H1687" s="915"/>
      <c r="I1687" s="915"/>
    </row>
    <row r="1688" spans="2:9">
      <c r="B1688" s="915"/>
      <c r="C1688" s="915"/>
      <c r="E1688" s="915"/>
      <c r="F1688" s="915"/>
      <c r="G1688" s="989"/>
      <c r="H1688" s="915"/>
      <c r="I1688" s="915"/>
    </row>
    <row r="1689" spans="2:9">
      <c r="B1689" s="915"/>
      <c r="C1689" s="915"/>
      <c r="E1689" s="915"/>
      <c r="F1689" s="915"/>
      <c r="G1689" s="989"/>
      <c r="H1689" s="915"/>
      <c r="I1689" s="915"/>
    </row>
    <row r="1690" spans="2:9">
      <c r="B1690" s="915"/>
      <c r="C1690" s="915"/>
      <c r="E1690" s="915"/>
      <c r="F1690" s="915"/>
      <c r="G1690" s="989"/>
      <c r="H1690" s="915"/>
      <c r="I1690" s="915"/>
    </row>
    <row r="1691" spans="2:9">
      <c r="B1691" s="915"/>
      <c r="C1691" s="915"/>
      <c r="E1691" s="915"/>
      <c r="F1691" s="915"/>
      <c r="G1691" s="989"/>
      <c r="H1691" s="915"/>
      <c r="I1691" s="915"/>
    </row>
    <row r="1692" spans="2:9">
      <c r="B1692" s="915"/>
      <c r="C1692" s="915"/>
      <c r="E1692" s="915"/>
      <c r="F1692" s="915"/>
      <c r="G1692" s="989"/>
      <c r="H1692" s="915"/>
      <c r="I1692" s="915"/>
    </row>
    <row r="1693" spans="2:9">
      <c r="B1693" s="915"/>
      <c r="C1693" s="915"/>
      <c r="E1693" s="915"/>
      <c r="F1693" s="915"/>
      <c r="G1693" s="989"/>
      <c r="H1693" s="915"/>
      <c r="I1693" s="915"/>
    </row>
    <row r="1694" spans="2:9">
      <c r="B1694" s="915"/>
      <c r="C1694" s="915"/>
      <c r="E1694" s="915"/>
      <c r="F1694" s="915"/>
      <c r="G1694" s="989"/>
      <c r="H1694" s="915"/>
      <c r="I1694" s="915"/>
    </row>
    <row r="1695" spans="2:9">
      <c r="B1695" s="915"/>
      <c r="C1695" s="915"/>
      <c r="E1695" s="915"/>
      <c r="F1695" s="915"/>
      <c r="G1695" s="989"/>
      <c r="H1695" s="915"/>
      <c r="I1695" s="915"/>
    </row>
    <row r="1696" spans="2:9">
      <c r="B1696" s="915"/>
      <c r="C1696" s="915"/>
      <c r="E1696" s="915"/>
      <c r="F1696" s="915"/>
      <c r="G1696" s="989"/>
      <c r="H1696" s="915"/>
      <c r="I1696" s="915"/>
    </row>
    <row r="1698" spans="13:13">
      <c r="M1698" s="985">
        <f>SUBTOTAL(9,M794:M1697)</f>
        <v>0</v>
      </c>
    </row>
  </sheetData>
  <autoFilter ref="A1:IU1057" xr:uid="{00000000-0009-0000-0000-00000E000000}">
    <filterColumn colId="4">
      <filters>
        <filter val="1.05.02 Viáticos Dentro del País"/>
      </filters>
    </filterColumn>
  </autoFilter>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4">
    <tabColor theme="9" tint="-0.499984740745262"/>
  </sheetPr>
  <dimension ref="A1:I177"/>
  <sheetViews>
    <sheetView showGridLines="0" topLeftCell="A147" workbookViewId="0">
      <selection activeCell="H179" sqref="H179"/>
    </sheetView>
  </sheetViews>
  <sheetFormatPr baseColWidth="10" defaultColWidth="11.44140625" defaultRowHeight="16.2" outlineLevelRow="1" outlineLevelCol="1"/>
  <cols>
    <col min="1" max="1" width="10.6640625" style="690" customWidth="1"/>
    <col min="2" max="2" width="16.88671875" style="24" customWidth="1"/>
    <col min="3" max="3" width="66.88671875" style="3" customWidth="1"/>
    <col min="4" max="4" width="19.88671875" style="1054" customWidth="1" outlineLevel="1"/>
    <col min="5" max="5" width="3.44140625" style="3" customWidth="1"/>
    <col min="6" max="6" width="11.44140625" style="3"/>
    <col min="7" max="8" width="11.44140625" style="830"/>
    <col min="9" max="16384" width="11.44140625" style="3"/>
  </cols>
  <sheetData>
    <row r="1" spans="1:8">
      <c r="B1" s="714"/>
    </row>
    <row r="2" spans="1:8">
      <c r="A2" s="1173" t="s">
        <v>0</v>
      </c>
      <c r="B2" s="1173"/>
      <c r="C2" s="1173"/>
      <c r="D2" s="1173"/>
    </row>
    <row r="3" spans="1:8">
      <c r="A3" s="1173" t="s">
        <v>1341</v>
      </c>
      <c r="B3" s="1173"/>
      <c r="C3" s="1173"/>
      <c r="D3" s="1173"/>
    </row>
    <row r="4" spans="1:8">
      <c r="A4" s="1173" t="s">
        <v>331</v>
      </c>
      <c r="B4" s="1173"/>
      <c r="C4" s="1173"/>
      <c r="D4" s="1173"/>
    </row>
    <row r="5" spans="1:8" ht="16.8" thickBot="1">
      <c r="A5" s="546"/>
      <c r="B5" s="846"/>
      <c r="C5" s="546"/>
      <c r="D5" s="1055"/>
    </row>
    <row r="6" spans="1:8" ht="16.8" thickTop="1">
      <c r="A6" s="1239" t="s">
        <v>393</v>
      </c>
      <c r="B6" s="1239"/>
      <c r="C6" s="1239"/>
      <c r="D6" s="1239"/>
    </row>
    <row r="7" spans="1:8">
      <c r="A7" s="2"/>
      <c r="B7" s="713"/>
      <c r="C7" s="2"/>
      <c r="D7" s="1056"/>
    </row>
    <row r="8" spans="1:8">
      <c r="A8" s="1242" t="s">
        <v>427</v>
      </c>
      <c r="B8" s="1242"/>
      <c r="C8" s="1242"/>
      <c r="D8" s="1057"/>
    </row>
    <row r="9" spans="1:8" ht="16.8" thickBot="1">
      <c r="A9" s="2"/>
      <c r="B9" s="714"/>
      <c r="C9" s="2"/>
      <c r="D9" s="1057"/>
    </row>
    <row r="10" spans="1:8" ht="33" customHeight="1" thickBot="1">
      <c r="A10" s="548" t="s">
        <v>394</v>
      </c>
      <c r="B10" s="847" t="s">
        <v>395</v>
      </c>
      <c r="C10" s="549" t="s">
        <v>396</v>
      </c>
      <c r="D10" s="1058" t="s">
        <v>397</v>
      </c>
    </row>
    <row r="11" spans="1:8" ht="9.9" customHeight="1">
      <c r="A11" s="406"/>
      <c r="B11" s="848"/>
      <c r="C11" s="551"/>
      <c r="D11" s="1059"/>
    </row>
    <row r="12" spans="1:8" ht="18" customHeight="1">
      <c r="A12" s="1240" t="s">
        <v>50</v>
      </c>
      <c r="B12" s="1241"/>
      <c r="C12" s="1241"/>
      <c r="D12" s="1060"/>
    </row>
    <row r="13" spans="1:8" ht="68.400000000000006" customHeight="1">
      <c r="A13" s="553" t="s">
        <v>67</v>
      </c>
      <c r="B13" s="849">
        <f>SUMIF(' CLASIFICACION DE GASTOS 2025'!$A$18:$A$219,$A13,' CLASIFICACION DE GASTOS 2025'!$C$18:$C$219)</f>
        <v>1181335000</v>
      </c>
      <c r="C13" s="554" t="s">
        <v>1432</v>
      </c>
      <c r="D13" s="1228" t="s">
        <v>398</v>
      </c>
      <c r="G13" s="1227"/>
      <c r="H13" s="1227"/>
    </row>
    <row r="14" spans="1:8" ht="129.6" hidden="1" customHeight="1">
      <c r="A14" s="553" t="s">
        <v>68</v>
      </c>
      <c r="B14" s="849">
        <f>SUMIF(' CLASIFICACION DE GASTOS 2025'!$A$18:$A$219,$A14,' CLASIFICACION DE GASTOS 2025'!$C$18:$C$219)</f>
        <v>0</v>
      </c>
      <c r="C14" s="114" t="s">
        <v>779</v>
      </c>
      <c r="D14" s="1230"/>
    </row>
    <row r="15" spans="1:8" ht="78.599999999999994" customHeight="1">
      <c r="A15" s="553" t="s">
        <v>333</v>
      </c>
      <c r="B15" s="849">
        <f>SUMIF(' CLASIFICACION DE GASTOS 2025'!$A$18:$A$219,$A15,' CLASIFICACION DE GASTOS 2025'!$C$18:$C$219)</f>
        <v>5000000</v>
      </c>
      <c r="C15" s="114" t="s">
        <v>679</v>
      </c>
      <c r="D15" s="1230"/>
      <c r="G15" s="1227"/>
      <c r="H15" s="1227"/>
    </row>
    <row r="16" spans="1:8" ht="45" customHeight="1">
      <c r="A16" s="553" t="s">
        <v>71</v>
      </c>
      <c r="B16" s="849">
        <f>SUMIF(' CLASIFICACION DE GASTOS 2025'!$A$18:$A$219,$A16,' CLASIFICACION DE GASTOS 2025'!$C$18:$C$219)</f>
        <v>8862000</v>
      </c>
      <c r="C16" s="114" t="s">
        <v>1374</v>
      </c>
      <c r="D16" s="1230"/>
      <c r="G16" s="1227"/>
      <c r="H16" s="1227"/>
    </row>
    <row r="17" spans="1:8" ht="72" customHeight="1">
      <c r="A17" s="553" t="s">
        <v>477</v>
      </c>
      <c r="B17" s="849">
        <f>SUMIF(' CLASIFICACION DE GASTOS 2025'!$A$18:$A$219,$A17,' CLASIFICACION DE GASTOS 2025'!$C$18:$C$219)</f>
        <v>2119180.08</v>
      </c>
      <c r="C17" s="491" t="s">
        <v>1431</v>
      </c>
      <c r="D17" s="1230"/>
      <c r="G17" s="1227"/>
      <c r="H17" s="1227"/>
    </row>
    <row r="18" spans="1:8" ht="51" customHeight="1">
      <c r="A18" s="557" t="s">
        <v>72</v>
      </c>
      <c r="B18" s="849">
        <f>SUMIF(' CLASIFICACION DE GASTOS 2025'!$A$18:$A$219,$A18,' CLASIFICACION DE GASTOS 2025'!$C$18:$C$219)</f>
        <v>13500000</v>
      </c>
      <c r="C18" s="491" t="s">
        <v>993</v>
      </c>
      <c r="D18" s="1230"/>
      <c r="G18" s="1227"/>
      <c r="H18" s="1227"/>
    </row>
    <row r="19" spans="1:8" ht="55.2" customHeight="1">
      <c r="A19" s="553" t="s">
        <v>75</v>
      </c>
      <c r="B19" s="849">
        <f>SUMIF(' CLASIFICACION DE GASTOS 2025'!$A$18:$A$219,$A19,' CLASIFICACION DE GASTOS 2025'!$C$18:$C$219)</f>
        <v>187667000</v>
      </c>
      <c r="C19" s="491" t="s">
        <v>399</v>
      </c>
      <c r="D19" s="1230"/>
      <c r="G19" s="1227"/>
      <c r="H19" s="1227"/>
    </row>
    <row r="20" spans="1:8" ht="43.2" customHeight="1">
      <c r="A20" s="553" t="s">
        <v>76</v>
      </c>
      <c r="B20" s="849">
        <f>SUMIF(' CLASIFICACION DE GASTOS 2025'!$A$18:$A$219,$A20,' CLASIFICACION DE GASTOS 2025'!$C$18:$C$219)</f>
        <v>223390000</v>
      </c>
      <c r="C20" s="114" t="s">
        <v>400</v>
      </c>
      <c r="D20" s="1230"/>
      <c r="G20" s="1227"/>
      <c r="H20" s="1227"/>
    </row>
    <row r="21" spans="1:8" ht="43.95" customHeight="1">
      <c r="A21" s="553" t="s">
        <v>77</v>
      </c>
      <c r="B21" s="849">
        <f>SUMIF(' CLASIFICACION DE GASTOS 2025'!$A$18:$A$219,$A21,' CLASIFICACION DE GASTOS 2025'!$C$18:$C$219)</f>
        <v>149252000</v>
      </c>
      <c r="C21" s="114" t="s">
        <v>401</v>
      </c>
      <c r="D21" s="1230"/>
      <c r="G21" s="1227"/>
      <c r="H21" s="1227"/>
    </row>
    <row r="22" spans="1:8" ht="40.950000000000003" customHeight="1">
      <c r="A22" s="553" t="s">
        <v>78</v>
      </c>
      <c r="B22" s="849">
        <f>SUMIF(' CLASIFICACION DE GASTOS 2025'!$A$18:$A$219,$A22,' CLASIFICACION DE GASTOS 2025'!$C$18:$C$219)</f>
        <v>140186000</v>
      </c>
      <c r="C22" s="114" t="s">
        <v>402</v>
      </c>
      <c r="D22" s="1230"/>
      <c r="G22" s="1227"/>
      <c r="H22" s="1227"/>
    </row>
    <row r="23" spans="1:8" ht="75.599999999999994" customHeight="1">
      <c r="A23" s="553" t="s">
        <v>79</v>
      </c>
      <c r="B23" s="849">
        <f>SUMIF(' CLASIFICACION DE GASTOS 2025'!$A$18:$A$219,$A23,' CLASIFICACION DE GASTOS 2025'!$C$18:$C$219)</f>
        <v>52043000</v>
      </c>
      <c r="C23" s="491" t="s">
        <v>1393</v>
      </c>
      <c r="D23" s="1229"/>
      <c r="G23" s="1227"/>
      <c r="H23" s="1227"/>
    </row>
    <row r="24" spans="1:8" ht="34.200000000000003" customHeight="1">
      <c r="A24" s="447" t="s">
        <v>82</v>
      </c>
      <c r="B24" s="849">
        <f>SUMIF(' CLASIFICACION DE GASTOS 2025'!$A$18:$A$219,$A24,' CLASIFICACION DE GASTOS 2025'!$C$18:$C$219)</f>
        <v>165897000</v>
      </c>
      <c r="C24" s="114" t="s">
        <v>404</v>
      </c>
      <c r="D24" s="1228" t="s">
        <v>398</v>
      </c>
      <c r="G24" s="1227"/>
      <c r="H24" s="1227"/>
    </row>
    <row r="25" spans="1:8" ht="36" customHeight="1">
      <c r="A25" s="447" t="s">
        <v>83</v>
      </c>
      <c r="B25" s="849">
        <f>SUMIF(' CLASIFICACION DE GASTOS 2025'!$A$18:$A$219,$A25,' CLASIFICACION DE GASTOS 2025'!$C$18:$C$219)</f>
        <v>8967000</v>
      </c>
      <c r="C25" s="491" t="s">
        <v>405</v>
      </c>
      <c r="D25" s="1230"/>
    </row>
    <row r="26" spans="1:8" ht="31.2" customHeight="1">
      <c r="A26" s="447" t="s">
        <v>84</v>
      </c>
      <c r="B26" s="849">
        <f>SUMIF(' CLASIFICACION DE GASTOS 2025'!$A$18:$A$219,$A26,' CLASIFICACION DE GASTOS 2025'!$C$18:$C$219)</f>
        <v>26902000</v>
      </c>
      <c r="C26" s="491" t="s">
        <v>406</v>
      </c>
      <c r="D26" s="1230"/>
    </row>
    <row r="27" spans="1:8" ht="37.200000000000003" customHeight="1">
      <c r="A27" s="447" t="s">
        <v>85</v>
      </c>
      <c r="B27" s="849">
        <f>SUMIF(' CLASIFICACION DE GASTOS 2025'!$A$18:$A$219,$A27,' CLASIFICACION DE GASTOS 2025'!$C$18:$C$219)</f>
        <v>89674000</v>
      </c>
      <c r="C27" s="491" t="s">
        <v>407</v>
      </c>
      <c r="D27" s="1230"/>
    </row>
    <row r="28" spans="1:8" ht="35.4" customHeight="1">
      <c r="A28" s="447" t="s">
        <v>86</v>
      </c>
      <c r="B28" s="849">
        <f>SUMIF(' CLASIFICACION DE GASTOS 2025'!$A$18:$A$219,$A28,' CLASIFICACION DE GASTOS 2025'!$C$18:$C$219)</f>
        <v>8967000</v>
      </c>
      <c r="C28" s="491" t="s">
        <v>408</v>
      </c>
      <c r="D28" s="1230"/>
    </row>
    <row r="29" spans="1:8" ht="49.95" customHeight="1">
      <c r="A29" s="561" t="s">
        <v>425</v>
      </c>
      <c r="B29" s="849">
        <f>SUMIF(' CLASIFICACION DE GASTOS 2025'!$A$18:$A$219,$A29,' CLASIFICACION DE GASTOS 2025'!$C$18:$C$219)</f>
        <v>97208000</v>
      </c>
      <c r="C29" s="491" t="s">
        <v>1433</v>
      </c>
      <c r="D29" s="1230"/>
    </row>
    <row r="30" spans="1:8" ht="43.95" customHeight="1">
      <c r="A30" s="447" t="s">
        <v>89</v>
      </c>
      <c r="B30" s="849">
        <f>SUMIF(' CLASIFICACION DE GASTOS 2025'!$A$18:$A$219,$A30,' CLASIFICACION DE GASTOS 2025'!$C$18:$C$219)</f>
        <v>53805000</v>
      </c>
      <c r="C30" s="491" t="s">
        <v>409</v>
      </c>
      <c r="D30" s="1230"/>
    </row>
    <row r="31" spans="1:8" ht="72.599999999999994" customHeight="1">
      <c r="A31" s="447" t="s">
        <v>90</v>
      </c>
      <c r="B31" s="849">
        <f>SUMIF(' CLASIFICACION DE GASTOS 2025'!$A$18:$A$219,$A31,' CLASIFICACION DE GASTOS 2025'!$C$18:$C$219)</f>
        <v>26902000</v>
      </c>
      <c r="C31" s="491" t="s">
        <v>990</v>
      </c>
      <c r="D31" s="1229"/>
    </row>
    <row r="32" spans="1:8" ht="42.75" hidden="1" customHeight="1">
      <c r="A32" s="562" t="s">
        <v>337</v>
      </c>
      <c r="B32" s="850">
        <v>0</v>
      </c>
      <c r="C32" s="559" t="s">
        <v>438</v>
      </c>
      <c r="D32" s="1061"/>
    </row>
    <row r="33" spans="1:9" ht="9.9" customHeight="1">
      <c r="A33" s="564"/>
      <c r="B33" s="851"/>
      <c r="C33" s="565"/>
      <c r="D33" s="1062"/>
    </row>
    <row r="34" spans="1:9" ht="18" customHeight="1">
      <c r="A34" s="567">
        <v>0</v>
      </c>
      <c r="B34" s="852">
        <f>SUM(B13:B31)</f>
        <v>2441676180.0799999</v>
      </c>
      <c r="C34" s="568" t="s">
        <v>410</v>
      </c>
      <c r="D34" s="1063"/>
    </row>
    <row r="35" spans="1:9" ht="9.9" customHeight="1">
      <c r="A35" s="570"/>
      <c r="B35" s="853"/>
      <c r="C35" s="571"/>
      <c r="D35" s="1064"/>
    </row>
    <row r="36" spans="1:9" ht="18" customHeight="1">
      <c r="A36" s="573" t="s">
        <v>51</v>
      </c>
      <c r="B36" s="854"/>
      <c r="C36" s="574"/>
      <c r="D36" s="1065"/>
    </row>
    <row r="37" spans="1:9" ht="69.599999999999994" customHeight="1">
      <c r="A37" s="468" t="s">
        <v>94</v>
      </c>
      <c r="B37" s="849">
        <f>SUMIF(' CLASIFICACION DE GASTOS 2025'!$A$18:$A$219,$A37,' CLASIFICACION DE GASTOS 2025'!$C$18:$C$219)</f>
        <v>89052000</v>
      </c>
      <c r="C37" s="114" t="s">
        <v>977</v>
      </c>
      <c r="D37" s="1228" t="s">
        <v>398</v>
      </c>
    </row>
    <row r="38" spans="1:9" ht="39" customHeight="1" outlineLevel="1">
      <c r="A38" s="468" t="s">
        <v>95</v>
      </c>
      <c r="B38" s="849">
        <f>SUMIF(' CLASIFICACION DE GASTOS 2025'!$A$18:$A$219,$A38,' CLASIFICACION DE GASTOS 2025'!$C$18:$C$219)</f>
        <v>50000000</v>
      </c>
      <c r="C38" s="491" t="s">
        <v>1360</v>
      </c>
      <c r="D38" s="1229"/>
    </row>
    <row r="39" spans="1:9" hidden="1">
      <c r="A39" s="619" t="s">
        <v>97</v>
      </c>
      <c r="B39" s="1048">
        <f>SUMIF(' CLASIFICACION DE GASTOS 2025'!$A$18:$A$219,$A39,' CLASIFICACION DE GASTOS 2025'!$C$18:$C$219)</f>
        <v>0</v>
      </c>
      <c r="C39" s="559"/>
      <c r="D39" s="1066"/>
    </row>
    <row r="40" spans="1:9" ht="52.95" customHeight="1">
      <c r="A40" s="468" t="s">
        <v>99</v>
      </c>
      <c r="B40" s="849">
        <f>SUMIF(' CLASIFICACION DE GASTOS 2025'!$A$18:$A$219,$A40,' CLASIFICACION DE GASTOS 2025'!$C$18:$C$219)</f>
        <v>53555000</v>
      </c>
      <c r="C40" s="1119" t="s">
        <v>1447</v>
      </c>
      <c r="D40" s="1228" t="s">
        <v>398</v>
      </c>
      <c r="G40" s="1227"/>
      <c r="H40" s="1227"/>
      <c r="I40" s="1227"/>
    </row>
    <row r="41" spans="1:9" ht="49.95" customHeight="1">
      <c r="A41" s="468" t="s">
        <v>103</v>
      </c>
      <c r="B41" s="849">
        <f>SUMIF(' CLASIFICACION DE GASTOS 2025'!$A$18:$A$219,$A41,' CLASIFICACION DE GASTOS 2025'!$C$18:$C$219)</f>
        <v>3114000</v>
      </c>
      <c r="C41" s="114" t="s">
        <v>660</v>
      </c>
      <c r="D41" s="1230"/>
    </row>
    <row r="42" spans="1:9" ht="49.2" customHeight="1">
      <c r="A42" s="468" t="s">
        <v>105</v>
      </c>
      <c r="B42" s="849">
        <f>SUMIF(' CLASIFICACION DE GASTOS 2025'!$A$18:$A$219,$A42,' CLASIFICACION DE GASTOS 2025'!$C$18:$C$219)</f>
        <v>9740000</v>
      </c>
      <c r="C42" s="114" t="s">
        <v>979</v>
      </c>
      <c r="D42" s="1230"/>
    </row>
    <row r="43" spans="1:9" ht="71.400000000000006" customHeight="1" outlineLevel="1">
      <c r="A43" s="468" t="s">
        <v>107</v>
      </c>
      <c r="B43" s="849">
        <f>SUMIF(' CLASIFICACION DE GASTOS 2025'!$A$18:$A$219,$A43,' CLASIFICACION DE GASTOS 2025'!$C$18:$C$219)</f>
        <v>3500000</v>
      </c>
      <c r="C43" s="114" t="s">
        <v>653</v>
      </c>
      <c r="D43" s="1230"/>
    </row>
    <row r="44" spans="1:9" ht="72.599999999999994" customHeight="1" outlineLevel="1">
      <c r="A44" s="468" t="s">
        <v>286</v>
      </c>
      <c r="B44" s="849">
        <f>SUMIF(' CLASIFICACION DE GASTOS 2025'!$A$18:$A$219,$A44,' CLASIFICACION DE GASTOS 2025'!$C$18:$C$219)</f>
        <v>30260000</v>
      </c>
      <c r="C44" s="114" t="s">
        <v>1394</v>
      </c>
      <c r="D44" s="1230"/>
    </row>
    <row r="45" spans="1:9" ht="39.6" customHeight="1" outlineLevel="1">
      <c r="A45" s="468" t="s">
        <v>109</v>
      </c>
      <c r="B45" s="849">
        <f>SUMIF(' CLASIFICACION DE GASTOS 2025'!$A$18:$A$219,$A45,' CLASIFICACION DE GASTOS 2025'!$C$18:$C$219)</f>
        <v>781380</v>
      </c>
      <c r="C45" s="114" t="s">
        <v>946</v>
      </c>
      <c r="D45" s="1230"/>
    </row>
    <row r="46" spans="1:9" ht="43.95" customHeight="1" outlineLevel="1">
      <c r="A46" s="468" t="s">
        <v>113</v>
      </c>
      <c r="B46" s="849">
        <f>SUMIF(' CLASIFICACION DE GASTOS 2025'!$A$18:$A$219,$A46,' CLASIFICACION DE GASTOS 2025'!$C$18:$C$219)</f>
        <v>1337000</v>
      </c>
      <c r="C46" s="114" t="s">
        <v>1361</v>
      </c>
      <c r="D46" s="1230"/>
    </row>
    <row r="47" spans="1:9" ht="16.2" hidden="1" customHeight="1" outlineLevel="1">
      <c r="A47" s="691" t="s">
        <v>114</v>
      </c>
      <c r="B47" s="849">
        <f>SUMIF(' CLASIFICACION DE GASTOS 2025'!$A$18:$A$219,$A47,' CLASIFICACION DE GASTOS 2025'!$C$18:$C$219)</f>
        <v>0</v>
      </c>
      <c r="C47" s="686"/>
      <c r="D47" s="1230"/>
    </row>
    <row r="48" spans="1:9" ht="37.200000000000003" customHeight="1" outlineLevel="1">
      <c r="A48" s="465" t="s">
        <v>115</v>
      </c>
      <c r="B48" s="849">
        <f>SUMIF(' CLASIFICACION DE GASTOS 2025'!$A$18:$A$219,$A48,' CLASIFICACION DE GASTOS 2025'!$C$18:$C$219)</f>
        <v>50000</v>
      </c>
      <c r="C48" s="114" t="s">
        <v>1395</v>
      </c>
      <c r="D48" s="1230"/>
    </row>
    <row r="49" spans="1:8" ht="45.6" customHeight="1" outlineLevel="1">
      <c r="A49" s="465" t="s">
        <v>116</v>
      </c>
      <c r="B49" s="849">
        <f>SUMIF(' CLASIFICACION DE GASTOS 2025'!$A$18:$A$219,$A49,' CLASIFICACION DE GASTOS 2025'!$C$18:$C$219)</f>
        <v>250000</v>
      </c>
      <c r="C49" s="114" t="s">
        <v>777</v>
      </c>
      <c r="D49" s="1230"/>
    </row>
    <row r="50" spans="1:8" ht="52.95" customHeight="1" outlineLevel="1">
      <c r="A50" s="465" t="s">
        <v>118</v>
      </c>
      <c r="B50" s="849">
        <f>SUMIF(' CLASIFICACION DE GASTOS 2025'!$A$18:$A$219,$A50,' CLASIFICACION DE GASTOS 2025'!$C$18:$C$219)</f>
        <v>22300000</v>
      </c>
      <c r="C50" s="114" t="s">
        <v>655</v>
      </c>
      <c r="D50" s="1229"/>
    </row>
    <row r="51" spans="1:8" ht="87.6" customHeight="1" outlineLevel="1">
      <c r="A51" s="468" t="s">
        <v>339</v>
      </c>
      <c r="B51" s="849">
        <f>SUMIF(' CLASIFICACION DE GASTOS 2025'!$A$18:$A$219,$A51,' CLASIFICACION DE GASTOS 2025'!$C$18:$C$219)</f>
        <v>78180908</v>
      </c>
      <c r="C51" s="114" t="s">
        <v>1434</v>
      </c>
      <c r="D51" s="1228" t="s">
        <v>398</v>
      </c>
    </row>
    <row r="52" spans="1:8" ht="12.75" hidden="1" customHeight="1">
      <c r="A52" s="468" t="s">
        <v>479</v>
      </c>
      <c r="B52" s="849">
        <f>SUMIF(' CLASIFICACION DE GASTOS 2025'!$A$18:$A$219,$A52,' CLASIFICACION DE GASTOS 2025'!$C$18:$C$219)</f>
        <v>0</v>
      </c>
      <c r="C52" s="114"/>
      <c r="D52" s="1230"/>
    </row>
    <row r="53" spans="1:8" ht="170.4" customHeight="1">
      <c r="A53" s="468" t="s">
        <v>341</v>
      </c>
      <c r="B53" s="849">
        <f>SUMIF(' CLASIFICACION DE GASTOS 2025'!$A$18:$A$219,$A53,' CLASIFICACION DE GASTOS 2025'!$C$18:$C$219)</f>
        <v>5500000</v>
      </c>
      <c r="C53" s="114" t="s">
        <v>1362</v>
      </c>
      <c r="D53" s="1229"/>
    </row>
    <row r="54" spans="1:8" ht="12.75" hidden="1" customHeight="1">
      <c r="A54" s="619">
        <v>0</v>
      </c>
      <c r="B54" s="1048">
        <f>SUMIF(' CLASIFICACION DE GASTOS 2025'!$A$18:$A$219,$A54,' CLASIFICACION DE GASTOS 2025'!$C$18:$C$219)</f>
        <v>0</v>
      </c>
      <c r="C54" s="559"/>
      <c r="D54" s="1052"/>
    </row>
    <row r="55" spans="1:8" ht="12.75" hidden="1" customHeight="1">
      <c r="A55" s="468" t="s">
        <v>293</v>
      </c>
      <c r="B55" s="849">
        <f>SUMIF(' CLASIFICACION DE GASTOS 2025'!$A$18:$A$219,$A55,' CLASIFICACION DE GASTOS 2025'!$C$18:$C$219)</f>
        <v>0</v>
      </c>
      <c r="C55" s="491"/>
      <c r="D55" s="1052"/>
    </row>
    <row r="56" spans="1:8" ht="184.95" customHeight="1">
      <c r="A56" s="468" t="s">
        <v>121</v>
      </c>
      <c r="B56" s="849">
        <f>SUMIF(' CLASIFICACION DE GASTOS 2025'!$A$18:$A$219,$A56,' CLASIFICACION DE GASTOS 2025'!$C$18:$C$219)</f>
        <v>45500000</v>
      </c>
      <c r="C56" s="576" t="s">
        <v>1435</v>
      </c>
      <c r="D56" s="1228" t="s">
        <v>398</v>
      </c>
    </row>
    <row r="57" spans="1:8" ht="56.4" customHeight="1">
      <c r="A57" s="468" t="s">
        <v>123</v>
      </c>
      <c r="B57" s="849">
        <f>SUMIF(' CLASIFICACION DE GASTOS 2025'!$A$18:$A$219,$A57,' CLASIFICACION DE GASTOS 2025'!$C$18:$C$219)</f>
        <v>7000000</v>
      </c>
      <c r="C57" s="491" t="s">
        <v>1363</v>
      </c>
      <c r="D57" s="1229"/>
    </row>
    <row r="58" spans="1:8" ht="153.6" customHeight="1">
      <c r="A58" s="468" t="s">
        <v>125</v>
      </c>
      <c r="B58" s="849">
        <f>SUMIF(' CLASIFICACION DE GASTOS 2025'!$A$18:$A$219,$A58,' CLASIFICACION DE GASTOS 2025'!$C$18:$C$219)</f>
        <v>35252000</v>
      </c>
      <c r="C58" s="114" t="s">
        <v>1364</v>
      </c>
      <c r="D58" s="1228" t="s">
        <v>398</v>
      </c>
    </row>
    <row r="59" spans="1:8" s="65" customFormat="1" ht="156.75" customHeight="1">
      <c r="A59" s="619" t="s">
        <v>127</v>
      </c>
      <c r="B59" s="849">
        <f>SUMIF(' CLASIFICACION DE GASTOS 2025'!$A$18:$A$219,$A59,' CLASIFICACION DE GASTOS 2025'!$C$18:$C$219)</f>
        <v>327750000</v>
      </c>
      <c r="C59" s="575" t="s">
        <v>1436</v>
      </c>
      <c r="D59" s="1230"/>
      <c r="G59" s="831"/>
      <c r="H59" s="831"/>
    </row>
    <row r="60" spans="1:8" ht="149.4" customHeight="1">
      <c r="A60" s="619" t="s">
        <v>131</v>
      </c>
      <c r="B60" s="849">
        <f>SUMIF(' CLASIFICACION DE GASTOS 2025'!$A$18:$A$219,$A60,' CLASIFICACION DE GASTOS 2025'!$C$18:$C$219)</f>
        <v>880000</v>
      </c>
      <c r="C60" s="114" t="s">
        <v>1365</v>
      </c>
      <c r="D60" s="1230"/>
    </row>
    <row r="61" spans="1:8" ht="135.6" customHeight="1">
      <c r="A61" s="619" t="s">
        <v>133</v>
      </c>
      <c r="B61" s="849">
        <f>SUMIF(' CLASIFICACION DE GASTOS 2025'!$A$18:$A$219,$A61,' CLASIFICACION DE GASTOS 2025'!$C$18:$C$219)</f>
        <v>4700000</v>
      </c>
      <c r="C61" s="114" t="s">
        <v>1475</v>
      </c>
      <c r="D61" s="1229"/>
    </row>
    <row r="62" spans="1:8" ht="198" customHeight="1">
      <c r="A62" s="619" t="s">
        <v>134</v>
      </c>
      <c r="B62" s="1048">
        <f>SUMIF(' CLASIFICACION DE GASTOS 2025'!$A$18:$A$219,$A62,' CLASIFICACION DE GASTOS 2025'!$C$18:$C$219)</f>
        <v>10500000</v>
      </c>
      <c r="C62" s="575" t="s">
        <v>1437</v>
      </c>
      <c r="D62" s="1228" t="s">
        <v>398</v>
      </c>
    </row>
    <row r="63" spans="1:8" ht="198" customHeight="1">
      <c r="A63" s="468" t="s">
        <v>136</v>
      </c>
      <c r="B63" s="849">
        <f>SUMIF(' CLASIFICACION DE GASTOS 2025'!$A$18:$A$219,$A63,' CLASIFICACION DE GASTOS 2025'!$C$18:$C$219)</f>
        <v>10000000</v>
      </c>
      <c r="C63" s="114" t="s">
        <v>1476</v>
      </c>
      <c r="D63" s="1229"/>
    </row>
    <row r="64" spans="1:8" ht="168.6" customHeight="1">
      <c r="A64" s="691" t="s">
        <v>138</v>
      </c>
      <c r="B64" s="849">
        <f>SUMIF(' CLASIFICACION DE GASTOS 2025'!$A$18:$A$219,$A64,' CLASIFICACION DE GASTOS 2025'!$C$18:$C$219)</f>
        <v>21766476.190000001</v>
      </c>
      <c r="C64" s="114" t="s">
        <v>1438</v>
      </c>
      <c r="D64" s="1231" t="s">
        <v>398</v>
      </c>
    </row>
    <row r="65" spans="1:4" ht="57.6" customHeight="1">
      <c r="A65" s="468" t="s">
        <v>142</v>
      </c>
      <c r="B65" s="849">
        <f>SUMIF(' CLASIFICACION DE GASTOS 2025'!$A$18:$A$219,$A65,' CLASIFICACION DE GASTOS 2025'!$C$18:$C$219)</f>
        <v>107000000</v>
      </c>
      <c r="C65" s="114" t="s">
        <v>1398</v>
      </c>
      <c r="D65" s="1232"/>
    </row>
    <row r="66" spans="1:4" ht="54.6" customHeight="1">
      <c r="A66" s="691" t="s">
        <v>144</v>
      </c>
      <c r="B66" s="1083">
        <f>SUMIF(' CLASIFICACION DE GASTOS 2025'!$A$18:$A$219,$A66,' CLASIFICACION DE GASTOS 2025'!$C$18:$C$219)</f>
        <v>1000000</v>
      </c>
      <c r="C66" s="1111" t="s">
        <v>1399</v>
      </c>
      <c r="D66" s="1232"/>
    </row>
    <row r="67" spans="1:4" ht="34.950000000000003" customHeight="1">
      <c r="A67" s="468" t="s">
        <v>146</v>
      </c>
      <c r="B67" s="849">
        <f>SUMIF(' CLASIFICACION DE GASTOS 2025'!$A$18:$A$219,$A67,' CLASIFICACION DE GASTOS 2025'!$C$18:$C$219)</f>
        <v>150000</v>
      </c>
      <c r="C67" s="1112" t="s">
        <v>1400</v>
      </c>
      <c r="D67" s="1232"/>
    </row>
    <row r="68" spans="1:4" ht="32.4">
      <c r="A68" s="468" t="s">
        <v>150</v>
      </c>
      <c r="B68" s="849">
        <f>SUMIF(' CLASIFICACION DE GASTOS 2025'!$A$18:$A$219,$A68,' CLASIFICACION DE GASTOS 2025'!$C$18:$C$219)</f>
        <v>500000</v>
      </c>
      <c r="C68" s="579" t="s">
        <v>656</v>
      </c>
      <c r="D68" s="1232"/>
    </row>
    <row r="69" spans="1:4" ht="12.75" hidden="1" customHeight="1">
      <c r="A69" s="468" t="s">
        <v>151</v>
      </c>
      <c r="B69" s="849">
        <f>SUMIF(' CLASIFICACION DE GASTOS 2025'!$A$18:$A$219,$A69,' CLASIFICACION DE GASTOS 2025'!$C$18:$C$219)</f>
        <v>0</v>
      </c>
      <c r="C69" s="579"/>
      <c r="D69" s="1232"/>
    </row>
    <row r="70" spans="1:4" ht="12.75" hidden="1" customHeight="1">
      <c r="A70" s="468" t="s">
        <v>344</v>
      </c>
      <c r="B70" s="849">
        <f>SUMIF(' CLASIFICACION DE GASTOS 2025'!$A$18:$A$219,$A70,' CLASIFICACION DE GASTOS 2025'!$C$18:$C$219)</f>
        <v>0</v>
      </c>
      <c r="C70" s="579"/>
      <c r="D70" s="1232"/>
    </row>
    <row r="71" spans="1:4" ht="48.6">
      <c r="A71" s="468" t="s">
        <v>153</v>
      </c>
      <c r="B71" s="849">
        <f>SUMIF(' CLASIFICACION DE GASTOS 2025'!$A$18:$A$219,$A71,' CLASIFICACION DE GASTOS 2025'!$C$18:$C$219)</f>
        <v>5000000</v>
      </c>
      <c r="C71" s="579" t="s">
        <v>657</v>
      </c>
      <c r="D71" s="1232"/>
    </row>
    <row r="72" spans="1:4" ht="43.5" customHeight="1">
      <c r="A72" s="619" t="s">
        <v>154</v>
      </c>
      <c r="B72" s="849">
        <f>SUMIF(' CLASIFICACION DE GASTOS 2025'!$A$18:$A$219,$A72,' CLASIFICACION DE GASTOS 2025'!$C$18:$C$219)</f>
        <v>1900000</v>
      </c>
      <c r="C72" s="580" t="s">
        <v>1366</v>
      </c>
      <c r="D72" s="1232"/>
    </row>
    <row r="73" spans="1:4" ht="97.2">
      <c r="A73" s="468" t="s">
        <v>155</v>
      </c>
      <c r="B73" s="849">
        <f>SUMIF(' CLASIFICACION DE GASTOS 2025'!$A$18:$A$219,$A73,' CLASIFICACION DE GASTOS 2025'!$C$18:$C$219)</f>
        <v>4100000</v>
      </c>
      <c r="C73" s="579" t="s">
        <v>1439</v>
      </c>
      <c r="D73" s="1233"/>
    </row>
    <row r="74" spans="1:4" ht="45.6" customHeight="1">
      <c r="A74" s="619" t="s">
        <v>156</v>
      </c>
      <c r="B74" s="849">
        <f>SUMIF(' CLASIFICACION DE GASTOS 2025'!$A$18:$A$219,$A74,' CLASIFICACION DE GASTOS 2025'!$C$18:$C$219)</f>
        <v>39000000</v>
      </c>
      <c r="C74" s="580" t="s">
        <v>1367</v>
      </c>
      <c r="D74" s="1228" t="s">
        <v>398</v>
      </c>
    </row>
    <row r="75" spans="1:4" ht="48.6" customHeight="1">
      <c r="A75" s="468" t="s">
        <v>157</v>
      </c>
      <c r="B75" s="849">
        <f>SUMIF(' CLASIFICACION DE GASTOS 2025'!$A$18:$A$219,$A75,' CLASIFICACION DE GASTOS 2025'!$C$18:$C$219)</f>
        <v>300000</v>
      </c>
      <c r="C75" s="581" t="s">
        <v>685</v>
      </c>
      <c r="D75" s="1230"/>
    </row>
    <row r="76" spans="1:4" ht="37.5" customHeight="1">
      <c r="A76" s="468" t="s">
        <v>347</v>
      </c>
      <c r="B76" s="849">
        <f>SUMIF(' CLASIFICACION DE GASTOS 2025'!$A$18:$A$219,$A76,' CLASIFICACION DE GASTOS 2025'!$C$18:$C$219)</f>
        <v>1990000</v>
      </c>
      <c r="C76" s="579" t="s">
        <v>1368</v>
      </c>
      <c r="D76" s="1230"/>
    </row>
    <row r="77" spans="1:4" ht="33" customHeight="1">
      <c r="A77" s="468" t="s">
        <v>349</v>
      </c>
      <c r="B77" s="849">
        <f>SUMIF(' CLASIFICACION DE GASTOS 2025'!$A$18:$A$219,$A77,' CLASIFICACION DE GASTOS 2025'!$C$18:$C$219)</f>
        <v>500000</v>
      </c>
      <c r="C77" s="579" t="s">
        <v>709</v>
      </c>
      <c r="D77" s="1230"/>
    </row>
    <row r="78" spans="1:4" ht="45" customHeight="1">
      <c r="A78" s="468" t="s">
        <v>160</v>
      </c>
      <c r="B78" s="849">
        <f>SUMIF(' CLASIFICACION DE GASTOS 2025'!$A$18:$A$219,$A78,' CLASIFICACION DE GASTOS 2025'!$C$18:$C$219)</f>
        <v>3600000</v>
      </c>
      <c r="C78" s="579" t="s">
        <v>658</v>
      </c>
      <c r="D78" s="1230"/>
    </row>
    <row r="79" spans="1:4" ht="37.5" customHeight="1">
      <c r="A79" s="468" t="s">
        <v>162</v>
      </c>
      <c r="B79" s="849">
        <f>SUMIF(' CLASIFICACION DE GASTOS 2025'!$A$18:$A$219,$A79,' CLASIFICACION DE GASTOS 2025'!$C$18:$C$219)</f>
        <v>200000</v>
      </c>
      <c r="C79" s="579" t="s">
        <v>710</v>
      </c>
      <c r="D79" s="1229"/>
    </row>
    <row r="80" spans="1:4" ht="9.9" customHeight="1">
      <c r="A80" s="699"/>
      <c r="B80" s="855"/>
      <c r="C80" s="582"/>
      <c r="D80" s="1061"/>
    </row>
    <row r="81" spans="1:4" ht="18" customHeight="1">
      <c r="A81" s="583">
        <v>1</v>
      </c>
      <c r="B81" s="856">
        <f>SUM(B37:B79)</f>
        <v>976208764.19000006</v>
      </c>
      <c r="C81" s="584" t="s">
        <v>410</v>
      </c>
      <c r="D81" s="1063"/>
    </row>
    <row r="82" spans="1:4" ht="9.9" customHeight="1">
      <c r="A82" s="570"/>
      <c r="B82" s="853"/>
      <c r="C82" s="571"/>
      <c r="D82" s="1064"/>
    </row>
    <row r="83" spans="1:4" ht="18" customHeight="1">
      <c r="A83" s="1237" t="s">
        <v>21</v>
      </c>
      <c r="B83" s="1238"/>
      <c r="C83" s="1238"/>
      <c r="D83" s="1067"/>
    </row>
    <row r="84" spans="1:4" hidden="1">
      <c r="A84" s="467" t="s">
        <v>166</v>
      </c>
      <c r="B84" s="849">
        <f>+'[2]CLASIFICACION PRESUPUESTARIA'!Q131</f>
        <v>0</v>
      </c>
      <c r="C84" s="678"/>
      <c r="D84" s="1066"/>
    </row>
    <row r="85" spans="1:4" ht="81" customHeight="1">
      <c r="A85" s="467" t="s">
        <v>166</v>
      </c>
      <c r="B85" s="849">
        <f>SUMIF(' CLASIFICACION DE GASTOS 2025'!$A$18:$A$219,$A85,' CLASIFICACION DE GASTOS 2025'!$C$18:$C$219)</f>
        <v>53005686</v>
      </c>
      <c r="C85" s="114" t="s">
        <v>1440</v>
      </c>
      <c r="D85" s="1228" t="s">
        <v>398</v>
      </c>
    </row>
    <row r="86" spans="1:4" ht="40.950000000000003" customHeight="1">
      <c r="A86" s="692" t="s">
        <v>168</v>
      </c>
      <c r="B86" s="849">
        <f>SUMIF(' CLASIFICACION DE GASTOS 2025'!$A$18:$A$219,$A86,' CLASIFICACION DE GASTOS 2025'!$C$18:$C$219)</f>
        <v>551140</v>
      </c>
      <c r="C86" s="114" t="s">
        <v>461</v>
      </c>
      <c r="D86" s="1230"/>
    </row>
    <row r="87" spans="1:4" ht="40.950000000000003" customHeight="1">
      <c r="A87" s="692" t="s">
        <v>170</v>
      </c>
      <c r="B87" s="849">
        <f>SUMIF(' CLASIFICACION DE GASTOS 2025'!$A$18:$A$219,$A87,' CLASIFICACION DE GASTOS 2025'!$C$18:$C$219)</f>
        <v>5238100</v>
      </c>
      <c r="C87" s="114" t="s">
        <v>1441</v>
      </c>
      <c r="D87" s="1229"/>
    </row>
    <row r="88" spans="1:4" ht="30" hidden="1" customHeight="1">
      <c r="A88" s="692" t="s">
        <v>172</v>
      </c>
      <c r="B88" s="1048">
        <f>SUMIF(' CLASIFICACION DE GASTOS 2025'!$A$18:$A$219,$A88,' CLASIFICACION DE GASTOS 2025'!$C$18:$C$219)</f>
        <v>0</v>
      </c>
      <c r="C88" s="559" t="s">
        <v>476</v>
      </c>
      <c r="D88" s="1052"/>
    </row>
    <row r="89" spans="1:4" ht="60.75" hidden="1" customHeight="1">
      <c r="A89" s="467" t="s">
        <v>300</v>
      </c>
      <c r="B89" s="849">
        <f>SUMIF(' CLASIFICACION DE GASTOS 2025'!$A$18:$A$219,$A89,' CLASIFICACION DE GASTOS 2025'!$C$18:$C$219)</f>
        <v>0</v>
      </c>
      <c r="C89" s="114" t="s">
        <v>680</v>
      </c>
      <c r="D89" s="1052"/>
    </row>
    <row r="90" spans="1:4" ht="60" hidden="1" customHeight="1">
      <c r="A90" s="467" t="s">
        <v>174</v>
      </c>
      <c r="B90" s="849">
        <f>SUMIF(' CLASIFICACION DE GASTOS 2025'!$A$18:$A$219,$A90,' CLASIFICACION DE GASTOS 2025'!$C$18:$C$219)</f>
        <v>0</v>
      </c>
      <c r="C90" s="114" t="s">
        <v>462</v>
      </c>
      <c r="D90" s="1052"/>
    </row>
    <row r="91" spans="1:4" ht="9.75" hidden="1" customHeight="1">
      <c r="A91" s="467" t="s">
        <v>176</v>
      </c>
      <c r="B91" s="849">
        <f>SUMIF(' CLASIFICACION DE GASTOS 2025'!$A$18:$A$219,$A91,' CLASIFICACION DE GASTOS 2025'!$C$18:$C$219)</f>
        <v>0</v>
      </c>
      <c r="C91" s="491"/>
      <c r="D91" s="1052"/>
    </row>
    <row r="92" spans="1:4" ht="31.95" customHeight="1">
      <c r="A92" s="467" t="s">
        <v>178</v>
      </c>
      <c r="B92" s="849">
        <f>SUMIF(' CLASIFICACION DE GASTOS 2025'!$A$18:$A$219,$A92,' CLASIFICACION DE GASTOS 2025'!$C$18:$C$219)</f>
        <v>571000</v>
      </c>
      <c r="C92" s="114" t="s">
        <v>1442</v>
      </c>
      <c r="D92" s="1228" t="s">
        <v>398</v>
      </c>
    </row>
    <row r="93" spans="1:4" ht="31.5" hidden="1" customHeight="1">
      <c r="A93" s="467" t="s">
        <v>180</v>
      </c>
      <c r="B93" s="849">
        <f>SUMIF(' CLASIFICACION DE GASTOS 2025'!$A$18:$A$219,$A93,' CLASIFICACION DE GASTOS 2025'!$C$18:$C$219)</f>
        <v>0</v>
      </c>
      <c r="C93" s="585" t="s">
        <v>712</v>
      </c>
      <c r="D93" s="1230"/>
    </row>
    <row r="94" spans="1:4" ht="30" hidden="1" customHeight="1">
      <c r="A94" s="467" t="s">
        <v>182</v>
      </c>
      <c r="B94" s="849">
        <f>SUMIF(' CLASIFICACION DE GASTOS 2025'!$A$18:$A$219,$A94,' CLASIFICACION DE GASTOS 2025'!$C$18:$C$219)</f>
        <v>0</v>
      </c>
      <c r="C94" s="114" t="s">
        <v>463</v>
      </c>
      <c r="D94" s="1230"/>
    </row>
    <row r="95" spans="1:4" ht="30.75" hidden="1" customHeight="1">
      <c r="A95" s="692" t="s">
        <v>184</v>
      </c>
      <c r="B95" s="849">
        <f>SUMIF(' CLASIFICACION DE GASTOS 2025'!$A$18:$A$219,$A95,' CLASIFICACION DE GASTOS 2025'!$C$18:$C$219)</f>
        <v>0</v>
      </c>
      <c r="C95" s="559" t="s">
        <v>474</v>
      </c>
      <c r="D95" s="1230"/>
    </row>
    <row r="96" spans="1:4" ht="32.25" hidden="1" customHeight="1">
      <c r="A96" s="692" t="s">
        <v>187</v>
      </c>
      <c r="B96" s="849">
        <f>SUMIF(' CLASIFICACION DE GASTOS 2025'!$A$18:$A$219,$A96,' CLASIFICACION DE GASTOS 2025'!$C$18:$C$219)</f>
        <v>0</v>
      </c>
      <c r="C96" s="559" t="s">
        <v>466</v>
      </c>
      <c r="D96" s="1230"/>
    </row>
    <row r="97" spans="1:4" ht="54.6" customHeight="1">
      <c r="A97" s="467" t="s">
        <v>189</v>
      </c>
      <c r="B97" s="849">
        <f>SUMIF(' CLASIFICACION DE GASTOS 2025'!$A$18:$A$219,$A97,' CLASIFICACION DE GASTOS 2025'!$C$18:$C$219)</f>
        <v>4713055</v>
      </c>
      <c r="C97" s="114" t="s">
        <v>1443</v>
      </c>
      <c r="D97" s="1230"/>
    </row>
    <row r="98" spans="1:4" ht="37.200000000000003" customHeight="1">
      <c r="A98" s="467" t="s">
        <v>192</v>
      </c>
      <c r="B98" s="849">
        <f>SUMIF(' CLASIFICACION DE GASTOS 2025'!$A$18:$A$219,$A98,' CLASIFICACION DE GASTOS 2025'!$C$18:$C$219)</f>
        <v>2158868</v>
      </c>
      <c r="C98" s="114" t="s">
        <v>420</v>
      </c>
      <c r="D98" s="1230"/>
    </row>
    <row r="99" spans="1:4" ht="58.95" customHeight="1">
      <c r="A99" s="467" t="s">
        <v>194</v>
      </c>
      <c r="B99" s="849">
        <f>SUMIF(' CLASIFICACION DE GASTOS 2025'!$A$18:$A$219,$A99,' CLASIFICACION DE GASTOS 2025'!$C$18:$C$219)</f>
        <v>877300</v>
      </c>
      <c r="C99" s="114" t="s">
        <v>412</v>
      </c>
      <c r="D99" s="1230"/>
    </row>
    <row r="100" spans="1:4" ht="43.2" customHeight="1">
      <c r="A100" s="467" t="s">
        <v>195</v>
      </c>
      <c r="B100" s="849">
        <f>SUMIF(' CLASIFICACION DE GASTOS 2025'!$A$18:$A$219,$A100,' CLASIFICACION DE GASTOS 2025'!$C$18:$C$219)</f>
        <v>3802448</v>
      </c>
      <c r="C100" s="114" t="s">
        <v>413</v>
      </c>
      <c r="D100" s="1229"/>
    </row>
    <row r="101" spans="1:4" ht="105" customHeight="1">
      <c r="A101" s="467" t="s">
        <v>197</v>
      </c>
      <c r="B101" s="849">
        <f>SUMIF(' CLASIFICACION DE GASTOS 2025'!$A$18:$A$219,$A101,' CLASIFICACION DE GASTOS 2025'!$C$18:$C$219)</f>
        <v>4104628</v>
      </c>
      <c r="C101" s="114" t="s">
        <v>1471</v>
      </c>
      <c r="D101" s="1228" t="s">
        <v>398</v>
      </c>
    </row>
    <row r="102" spans="1:4" ht="39" customHeight="1">
      <c r="A102" s="692" t="s">
        <v>199</v>
      </c>
      <c r="B102" s="849">
        <f>SUMIF(' CLASIFICACION DE GASTOS 2025'!$A$18:$A$219,$A102,' CLASIFICACION DE GASTOS 2025'!$C$18:$C$219)</f>
        <v>3579856</v>
      </c>
      <c r="C102" s="575" t="s">
        <v>1444</v>
      </c>
      <c r="D102" s="1230"/>
    </row>
    <row r="103" spans="1:4" ht="36" customHeight="1">
      <c r="A103" s="467" t="s">
        <v>201</v>
      </c>
      <c r="B103" s="849">
        <f>SUMIF(' CLASIFICACION DE GASTOS 2025'!$A$18:$A$219,$A103,' CLASIFICACION DE GASTOS 2025'!$C$18:$C$219)</f>
        <v>82000</v>
      </c>
      <c r="C103" s="114" t="s">
        <v>1369</v>
      </c>
      <c r="D103" s="1230"/>
    </row>
    <row r="104" spans="1:4" ht="43.5" hidden="1" customHeight="1">
      <c r="A104" s="467" t="s">
        <v>314</v>
      </c>
      <c r="B104" s="849">
        <f>SUMIF(' CLASIFICACION DE GASTOS 2025'!$A$18:$A$219,$A104,' CLASIFICACION DE GASTOS 2025'!$C$18:$C$219)</f>
        <v>0</v>
      </c>
      <c r="C104" s="114" t="s">
        <v>464</v>
      </c>
      <c r="D104" s="1230"/>
    </row>
    <row r="105" spans="1:4" ht="36" customHeight="1">
      <c r="A105" s="467" t="s">
        <v>203</v>
      </c>
      <c r="B105" s="849">
        <f>SUMIF(' CLASIFICACION DE GASTOS 2025'!$A$18:$A$219,$A105,' CLASIFICACION DE GASTOS 2025'!$C$18:$C$219)</f>
        <v>1090700</v>
      </c>
      <c r="C105" s="114" t="s">
        <v>1445</v>
      </c>
      <c r="D105" s="1229"/>
    </row>
    <row r="106" spans="1:4" ht="8.1" hidden="1" customHeight="1">
      <c r="A106" s="693"/>
      <c r="B106" s="860"/>
      <c r="C106" s="586"/>
      <c r="D106" s="1068"/>
    </row>
    <row r="107" spans="1:4" hidden="1">
      <c r="A107" s="693"/>
      <c r="B107" s="860"/>
      <c r="C107" s="586"/>
      <c r="D107" s="1068"/>
    </row>
    <row r="108" spans="1:4" ht="8.1" hidden="1" customHeight="1">
      <c r="A108" s="693"/>
      <c r="B108" s="860"/>
      <c r="C108" s="586"/>
      <c r="D108" s="1068"/>
    </row>
    <row r="109" spans="1:4" ht="8.1" hidden="1" customHeight="1">
      <c r="A109" s="693"/>
      <c r="B109" s="860"/>
      <c r="C109" s="586"/>
      <c r="D109" s="1068"/>
    </row>
    <row r="110" spans="1:4" hidden="1">
      <c r="A110" s="693"/>
      <c r="B110" s="860"/>
      <c r="C110" s="586"/>
      <c r="D110" s="1068"/>
    </row>
    <row r="111" spans="1:4" ht="35.25" hidden="1" customHeight="1">
      <c r="A111" s="692"/>
      <c r="B111" s="859"/>
      <c r="C111" s="575"/>
      <c r="D111" s="1069"/>
    </row>
    <row r="112" spans="1:4" ht="9.9" customHeight="1">
      <c r="A112" s="564"/>
      <c r="B112" s="851"/>
      <c r="C112" s="565"/>
      <c r="D112" s="1062"/>
    </row>
    <row r="113" spans="1:8" ht="18" customHeight="1">
      <c r="A113" s="583">
        <v>2</v>
      </c>
      <c r="B113" s="856">
        <f>SUM(B85:B105)</f>
        <v>79774781</v>
      </c>
      <c r="C113" s="584" t="s">
        <v>410</v>
      </c>
      <c r="D113" s="1063"/>
    </row>
    <row r="114" spans="1:8" ht="9.9" customHeight="1" outlineLevel="1">
      <c r="A114" s="570"/>
      <c r="B114" s="861"/>
      <c r="C114" s="571"/>
      <c r="D114" s="1064"/>
    </row>
    <row r="115" spans="1:8" ht="18" customHeight="1" outlineLevel="1">
      <c r="A115" s="1237" t="s">
        <v>646</v>
      </c>
      <c r="B115" s="1238"/>
      <c r="C115" s="1238"/>
      <c r="D115" s="1070"/>
    </row>
    <row r="116" spans="1:8" ht="9.9" customHeight="1" outlineLevel="1">
      <c r="A116" s="588"/>
      <c r="B116" s="862"/>
      <c r="C116" s="589"/>
      <c r="D116" s="1071"/>
    </row>
    <row r="117" spans="1:8" s="65" customFormat="1" ht="225.75" customHeight="1" outlineLevel="1">
      <c r="A117" s="694" t="s">
        <v>648</v>
      </c>
      <c r="B117" s="849">
        <f>SUMIF(' CLASIFICACION DE GASTOS 2025'!$A$18:$A$219,$A117,' CLASIFICACION DE GASTOS 2025'!$C$18:$C$219)</f>
        <v>2196631825.3100014</v>
      </c>
      <c r="C117" s="1049" t="s">
        <v>1371</v>
      </c>
      <c r="D117" s="591" t="s">
        <v>398</v>
      </c>
      <c r="G117" s="831"/>
      <c r="H117" s="831"/>
    </row>
    <row r="118" spans="1:8" ht="6" customHeight="1" outlineLevel="1">
      <c r="A118" s="699"/>
      <c r="B118" s="864"/>
      <c r="C118" s="592"/>
      <c r="D118" s="1061"/>
    </row>
    <row r="119" spans="1:8" ht="12.75" hidden="1" customHeight="1" outlineLevel="1">
      <c r="A119" s="588"/>
      <c r="B119" s="862"/>
      <c r="C119" s="589"/>
      <c r="D119" s="1072"/>
    </row>
    <row r="120" spans="1:8" hidden="1" outlineLevel="1">
      <c r="A120" s="588"/>
      <c r="B120" s="862"/>
      <c r="C120" s="589"/>
      <c r="D120" s="1071"/>
    </row>
    <row r="121" spans="1:8" hidden="1" outlineLevel="1">
      <c r="A121" s="588"/>
      <c r="B121" s="862"/>
      <c r="C121" s="589"/>
      <c r="D121" s="1071"/>
    </row>
    <row r="122" spans="1:8" hidden="1" outlineLevel="1">
      <c r="A122" s="588"/>
      <c r="B122" s="862"/>
      <c r="C122" s="589"/>
      <c r="D122" s="1071"/>
    </row>
    <row r="123" spans="1:8" hidden="1" outlineLevel="1">
      <c r="A123" s="588"/>
      <c r="B123" s="862"/>
      <c r="C123" s="589"/>
      <c r="D123" s="1071"/>
    </row>
    <row r="124" spans="1:8" hidden="1" outlineLevel="1">
      <c r="A124" s="588"/>
      <c r="B124" s="862"/>
      <c r="C124" s="589"/>
      <c r="D124" s="1071"/>
    </row>
    <row r="125" spans="1:8" hidden="1" outlineLevel="1">
      <c r="A125" s="588"/>
      <c r="B125" s="862"/>
      <c r="C125" s="589"/>
      <c r="D125" s="1071"/>
    </row>
    <row r="126" spans="1:8" hidden="1" outlineLevel="1">
      <c r="A126" s="588"/>
      <c r="B126" s="862"/>
      <c r="C126" s="589"/>
      <c r="D126" s="1071"/>
    </row>
    <row r="127" spans="1:8" hidden="1" outlineLevel="1">
      <c r="A127" s="588"/>
      <c r="B127" s="862"/>
      <c r="C127" s="589"/>
      <c r="D127" s="1071"/>
    </row>
    <row r="128" spans="1:8" hidden="1" outlineLevel="1">
      <c r="A128" s="588"/>
      <c r="B128" s="862"/>
      <c r="C128" s="589"/>
      <c r="D128" s="1071"/>
    </row>
    <row r="129" spans="1:4" hidden="1" outlineLevel="1">
      <c r="A129" s="588"/>
      <c r="B129" s="862"/>
      <c r="C129" s="589"/>
      <c r="D129" s="1071"/>
    </row>
    <row r="130" spans="1:4" hidden="1" outlineLevel="1">
      <c r="A130" s="588"/>
      <c r="B130" s="862"/>
      <c r="C130" s="589"/>
      <c r="D130" s="1071"/>
    </row>
    <row r="131" spans="1:4" hidden="1" outlineLevel="1">
      <c r="A131" s="588"/>
      <c r="B131" s="862"/>
      <c r="C131" s="589"/>
      <c r="D131" s="1071"/>
    </row>
    <row r="132" spans="1:4" ht="18" customHeight="1" outlineLevel="1">
      <c r="A132" s="583">
        <v>4</v>
      </c>
      <c r="B132" s="865">
        <f>+B117</f>
        <v>2196631825.3100014</v>
      </c>
      <c r="C132" s="584" t="s">
        <v>410</v>
      </c>
      <c r="D132" s="1063"/>
    </row>
    <row r="133" spans="1:4" hidden="1" outlineLevel="1">
      <c r="A133" s="588"/>
      <c r="B133" s="862"/>
      <c r="C133" s="589"/>
      <c r="D133" s="1071"/>
    </row>
    <row r="134" spans="1:4" ht="9" customHeight="1" outlineLevel="1">
      <c r="A134" s="570"/>
      <c r="B134" s="853"/>
      <c r="C134" s="571"/>
      <c r="D134" s="1064"/>
    </row>
    <row r="135" spans="1:4" ht="18" customHeight="1">
      <c r="A135" s="1237" t="s">
        <v>53</v>
      </c>
      <c r="B135" s="1238"/>
      <c r="C135" s="1238"/>
      <c r="D135" s="1065"/>
    </row>
    <row r="136" spans="1:4" hidden="1" outlineLevel="1">
      <c r="A136" s="467" t="s">
        <v>206</v>
      </c>
      <c r="B136" s="849">
        <f>+'[2]CLASIFICACION PRESUPUESTARIA'!Q169</f>
        <v>0</v>
      </c>
      <c r="C136" s="593"/>
      <c r="D136" s="1062"/>
    </row>
    <row r="137" spans="1:4" ht="48.75" hidden="1" customHeight="1" outlineLevel="1">
      <c r="A137" s="467" t="s">
        <v>208</v>
      </c>
      <c r="B137" s="849">
        <f>+'[2]CLASIFICACION PRESUPUESTARIA'!Q170</f>
        <v>0</v>
      </c>
      <c r="C137" s="590"/>
      <c r="D137" s="1062"/>
    </row>
    <row r="138" spans="1:4" ht="48.75" hidden="1" customHeight="1" outlineLevel="1">
      <c r="A138" s="467" t="s">
        <v>210</v>
      </c>
      <c r="B138" s="849">
        <f>+'[2]CLASIFICACION PRESUPUESTARIA'!Q171</f>
        <v>0</v>
      </c>
      <c r="C138" s="590"/>
      <c r="D138" s="1062"/>
    </row>
    <row r="139" spans="1:4" hidden="1" outlineLevel="1">
      <c r="A139" s="467" t="s">
        <v>356</v>
      </c>
      <c r="B139" s="866">
        <v>0</v>
      </c>
      <c r="C139" s="590"/>
      <c r="D139" s="1073"/>
    </row>
    <row r="140" spans="1:4" ht="81" hidden="1" customHeight="1" outlineLevel="1">
      <c r="A140" s="467" t="s">
        <v>206</v>
      </c>
      <c r="B140" s="849">
        <f>SUMIF(' CLASIFICACION DE GASTOS 2025'!$A$18:$A$219,$A140,' CLASIFICACION DE GASTOS 2025'!$C$18:$C$219)</f>
        <v>0</v>
      </c>
      <c r="C140" s="594" t="s">
        <v>793</v>
      </c>
      <c r="D140" s="1230" t="s">
        <v>398</v>
      </c>
    </row>
    <row r="141" spans="1:4" ht="70.5" customHeight="1" outlineLevel="1">
      <c r="A141" s="467" t="s">
        <v>208</v>
      </c>
      <c r="B141" s="849">
        <f>SUMIF(' CLASIFICACION DE GASTOS 2025'!$A$18:$A$219,$A141,' CLASIFICACION DE GASTOS 2025'!$C$18:$C$219)</f>
        <v>5643999.6600000001</v>
      </c>
      <c r="C141" s="1126" t="s">
        <v>1427</v>
      </c>
      <c r="D141" s="1230"/>
    </row>
    <row r="142" spans="1:4" ht="62.25" hidden="1" customHeight="1" outlineLevel="1">
      <c r="A142" s="693" t="s">
        <v>210</v>
      </c>
      <c r="B142" s="849">
        <f>SUMIF(' CLASIFICACION DE GASTOS 2025'!$A$18:$A$219,$A142,' CLASIFICACION DE GASTOS 2025'!$C$18:$C$219)</f>
        <v>0</v>
      </c>
      <c r="C142" s="597" t="s">
        <v>686</v>
      </c>
      <c r="D142" s="1230"/>
    </row>
    <row r="143" spans="1:4" ht="24.6" customHeight="1" outlineLevel="1">
      <c r="A143" s="467" t="s">
        <v>212</v>
      </c>
      <c r="B143" s="849">
        <f>SUMIF(' CLASIFICACION DE GASTOS 2025'!$A$18:$A$219,$A143,' CLASIFICACION DE GASTOS 2025'!$C$18:$C$219)</f>
        <v>90361718.75</v>
      </c>
      <c r="C143" s="590" t="s">
        <v>1370</v>
      </c>
      <c r="D143" s="1230"/>
    </row>
    <row r="144" spans="1:4" ht="32.25" hidden="1" customHeight="1" outlineLevel="1">
      <c r="A144" s="467" t="s">
        <v>214</v>
      </c>
      <c r="B144" s="849">
        <f>SUMIF(' CLASIFICACION DE GASTOS 2025'!$A$18:$A$219,$A144,' CLASIFICACION DE GASTOS 2025'!$C$18:$C$219)</f>
        <v>0</v>
      </c>
      <c r="C144" s="590" t="s">
        <v>465</v>
      </c>
      <c r="D144" s="1230"/>
    </row>
    <row r="145" spans="1:4" ht="16.5" hidden="1" customHeight="1" outlineLevel="1">
      <c r="A145" s="467" t="s">
        <v>216</v>
      </c>
      <c r="B145" s="849">
        <f>SUMIF(' CLASIFICACION DE GASTOS 2025'!$A$18:$A$219,$A145,' CLASIFICACION DE GASTOS 2025'!$C$18:$C$219)</f>
        <v>0</v>
      </c>
      <c r="C145" s="590"/>
      <c r="D145" s="1230"/>
    </row>
    <row r="146" spans="1:4" ht="6" hidden="1" customHeight="1" outlineLevel="1">
      <c r="A146" s="467" t="s">
        <v>218</v>
      </c>
      <c r="B146" s="849">
        <f>SUMIF(' CLASIFICACION DE GASTOS 2025'!$A$18:$A$219,$A146,' CLASIFICACION DE GASTOS 2025'!$C$18:$C$219)</f>
        <v>0</v>
      </c>
      <c r="C146" s="596" t="s">
        <v>711</v>
      </c>
      <c r="D146" s="1230"/>
    </row>
    <row r="147" spans="1:4" ht="48.6" outlineLevel="1">
      <c r="A147" s="467" t="s">
        <v>352</v>
      </c>
      <c r="B147" s="849">
        <f>SUMIF(' CLASIFICACION DE GASTOS 2025'!$A$18:$A$219,$A147,' CLASIFICACION DE GASTOS 2025'!$C$18:$C$219)</f>
        <v>497144880.05000001</v>
      </c>
      <c r="C147" s="114" t="s">
        <v>1446</v>
      </c>
      <c r="D147" s="1230"/>
    </row>
    <row r="148" spans="1:4" ht="8.1" hidden="1" customHeight="1" outlineLevel="1">
      <c r="A148" s="693"/>
      <c r="B148" s="867"/>
      <c r="C148" s="597"/>
      <c r="D148" s="1066"/>
    </row>
    <row r="149" spans="1:4" ht="25.5" hidden="1" customHeight="1" outlineLevel="1">
      <c r="A149" s="693"/>
      <c r="B149" s="867"/>
      <c r="C149" s="597"/>
      <c r="D149" s="1066"/>
    </row>
    <row r="150" spans="1:4" hidden="1" outlineLevel="1">
      <c r="A150" s="693"/>
      <c r="B150" s="867"/>
      <c r="C150" s="598"/>
      <c r="D150" s="1066"/>
    </row>
    <row r="151" spans="1:4" hidden="1" outlineLevel="1">
      <c r="A151" s="692"/>
      <c r="B151" s="868"/>
      <c r="C151" s="595"/>
      <c r="D151" s="1069"/>
    </row>
    <row r="152" spans="1:4" ht="9.9" customHeight="1" outlineLevel="1">
      <c r="A152" s="699"/>
      <c r="B152" s="855"/>
      <c r="C152" s="592"/>
      <c r="D152" s="1062"/>
    </row>
    <row r="153" spans="1:4" ht="18" customHeight="1" outlineLevel="1">
      <c r="A153" s="583">
        <v>5</v>
      </c>
      <c r="B153" s="856">
        <f>SUM(B139:B150)</f>
        <v>593150598.46000004</v>
      </c>
      <c r="C153" s="584" t="s">
        <v>410</v>
      </c>
      <c r="D153" s="1063"/>
    </row>
    <row r="154" spans="1:4" ht="9.9" customHeight="1">
      <c r="A154" s="570"/>
      <c r="B154" s="853"/>
      <c r="C154" s="571"/>
      <c r="D154" s="1064"/>
    </row>
    <row r="155" spans="1:4" ht="18" customHeight="1">
      <c r="A155" s="1234" t="s">
        <v>19</v>
      </c>
      <c r="B155" s="1235"/>
      <c r="C155" s="1235"/>
      <c r="D155" s="1070"/>
    </row>
    <row r="156" spans="1:4" ht="54" customHeight="1">
      <c r="A156" s="627" t="s">
        <v>302</v>
      </c>
      <c r="B156" s="849">
        <f>SUMIF(' CLASIFICACION DE GASTOS 2025'!$A$18:$A$219,$A156,' CLASIFICACION DE GASTOS 2025'!$C$18:$C$219)</f>
        <v>60000000</v>
      </c>
      <c r="C156" s="585" t="s">
        <v>1401</v>
      </c>
      <c r="D156" s="1228" t="s">
        <v>398</v>
      </c>
    </row>
    <row r="157" spans="1:4" ht="30.9" hidden="1" customHeight="1">
      <c r="A157" s="627" t="s">
        <v>231</v>
      </c>
      <c r="B157" s="849">
        <f>SUMIF(' CLASIFICACION DE GASTOS 2025'!$A$18:$A$219,$A157,' CLASIFICACION DE GASTOS 2025'!$C$18:$C$219)</f>
        <v>0</v>
      </c>
      <c r="C157" s="491" t="s">
        <v>424</v>
      </c>
      <c r="D157" s="1230"/>
    </row>
    <row r="158" spans="1:4" ht="43.95" customHeight="1">
      <c r="A158" s="627" t="s">
        <v>614</v>
      </c>
      <c r="B158" s="849">
        <f>SUMIF(' CLASIFICACION DE GASTOS 2025'!$A$18:$A$219,$A158,' CLASIFICACION DE GASTOS 2025'!$C$18:$C$219)</f>
        <v>7000000</v>
      </c>
      <c r="C158" s="491" t="s">
        <v>1470</v>
      </c>
      <c r="D158" s="1230"/>
    </row>
    <row r="159" spans="1:4" ht="40.200000000000003" customHeight="1">
      <c r="A159" s="627" t="s">
        <v>294</v>
      </c>
      <c r="B159" s="849">
        <f>SUMIF(' CLASIFICACION DE GASTOS 2025'!$A$18:$A$219,$A159,' CLASIFICACION DE GASTOS 2025'!$C$18:$C$219)</f>
        <v>70000000</v>
      </c>
      <c r="C159" s="491" t="s">
        <v>467</v>
      </c>
      <c r="D159" s="1230"/>
    </row>
    <row r="160" spans="1:4" ht="54" hidden="1" customHeight="1">
      <c r="A160" s="627" t="s">
        <v>326</v>
      </c>
      <c r="B160" s="858">
        <v>0</v>
      </c>
      <c r="C160" s="491" t="s">
        <v>659</v>
      </c>
      <c r="D160" s="1068"/>
    </row>
    <row r="161" spans="1:4" ht="8.1" hidden="1" customHeight="1">
      <c r="A161" s="695"/>
      <c r="B161" s="860"/>
      <c r="C161" s="600"/>
      <c r="D161" s="1068"/>
    </row>
    <row r="162" spans="1:4" ht="6.75" hidden="1" customHeight="1">
      <c r="A162" s="695"/>
      <c r="B162" s="860"/>
      <c r="C162" s="600"/>
      <c r="D162" s="1068"/>
    </row>
    <row r="163" spans="1:4" ht="4.5" hidden="1" customHeight="1">
      <c r="A163" s="695"/>
      <c r="B163" s="860"/>
      <c r="C163" s="600" t="s">
        <v>325</v>
      </c>
      <c r="D163" s="1068"/>
    </row>
    <row r="164" spans="1:4" ht="9.9" customHeight="1">
      <c r="A164" s="601"/>
      <c r="B164" s="851"/>
      <c r="C164" s="602"/>
      <c r="D164" s="1062"/>
    </row>
    <row r="165" spans="1:4" ht="18" customHeight="1">
      <c r="A165" s="567">
        <v>6</v>
      </c>
      <c r="B165" s="852">
        <f>+B156+B157+B159+B160+B158</f>
        <v>137000000</v>
      </c>
      <c r="C165" s="568" t="s">
        <v>410</v>
      </c>
      <c r="D165" s="1063"/>
    </row>
    <row r="166" spans="1:4" ht="9" hidden="1" customHeight="1" outlineLevel="1">
      <c r="A166" s="570"/>
      <c r="B166" s="853"/>
      <c r="C166" s="571"/>
      <c r="D166" s="1064"/>
    </row>
    <row r="167" spans="1:4" hidden="1" collapsed="1">
      <c r="A167" s="1234" t="s">
        <v>54</v>
      </c>
      <c r="B167" s="1235"/>
      <c r="C167" s="1236"/>
      <c r="D167" s="1065"/>
    </row>
    <row r="168" spans="1:4" ht="43.5" hidden="1" customHeight="1" outlineLevel="1">
      <c r="A168" s="603" t="str">
        <f>+'[3]PRESUPUESTO 2012'!A195</f>
        <v>9.02.01</v>
      </c>
      <c r="B168" s="849">
        <f>+'[2]CLASIFICACION PRESUPUESTARIA'!Q212</f>
        <v>0</v>
      </c>
      <c r="C168" s="590" t="s">
        <v>325</v>
      </c>
      <c r="D168" s="1062"/>
    </row>
    <row r="169" spans="1:4" ht="372.6" hidden="1" outlineLevel="1">
      <c r="A169" s="603" t="str">
        <f>+'[3]PRESUPUESTO 2012'!A196</f>
        <v>9.02.02</v>
      </c>
      <c r="B169" s="849"/>
      <c r="C169" s="114" t="s">
        <v>1389</v>
      </c>
      <c r="D169" s="1053" t="s">
        <v>398</v>
      </c>
    </row>
    <row r="170" spans="1:4" ht="9" hidden="1" customHeight="1" outlineLevel="1">
      <c r="A170" s="570"/>
      <c r="B170" s="853"/>
      <c r="C170" s="571"/>
      <c r="D170" s="1064"/>
    </row>
    <row r="171" spans="1:4" ht="15" hidden="1" customHeight="1" outlineLevel="1">
      <c r="A171" s="567">
        <v>9</v>
      </c>
      <c r="B171" s="852">
        <f>SUM(B168:B169)</f>
        <v>0</v>
      </c>
      <c r="C171" s="605" t="s">
        <v>410</v>
      </c>
      <c r="D171" s="1074"/>
    </row>
    <row r="172" spans="1:4" ht="9.9" customHeight="1" outlineLevel="1" thickBot="1">
      <c r="A172" s="530"/>
      <c r="B172" s="523"/>
      <c r="C172" s="607"/>
      <c r="D172" s="1075"/>
    </row>
    <row r="173" spans="1:4" ht="18" customHeight="1" thickBot="1">
      <c r="A173" s="609"/>
      <c r="B173" s="869">
        <f>+B165+B153+B81+B34+B113+B132</f>
        <v>6424442149.0400009</v>
      </c>
      <c r="C173" s="610" t="s">
        <v>417</v>
      </c>
      <c r="D173" s="1076"/>
    </row>
    <row r="174" spans="1:4" ht="9.9" customHeight="1"/>
    <row r="175" spans="1:4" ht="19.95" hidden="1" customHeight="1" thickBot="1">
      <c r="A175" s="612"/>
      <c r="B175" s="870">
        <f>+B165+B153+B132+B113+B81+B34</f>
        <v>6424442149.0400009</v>
      </c>
      <c r="C175" s="613" t="s">
        <v>417</v>
      </c>
      <c r="D175" s="1077"/>
    </row>
    <row r="176" spans="1:4" hidden="1"/>
    <row r="177" spans="2:2" hidden="1">
      <c r="B177" s="24">
        <f>+B175-' CLASIFICACION DE GASTOS 2025'!C8</f>
        <v>0</v>
      </c>
    </row>
  </sheetData>
  <mergeCells count="38">
    <mergeCell ref="G13:H13"/>
    <mergeCell ref="G15:H15"/>
    <mergeCell ref="G16:H16"/>
    <mergeCell ref="D101:D105"/>
    <mergeCell ref="G17:H17"/>
    <mergeCell ref="D37:D38"/>
    <mergeCell ref="D40:D50"/>
    <mergeCell ref="D13:D23"/>
    <mergeCell ref="D24:D31"/>
    <mergeCell ref="D51:D53"/>
    <mergeCell ref="G23:H23"/>
    <mergeCell ref="G24:H24"/>
    <mergeCell ref="G18:H18"/>
    <mergeCell ref="G19:H19"/>
    <mergeCell ref="G20:H20"/>
    <mergeCell ref="G21:H21"/>
    <mergeCell ref="D156:D159"/>
    <mergeCell ref="D56:D57"/>
    <mergeCell ref="D58:D61"/>
    <mergeCell ref="A2:D2"/>
    <mergeCell ref="A3:D3"/>
    <mergeCell ref="A4:D4"/>
    <mergeCell ref="A6:D6"/>
    <mergeCell ref="A12:C12"/>
    <mergeCell ref="A8:C8"/>
    <mergeCell ref="A167:C167"/>
    <mergeCell ref="A135:C135"/>
    <mergeCell ref="A155:C155"/>
    <mergeCell ref="A83:C83"/>
    <mergeCell ref="A115:C115"/>
    <mergeCell ref="G22:H22"/>
    <mergeCell ref="D62:D63"/>
    <mergeCell ref="D85:D87"/>
    <mergeCell ref="D92:D100"/>
    <mergeCell ref="D140:D147"/>
    <mergeCell ref="D64:D73"/>
    <mergeCell ref="D74:D79"/>
    <mergeCell ref="G40:I40"/>
  </mergeCells>
  <printOptions horizontalCentered="1"/>
  <pageMargins left="0.23622047244094491" right="0.23622047244094491" top="0.55118110236220474" bottom="0.94488188976377963" header="0.31496062992125984" footer="0.31496062992125984"/>
  <pageSetup scale="65" firstPageNumber="22" fitToHeight="6" orientation="portrait" useFirstPageNumber="1" r:id="rId1"/>
  <headerFooter>
    <oddFooter>&amp;C&amp;P</oddFooter>
  </headerFooter>
  <rowBreaks count="3" manualBreakCount="3">
    <brk id="61" max="3" man="1"/>
    <brk id="73" max="3" man="1"/>
    <brk id="113" max="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5">
    <tabColor theme="9" tint="-0.499984740745262"/>
    <pageSetUpPr fitToPage="1"/>
  </sheetPr>
  <dimension ref="A1:D138"/>
  <sheetViews>
    <sheetView showGridLines="0" workbookViewId="0">
      <selection activeCell="L28" sqref="L28"/>
    </sheetView>
  </sheetViews>
  <sheetFormatPr baseColWidth="10" defaultColWidth="11.44140625" defaultRowHeight="16.2" outlineLevelRow="1" outlineLevelCol="1"/>
  <cols>
    <col min="1" max="1" width="10.6640625" style="690" customWidth="1"/>
    <col min="2" max="2" width="15.6640625" style="24" customWidth="1"/>
    <col min="3" max="3" width="73.109375" style="3" customWidth="1"/>
    <col min="4" max="4" width="15.6640625" style="3" customWidth="1" outlineLevel="1"/>
    <col min="5" max="16384" width="11.44140625" style="3"/>
  </cols>
  <sheetData>
    <row r="1" spans="1:4">
      <c r="B1" s="714"/>
    </row>
    <row r="2" spans="1:4">
      <c r="A2" s="1173" t="s">
        <v>0</v>
      </c>
      <c r="B2" s="1173"/>
      <c r="C2" s="1173"/>
      <c r="D2" s="1173"/>
    </row>
    <row r="3" spans="1:4">
      <c r="A3" s="1173" t="s">
        <v>1341</v>
      </c>
      <c r="B3" s="1173"/>
      <c r="C3" s="1173"/>
      <c r="D3" s="1173"/>
    </row>
    <row r="4" spans="1:4">
      <c r="A4" s="1173" t="s">
        <v>331</v>
      </c>
      <c r="B4" s="1173"/>
      <c r="C4" s="1173"/>
      <c r="D4" s="1173"/>
    </row>
    <row r="5" spans="1:4" ht="16.8" thickBot="1">
      <c r="A5" s="546"/>
      <c r="B5" s="846"/>
      <c r="C5" s="546"/>
      <c r="D5" s="547"/>
    </row>
    <row r="6" spans="1:4" ht="16.8" thickTop="1">
      <c r="A6" s="1239" t="s">
        <v>393</v>
      </c>
      <c r="B6" s="1239"/>
      <c r="C6" s="1239"/>
      <c r="D6" s="1239"/>
    </row>
    <row r="7" spans="1:4" ht="6.9" customHeight="1">
      <c r="A7" s="2"/>
      <c r="B7" s="713"/>
      <c r="C7" s="2"/>
      <c r="D7" s="75"/>
    </row>
    <row r="8" spans="1:4">
      <c r="A8" s="911" t="s">
        <v>437</v>
      </c>
      <c r="B8" s="714"/>
      <c r="C8" s="2"/>
      <c r="D8" s="2"/>
    </row>
    <row r="9" spans="1:4" ht="16.8" thickBot="1">
      <c r="A9" s="2"/>
      <c r="B9" s="714"/>
      <c r="C9" s="2"/>
      <c r="D9" s="2"/>
    </row>
    <row r="10" spans="1:4" ht="40.5" customHeight="1" thickBot="1">
      <c r="A10" s="548" t="s">
        <v>394</v>
      </c>
      <c r="B10" s="847" t="s">
        <v>395</v>
      </c>
      <c r="C10" s="549" t="s">
        <v>396</v>
      </c>
      <c r="D10" s="682" t="s">
        <v>397</v>
      </c>
    </row>
    <row r="11" spans="1:4" ht="9.9" customHeight="1">
      <c r="A11" s="406"/>
      <c r="B11" s="848"/>
      <c r="C11" s="551"/>
      <c r="D11" s="552"/>
    </row>
    <row r="12" spans="1:4" ht="18" customHeight="1">
      <c r="A12" s="1240" t="s">
        <v>50</v>
      </c>
      <c r="B12" s="1241"/>
      <c r="C12" s="1241"/>
      <c r="D12" s="615"/>
    </row>
    <row r="13" spans="1:4" ht="48.6">
      <c r="A13" s="553" t="s">
        <v>67</v>
      </c>
      <c r="B13" s="850">
        <f>SUMIF(' CLASIFICACION DE GASTOS 2025'!$A$18:$A$219,$A13,' CLASIFICACION DE GASTOS 2025'!$D$18:$D$219)</f>
        <v>237020000</v>
      </c>
      <c r="C13" s="554" t="s">
        <v>991</v>
      </c>
      <c r="D13" s="1228" t="s">
        <v>398</v>
      </c>
    </row>
    <row r="14" spans="1:4" ht="48.6" hidden="1">
      <c r="A14" s="553" t="s">
        <v>68</v>
      </c>
      <c r="B14" s="850">
        <f>SUMIF(' CLASIFICACION DE GASTOS 2025'!$A$18:$A$219,$A14,' CLASIFICACION DE GASTOS 2025'!$D$18:$D$219)</f>
        <v>0</v>
      </c>
      <c r="C14" s="114" t="s">
        <v>792</v>
      </c>
      <c r="D14" s="1230"/>
    </row>
    <row r="15" spans="1:4" ht="46.5" hidden="1" customHeight="1">
      <c r="A15" s="553" t="s">
        <v>333</v>
      </c>
      <c r="B15" s="850">
        <f>SUMIF(' CLASIFICACION DE GASTOS 2025'!$A$18:$A$219,$A15,' CLASIFICACION DE GASTOS 2025'!$D$18:$D$219)</f>
        <v>0</v>
      </c>
      <c r="C15" s="114"/>
      <c r="D15" s="1230"/>
    </row>
    <row r="16" spans="1:4" ht="46.5" customHeight="1">
      <c r="A16" s="553" t="s">
        <v>71</v>
      </c>
      <c r="B16" s="850">
        <f>SUMIF(' CLASIFICACION DE GASTOS 2025'!$A$18:$A$219,$A16,' CLASIFICACION DE GASTOS 2025'!$D$18:$D$219)</f>
        <v>718000</v>
      </c>
      <c r="C16" s="114" t="s">
        <v>1374</v>
      </c>
      <c r="D16" s="1230"/>
    </row>
    <row r="17" spans="1:4" ht="62.1" hidden="1" customHeight="1">
      <c r="A17" s="553" t="s">
        <v>477</v>
      </c>
      <c r="B17" s="850">
        <f>SUMIF(' CLASIFICACION DE GASTOS 2025'!$A$18:$A$219,$A17,' CLASIFICACION DE GASTOS 2025'!$D$18:$D$219)</f>
        <v>0</v>
      </c>
      <c r="C17" s="491" t="s">
        <v>652</v>
      </c>
      <c r="D17" s="1230"/>
    </row>
    <row r="18" spans="1:4" ht="46.5" hidden="1" customHeight="1">
      <c r="A18" s="557" t="s">
        <v>72</v>
      </c>
      <c r="B18" s="850">
        <f>SUMIF(' CLASIFICACION DE GASTOS 2025'!$A$18:$A$219,$A18,' CLASIFICACION DE GASTOS 2025'!$D$18:$D$219)</f>
        <v>0</v>
      </c>
      <c r="C18" s="491" t="s">
        <v>441</v>
      </c>
      <c r="D18" s="1230"/>
    </row>
    <row r="19" spans="1:4" ht="48.6">
      <c r="A19" s="553" t="s">
        <v>75</v>
      </c>
      <c r="B19" s="850">
        <f>SUMIF(' CLASIFICACION DE GASTOS 2025'!$A$18:$A$219,$A19,' CLASIFICACION DE GASTOS 2025'!$D$18:$D$219)</f>
        <v>36608000</v>
      </c>
      <c r="C19" s="491" t="s">
        <v>399</v>
      </c>
      <c r="D19" s="1230"/>
    </row>
    <row r="20" spans="1:4" ht="42.75" customHeight="1">
      <c r="A20" s="553" t="s">
        <v>76</v>
      </c>
      <c r="B20" s="850">
        <f>SUMIF(' CLASIFICACION DE GASTOS 2025'!$A$18:$A$219,$A20,' CLASIFICACION DE GASTOS 2025'!$D$18:$D$219)</f>
        <v>52035000</v>
      </c>
      <c r="C20" s="114" t="s">
        <v>400</v>
      </c>
      <c r="D20" s="1230"/>
    </row>
    <row r="21" spans="1:4" ht="40.5" customHeight="1">
      <c r="A21" s="553" t="s">
        <v>77</v>
      </c>
      <c r="B21" s="850">
        <f>SUMIF(' CLASIFICACION DE GASTOS 2025'!$A$18:$A$219,$A21,' CLASIFICACION DE GASTOS 2025'!$D$18:$D$219)</f>
        <v>30697000</v>
      </c>
      <c r="C21" s="114" t="s">
        <v>401</v>
      </c>
      <c r="D21" s="1230"/>
    </row>
    <row r="22" spans="1:4" ht="34.950000000000003" customHeight="1">
      <c r="A22" s="553" t="s">
        <v>78</v>
      </c>
      <c r="B22" s="850">
        <f>SUMIF(' CLASIFICACION DE GASTOS 2025'!$A$18:$A$219,$A22,' CLASIFICACION DE GASTOS 2025'!$D$18:$D$219)</f>
        <v>29034000</v>
      </c>
      <c r="C22" s="114" t="s">
        <v>402</v>
      </c>
      <c r="D22" s="1230"/>
    </row>
    <row r="23" spans="1:4" ht="50.4" customHeight="1">
      <c r="A23" s="553" t="s">
        <v>79</v>
      </c>
      <c r="B23" s="850">
        <f>SUMIF(' CLASIFICACION DE GASTOS 2025'!$A$18:$A$219,$A23,' CLASIFICACION DE GASTOS 2025'!$D$18:$D$219)</f>
        <v>13656000</v>
      </c>
      <c r="C23" s="491" t="s">
        <v>403</v>
      </c>
      <c r="D23" s="1230"/>
    </row>
    <row r="24" spans="1:4" ht="29.1" customHeight="1">
      <c r="A24" s="447" t="s">
        <v>82</v>
      </c>
      <c r="B24" s="850">
        <f>SUMIF(' CLASIFICACION DE GASTOS 2025'!$A$18:$A$219,$A24,' CLASIFICACION DE GASTOS 2025'!$D$18:$D$219)</f>
        <v>34139000</v>
      </c>
      <c r="C24" s="114" t="s">
        <v>404</v>
      </c>
      <c r="D24" s="1230"/>
    </row>
    <row r="25" spans="1:4" ht="23.4" customHeight="1">
      <c r="A25" s="447" t="s">
        <v>83</v>
      </c>
      <c r="B25" s="850">
        <f>SUMIF(' CLASIFICACION DE GASTOS 2025'!$A$18:$A$219,$A25,' CLASIFICACION DE GASTOS 2025'!$D$18:$D$219)</f>
        <v>1845000</v>
      </c>
      <c r="C25" s="559" t="s">
        <v>405</v>
      </c>
      <c r="D25" s="1230"/>
    </row>
    <row r="26" spans="1:4" ht="23.25" customHeight="1">
      <c r="A26" s="447" t="s">
        <v>84</v>
      </c>
      <c r="B26" s="850">
        <f>SUMIF(' CLASIFICACION DE GASTOS 2025'!$A$18:$A$219,$A26,' CLASIFICACION DE GASTOS 2025'!$D$18:$D$219)</f>
        <v>5536000</v>
      </c>
      <c r="C26" s="491" t="s">
        <v>406</v>
      </c>
      <c r="D26" s="1230"/>
    </row>
    <row r="27" spans="1:4" ht="33" customHeight="1">
      <c r="A27" s="447" t="s">
        <v>85</v>
      </c>
      <c r="B27" s="850">
        <f>SUMIF(' CLASIFICACION DE GASTOS 2025'!$A$18:$A$219,$A27,' CLASIFICACION DE GASTOS 2025'!$D$18:$D$219)</f>
        <v>18454000</v>
      </c>
      <c r="C27" s="491" t="s">
        <v>407</v>
      </c>
      <c r="D27" s="1230"/>
    </row>
    <row r="28" spans="1:4" ht="29.25" customHeight="1">
      <c r="A28" s="447" t="s">
        <v>86</v>
      </c>
      <c r="B28" s="850">
        <f>SUMIF(' CLASIFICACION DE GASTOS 2025'!$A$18:$A$219,$A28,' CLASIFICACION DE GASTOS 2025'!$D$18:$D$219)</f>
        <v>1845000</v>
      </c>
      <c r="C28" s="491" t="s">
        <v>408</v>
      </c>
      <c r="D28" s="1230"/>
    </row>
    <row r="29" spans="1:4" ht="30.75" customHeight="1">
      <c r="A29" s="447" t="s">
        <v>425</v>
      </c>
      <c r="B29" s="850">
        <f>SUMIF(' CLASIFICACION DE GASTOS 2025'!$A$18:$A$219,$A29,' CLASIFICACION DE GASTOS 2025'!$D$18:$D$219)</f>
        <v>20004000</v>
      </c>
      <c r="C29" s="491" t="s">
        <v>1433</v>
      </c>
      <c r="D29" s="1230"/>
    </row>
    <row r="30" spans="1:4" ht="33" customHeight="1">
      <c r="A30" s="561" t="s">
        <v>89</v>
      </c>
      <c r="B30" s="850">
        <f>SUMIF(' CLASIFICACION DE GASTOS 2025'!$A$18:$A$219,$A30,' CLASIFICACION DE GASTOS 2025'!$D$18:$D$219)</f>
        <v>11072000</v>
      </c>
      <c r="C30" s="559" t="s">
        <v>409</v>
      </c>
      <c r="D30" s="1230"/>
    </row>
    <row r="31" spans="1:4" ht="64.8">
      <c r="A31" s="447" t="s">
        <v>90</v>
      </c>
      <c r="B31" s="850">
        <f>SUMIF(' CLASIFICACION DE GASTOS 2025'!$A$18:$A$219,$A31,' CLASIFICACION DE GASTOS 2025'!$D$18:$D$219)</f>
        <v>5536000</v>
      </c>
      <c r="C31" s="491" t="s">
        <v>1390</v>
      </c>
      <c r="D31" s="1229"/>
    </row>
    <row r="32" spans="1:4" ht="35.25" hidden="1" customHeight="1">
      <c r="A32" s="451" t="s">
        <v>337</v>
      </c>
      <c r="B32" s="850">
        <v>0</v>
      </c>
      <c r="C32" s="491"/>
      <c r="D32" s="563"/>
    </row>
    <row r="33" spans="1:4" ht="5.4" customHeight="1">
      <c r="A33" s="564"/>
      <c r="B33" s="851"/>
      <c r="C33" s="565"/>
      <c r="D33" s="566"/>
    </row>
    <row r="34" spans="1:4" ht="18" customHeight="1">
      <c r="A34" s="567">
        <v>0</v>
      </c>
      <c r="B34" s="852">
        <f>SUM(B13:B32)</f>
        <v>498199000</v>
      </c>
      <c r="C34" s="568" t="s">
        <v>410</v>
      </c>
      <c r="D34" s="569"/>
    </row>
    <row r="35" spans="1:4" s="12" customFormat="1" ht="15" customHeight="1">
      <c r="A35" s="901"/>
      <c r="B35" s="853"/>
      <c r="C35" s="571"/>
      <c r="D35" s="902"/>
    </row>
    <row r="36" spans="1:4" ht="18" customHeight="1">
      <c r="A36" s="897" t="s">
        <v>51</v>
      </c>
      <c r="B36" s="898"/>
      <c r="C36" s="899"/>
      <c r="D36" s="900"/>
    </row>
    <row r="37" spans="1:4" ht="64.8">
      <c r="A37" s="619" t="s">
        <v>94</v>
      </c>
      <c r="B37" s="850">
        <f>SUMIF(' CLASIFICACION DE GASTOS 2025'!$A$18:$A$219,$A37,' CLASIFICACION DE GASTOS 2025'!$D$18:$D$219)</f>
        <v>7654000</v>
      </c>
      <c r="C37" s="114" t="s">
        <v>977</v>
      </c>
      <c r="D37" s="681" t="s">
        <v>398</v>
      </c>
    </row>
    <row r="38" spans="1:4" hidden="1">
      <c r="A38" s="468" t="s">
        <v>95</v>
      </c>
      <c r="B38" s="850">
        <f>SUMIF(' CLASIFICACION DE GASTOS 2025'!$A$18:$A$219,$A38,' CLASIFICACION DE GASTOS 2025'!$D$18:$D$219)</f>
        <v>0</v>
      </c>
      <c r="C38" s="577"/>
      <c r="D38" s="620"/>
    </row>
    <row r="39" spans="1:4" hidden="1">
      <c r="A39" s="468" t="s">
        <v>97</v>
      </c>
      <c r="B39" s="850">
        <f>SUMIF(' CLASIFICACION DE GASTOS 2025'!$A$18:$A$219,$A39,' CLASIFICACION DE GASTOS 2025'!$D$18:$D$219)</f>
        <v>0</v>
      </c>
      <c r="C39" s="586"/>
      <c r="D39" s="620"/>
    </row>
    <row r="40" spans="1:4" hidden="1">
      <c r="A40" s="468" t="s">
        <v>99</v>
      </c>
      <c r="B40" s="850">
        <f>SUMIF(' CLASIFICACION DE GASTOS 2025'!$A$18:$A$219,$A40,' CLASIFICACION DE GASTOS 2025'!$D$18:$D$219)</f>
        <v>0</v>
      </c>
      <c r="C40" s="577"/>
      <c r="D40" s="620"/>
    </row>
    <row r="41" spans="1:4" ht="48.75" customHeight="1">
      <c r="A41" s="447" t="s">
        <v>103</v>
      </c>
      <c r="B41" s="850">
        <f>SUMIF(' CLASIFICACION DE GASTOS 2025'!$A$18:$A$219,$A41,' CLASIFICACION DE GASTOS 2025'!$D$18:$D$219)</f>
        <v>330000</v>
      </c>
      <c r="C41" s="491" t="s">
        <v>660</v>
      </c>
      <c r="D41" s="617"/>
    </row>
    <row r="42" spans="1:4" ht="42" customHeight="1">
      <c r="A42" s="447" t="s">
        <v>105</v>
      </c>
      <c r="B42" s="850">
        <f>SUMIF(' CLASIFICACION DE GASTOS 2025'!$A$18:$A$219,$A42,' CLASIFICACION DE GASTOS 2025'!$D$18:$D$219)</f>
        <v>1034000</v>
      </c>
      <c r="C42" s="491" t="s">
        <v>979</v>
      </c>
      <c r="D42" s="617"/>
    </row>
    <row r="43" spans="1:4" ht="35.25" hidden="1" customHeight="1">
      <c r="A43" s="447" t="s">
        <v>107</v>
      </c>
      <c r="B43" s="850">
        <f>SUMIF(' CLASIFICACION DE GASTOS 2025'!$A$18:$A$219,$A43,' CLASIFICACION DE GASTOS 2025'!$D$18:$D$219)</f>
        <v>0</v>
      </c>
      <c r="C43" s="491"/>
      <c r="D43" s="617"/>
    </row>
    <row r="44" spans="1:4" ht="60.6" customHeight="1">
      <c r="A44" s="447" t="s">
        <v>286</v>
      </c>
      <c r="B44" s="850">
        <f>SUMIF(' CLASIFICACION DE GASTOS 2025'!$A$18:$A$219,$A44,' CLASIFICACION DE GASTOS 2025'!$D$18:$D$219)</f>
        <v>538000</v>
      </c>
      <c r="C44" s="491" t="s">
        <v>1396</v>
      </c>
      <c r="D44" s="1079"/>
    </row>
    <row r="45" spans="1:4" hidden="1">
      <c r="A45" s="561" t="s">
        <v>109</v>
      </c>
      <c r="B45" s="1078">
        <f>SUMIF(' CLASIFICACION DE GASTOS 2025'!$A$18:$A$219,$A45,' CLASIFICACION DE GASTOS 2025'!$D$18:$D$219)</f>
        <v>0</v>
      </c>
      <c r="C45" s="559"/>
      <c r="D45" s="617"/>
    </row>
    <row r="46" spans="1:4" hidden="1">
      <c r="A46" s="447" t="s">
        <v>113</v>
      </c>
      <c r="B46" s="850">
        <f>SUMIF(' CLASIFICACION DE GASTOS 2025'!$A$18:$A$219,$A46,' CLASIFICACION DE GASTOS 2025'!$D$18:$D$219)</f>
        <v>0</v>
      </c>
      <c r="C46" s="491"/>
      <c r="D46" s="617"/>
    </row>
    <row r="47" spans="1:4" hidden="1">
      <c r="A47" s="447" t="s">
        <v>114</v>
      </c>
      <c r="B47" s="850">
        <f>SUMIF(' CLASIFICACION DE GASTOS 2025'!$A$18:$A$219,$A47,' CLASIFICACION DE GASTOS 2025'!$D$18:$D$219)</f>
        <v>0</v>
      </c>
      <c r="C47" s="491"/>
      <c r="D47" s="617"/>
    </row>
    <row r="48" spans="1:4" hidden="1">
      <c r="A48" s="447" t="s">
        <v>115</v>
      </c>
      <c r="B48" s="850">
        <f>SUMIF(' CLASIFICACION DE GASTOS 2025'!$A$18:$A$219,$A48,' CLASIFICACION DE GASTOS 2025'!$D$18:$D$219)</f>
        <v>0</v>
      </c>
      <c r="C48" s="491"/>
      <c r="D48" s="617"/>
    </row>
    <row r="49" spans="1:4" hidden="1">
      <c r="A49" s="447" t="s">
        <v>116</v>
      </c>
      <c r="B49" s="850">
        <f>SUMIF(' CLASIFICACION DE GASTOS 2025'!$A$18:$A$219,$A49,' CLASIFICACION DE GASTOS 2025'!$D$18:$D$219)</f>
        <v>0</v>
      </c>
      <c r="C49" s="491"/>
      <c r="D49" s="617"/>
    </row>
    <row r="50" spans="1:4" hidden="1">
      <c r="A50" s="447" t="s">
        <v>118</v>
      </c>
      <c r="B50" s="850">
        <f>SUMIF(' CLASIFICACION DE GASTOS 2025'!$A$18:$A$219,$A50,' CLASIFICACION DE GASTOS 2025'!$D$18:$D$219)</f>
        <v>0</v>
      </c>
      <c r="C50" s="491"/>
      <c r="D50" s="617"/>
    </row>
    <row r="51" spans="1:4" hidden="1">
      <c r="A51" s="447" t="s">
        <v>339</v>
      </c>
      <c r="B51" s="850">
        <f>SUMIF(' CLASIFICACION DE GASTOS 2025'!$A$18:$A$219,$A51,' CLASIFICACION DE GASTOS 2025'!$D$18:$D$219)</f>
        <v>0</v>
      </c>
      <c r="C51" s="491"/>
      <c r="D51" s="617"/>
    </row>
    <row r="52" spans="1:4" hidden="1">
      <c r="A52" s="447" t="s">
        <v>479</v>
      </c>
      <c r="B52" s="850">
        <f>SUMIF(' CLASIFICACION DE GASTOS 2025'!$A$18:$A$219,$A52,' CLASIFICACION DE GASTOS 2025'!$D$18:$D$219)</f>
        <v>0</v>
      </c>
      <c r="C52" s="491"/>
      <c r="D52" s="617"/>
    </row>
    <row r="53" spans="1:4" hidden="1">
      <c r="A53" s="447" t="s">
        <v>341</v>
      </c>
      <c r="B53" s="850">
        <f>SUMIF(' CLASIFICACION DE GASTOS 2025'!$A$18:$A$219,$A53,' CLASIFICACION DE GASTOS 2025'!$D$18:$D$219)</f>
        <v>0</v>
      </c>
      <c r="C53" s="491"/>
      <c r="D53" s="617"/>
    </row>
    <row r="54" spans="1:4" hidden="1">
      <c r="A54" s="447">
        <v>0</v>
      </c>
      <c r="B54" s="850">
        <f>SUMIF(' CLASIFICACION DE GASTOS 2025'!$A$18:$A$219,$A54,' CLASIFICACION DE GASTOS 2025'!$D$18:$D$219)</f>
        <v>0</v>
      </c>
      <c r="C54" s="491"/>
      <c r="D54" s="617"/>
    </row>
    <row r="55" spans="1:4" hidden="1">
      <c r="A55" s="447" t="s">
        <v>293</v>
      </c>
      <c r="B55" s="850">
        <f>SUMIF(' CLASIFICACION DE GASTOS 2025'!$A$18:$A$219,$A55,' CLASIFICACION DE GASTOS 2025'!$D$18:$D$219)</f>
        <v>0</v>
      </c>
      <c r="C55" s="491"/>
      <c r="D55" s="617"/>
    </row>
    <row r="56" spans="1:4" ht="75.75" hidden="1" customHeight="1">
      <c r="A56" s="447" t="s">
        <v>121</v>
      </c>
      <c r="B56" s="850">
        <f>SUMIF(' CLASIFICACION DE GASTOS 2025'!$A$18:$A$219,$A56,' CLASIFICACION DE GASTOS 2025'!$D$18:$D$219)</f>
        <v>0</v>
      </c>
      <c r="C56" s="114" t="s">
        <v>785</v>
      </c>
      <c r="D56" s="617"/>
    </row>
    <row r="57" spans="1:4" hidden="1">
      <c r="A57" s="447" t="s">
        <v>123</v>
      </c>
      <c r="B57" s="850">
        <f>SUMIF(' CLASIFICACION DE GASTOS 2025'!$A$18:$A$219,$A57,' CLASIFICACION DE GASTOS 2025'!$D$18:$D$219)</f>
        <v>0</v>
      </c>
      <c r="C57" s="491"/>
      <c r="D57" s="617"/>
    </row>
    <row r="58" spans="1:4" ht="129.75" customHeight="1">
      <c r="A58" s="447" t="s">
        <v>125</v>
      </c>
      <c r="B58" s="850">
        <f>SUMIF(' CLASIFICACION DE GASTOS 2025'!$A$18:$A$219,$A58,' CLASIFICACION DE GASTOS 2025'!$D$18:$D$219)</f>
        <v>2532000</v>
      </c>
      <c r="C58" s="114" t="s">
        <v>1375</v>
      </c>
      <c r="D58" s="681" t="s">
        <v>398</v>
      </c>
    </row>
    <row r="59" spans="1:4" ht="159.6" customHeight="1">
      <c r="A59" s="447" t="s">
        <v>127</v>
      </c>
      <c r="B59" s="850">
        <f>SUMIF(' CLASIFICACION DE GASTOS 2025'!$A$18:$A$219,$A59,' CLASIFICACION DE GASTOS 2025'!$D$18:$D$219)</f>
        <v>50800000</v>
      </c>
      <c r="C59" s="114" t="s">
        <v>1448</v>
      </c>
      <c r="D59" s="896"/>
    </row>
    <row r="60" spans="1:4" ht="72.75" hidden="1" customHeight="1">
      <c r="A60" s="561" t="s">
        <v>131</v>
      </c>
      <c r="B60" s="850">
        <f>SUMIF(' CLASIFICACION DE GASTOS 2025'!$A$18:$A$219,$A60,' CLASIFICACION DE GASTOS 2025'!$D$18:$D$219)</f>
        <v>0</v>
      </c>
      <c r="C60" s="559" t="s">
        <v>661</v>
      </c>
      <c r="D60" s="617"/>
    </row>
    <row r="61" spans="1:4" hidden="1">
      <c r="A61" s="447" t="s">
        <v>133</v>
      </c>
      <c r="B61" s="850">
        <f>SUMIF(' CLASIFICACION DE GASTOS 2025'!$A$18:$A$219,$A61,' CLASIFICACION DE GASTOS 2025'!$D$18:$D$219)</f>
        <v>0</v>
      </c>
      <c r="C61" s="491"/>
      <c r="D61" s="617"/>
    </row>
    <row r="62" spans="1:4" ht="37.200000000000003" customHeight="1">
      <c r="A62" s="447" t="s">
        <v>134</v>
      </c>
      <c r="B62" s="850">
        <f>SUMIF(' CLASIFICACION DE GASTOS 2025'!$A$18:$A$219,$A62,' CLASIFICACION DE GASTOS 2025'!$D$18:$D$219)</f>
        <v>500000</v>
      </c>
      <c r="C62" s="1253" t="s">
        <v>1449</v>
      </c>
      <c r="D62" s="1230" t="s">
        <v>398</v>
      </c>
    </row>
    <row r="63" spans="1:4" ht="34.200000000000003" customHeight="1">
      <c r="A63" s="447" t="s">
        <v>136</v>
      </c>
      <c r="B63" s="850">
        <f>SUMIF(' CLASIFICACION DE GASTOS 2025'!$A$18:$A$219,$A63,' CLASIFICACION DE GASTOS 2025'!$D$18:$D$219)</f>
        <v>500000</v>
      </c>
      <c r="C63" s="1254"/>
      <c r="D63" s="1230"/>
    </row>
    <row r="64" spans="1:4" ht="61.2" customHeight="1">
      <c r="A64" s="447" t="s">
        <v>138</v>
      </c>
      <c r="B64" s="850">
        <f>SUMIF(' CLASIFICACION DE GASTOS 2025'!$A$18:$A$219,$A64,' CLASIFICACION DE GASTOS 2025'!$D$18:$D$219)</f>
        <v>3438000</v>
      </c>
      <c r="C64" s="491" t="s">
        <v>1402</v>
      </c>
      <c r="D64" s="617"/>
    </row>
    <row r="65" spans="1:4" ht="48.6">
      <c r="A65" s="447" t="s">
        <v>142</v>
      </c>
      <c r="B65" s="850">
        <f>SUMIF(' CLASIFICACION DE GASTOS 2025'!$A$18:$A$219,$A65,' CLASIFICACION DE GASTOS 2025'!$D$18:$D$219)</f>
        <v>600000</v>
      </c>
      <c r="C65" s="491" t="s">
        <v>1118</v>
      </c>
      <c r="D65" s="563"/>
    </row>
    <row r="66" spans="1:4" hidden="1">
      <c r="A66" s="468" t="s">
        <v>144</v>
      </c>
      <c r="B66" s="850">
        <v>0</v>
      </c>
      <c r="C66" s="621"/>
      <c r="D66" s="620"/>
    </row>
    <row r="67" spans="1:4" hidden="1">
      <c r="A67" s="468" t="s">
        <v>146</v>
      </c>
      <c r="B67" s="850">
        <v>0</v>
      </c>
      <c r="C67" s="621"/>
      <c r="D67" s="620"/>
    </row>
    <row r="68" spans="1:4" hidden="1">
      <c r="A68" s="468" t="s">
        <v>150</v>
      </c>
      <c r="B68" s="872">
        <v>0</v>
      </c>
      <c r="C68" s="621"/>
      <c r="D68" s="620"/>
    </row>
    <row r="69" spans="1:4" hidden="1">
      <c r="A69" s="468" t="s">
        <v>151</v>
      </c>
      <c r="B69" s="872">
        <v>0</v>
      </c>
      <c r="C69" s="621"/>
      <c r="D69" s="620"/>
    </row>
    <row r="70" spans="1:4" hidden="1">
      <c r="A70" s="468" t="s">
        <v>344</v>
      </c>
      <c r="B70" s="872">
        <v>0</v>
      </c>
      <c r="C70" s="621"/>
      <c r="D70" s="620"/>
    </row>
    <row r="71" spans="1:4" hidden="1">
      <c r="A71" s="468" t="s">
        <v>153</v>
      </c>
      <c r="B71" s="872">
        <v>0</v>
      </c>
      <c r="C71" s="621"/>
      <c r="D71" s="620"/>
    </row>
    <row r="72" spans="1:4" hidden="1">
      <c r="A72" s="468" t="s">
        <v>154</v>
      </c>
      <c r="B72" s="872">
        <v>0</v>
      </c>
      <c r="C72" s="559"/>
      <c r="D72" s="555"/>
    </row>
    <row r="73" spans="1:4" hidden="1" outlineLevel="1">
      <c r="A73" s="468" t="s">
        <v>155</v>
      </c>
      <c r="B73" s="872">
        <v>0</v>
      </c>
      <c r="C73" s="575"/>
      <c r="D73" s="555"/>
    </row>
    <row r="74" spans="1:4" hidden="1" outlineLevel="1">
      <c r="A74" s="468" t="s">
        <v>156</v>
      </c>
      <c r="B74" s="872">
        <v>0</v>
      </c>
      <c r="C74" s="575"/>
      <c r="D74" s="555"/>
    </row>
    <row r="75" spans="1:4" hidden="1" outlineLevel="1">
      <c r="A75" s="468" t="s">
        <v>157</v>
      </c>
      <c r="B75" s="872">
        <v>0</v>
      </c>
      <c r="C75" s="575"/>
      <c r="D75" s="555"/>
    </row>
    <row r="76" spans="1:4" hidden="1" outlineLevel="1">
      <c r="A76" s="468" t="s">
        <v>347</v>
      </c>
      <c r="B76" s="849">
        <v>0</v>
      </c>
      <c r="C76" s="575"/>
      <c r="D76" s="555"/>
    </row>
    <row r="77" spans="1:4" hidden="1" outlineLevel="1">
      <c r="A77" s="468" t="s">
        <v>349</v>
      </c>
      <c r="B77" s="849">
        <v>0</v>
      </c>
      <c r="C77" s="575"/>
      <c r="D77" s="555"/>
    </row>
    <row r="78" spans="1:4" hidden="1" outlineLevel="1">
      <c r="A78" s="468" t="s">
        <v>160</v>
      </c>
      <c r="B78" s="849">
        <v>0</v>
      </c>
      <c r="C78" s="575"/>
      <c r="D78" s="555"/>
    </row>
    <row r="79" spans="1:4" hidden="1" outlineLevel="1">
      <c r="A79" s="468" t="s">
        <v>162</v>
      </c>
      <c r="B79" s="849">
        <v>0</v>
      </c>
      <c r="C79" s="575"/>
      <c r="D79" s="555"/>
    </row>
    <row r="80" spans="1:4" ht="9.9" customHeight="1" collapsed="1">
      <c r="A80" s="564"/>
      <c r="B80" s="851"/>
      <c r="C80" s="602"/>
      <c r="D80" s="587"/>
    </row>
    <row r="81" spans="1:4" ht="18" customHeight="1">
      <c r="A81" s="583">
        <v>1</v>
      </c>
      <c r="B81" s="856">
        <f>SUM(B37:B79)</f>
        <v>67926000</v>
      </c>
      <c r="C81" s="584" t="s">
        <v>410</v>
      </c>
      <c r="D81" s="569"/>
    </row>
    <row r="82" spans="1:4" ht="9" customHeight="1">
      <c r="A82" s="570"/>
      <c r="B82" s="853"/>
      <c r="C82" s="571"/>
      <c r="D82" s="572"/>
    </row>
    <row r="83" spans="1:4" ht="12.75" hidden="1" customHeight="1">
      <c r="A83" s="1237" t="s">
        <v>21</v>
      </c>
      <c r="B83" s="1238"/>
      <c r="C83" s="1252"/>
      <c r="D83" s="599"/>
    </row>
    <row r="84" spans="1:4" hidden="1">
      <c r="A84" s="832" t="s">
        <v>166</v>
      </c>
      <c r="B84" s="873">
        <v>0</v>
      </c>
      <c r="C84" s="12"/>
      <c r="D84" s="12"/>
    </row>
    <row r="85" spans="1:4" ht="8.1" hidden="1" customHeight="1">
      <c r="A85" s="832" t="s">
        <v>168</v>
      </c>
      <c r="B85" s="873">
        <v>0</v>
      </c>
      <c r="C85" s="577"/>
      <c r="D85" s="622"/>
    </row>
    <row r="86" spans="1:4" ht="33.6" hidden="1" customHeight="1">
      <c r="A86" s="467" t="s">
        <v>170</v>
      </c>
      <c r="B86" s="873">
        <v>0</v>
      </c>
      <c r="C86" s="491" t="s">
        <v>423</v>
      </c>
      <c r="D86" s="1243" t="s">
        <v>398</v>
      </c>
    </row>
    <row r="87" spans="1:4" ht="8.1" hidden="1" customHeight="1">
      <c r="A87" s="467" t="s">
        <v>172</v>
      </c>
      <c r="B87" s="873">
        <v>0</v>
      </c>
      <c r="C87" s="491"/>
      <c r="D87" s="1243"/>
    </row>
    <row r="88" spans="1:4" ht="44.25" hidden="1" customHeight="1">
      <c r="A88" s="467" t="s">
        <v>300</v>
      </c>
      <c r="B88" s="873">
        <v>0</v>
      </c>
      <c r="C88" s="491" t="s">
        <v>684</v>
      </c>
      <c r="D88" s="1243"/>
    </row>
    <row r="89" spans="1:4" ht="17.399999999999999" hidden="1" customHeight="1">
      <c r="A89" s="467" t="s">
        <v>174</v>
      </c>
      <c r="B89" s="858">
        <v>0</v>
      </c>
      <c r="C89" s="491" t="s">
        <v>687</v>
      </c>
      <c r="D89" s="1243"/>
    </row>
    <row r="90" spans="1:4" ht="12.75" hidden="1" customHeight="1">
      <c r="A90" s="467" t="s">
        <v>176</v>
      </c>
      <c r="B90" s="858">
        <v>0</v>
      </c>
      <c r="C90" s="623"/>
      <c r="D90" s="1243"/>
    </row>
    <row r="91" spans="1:4" hidden="1">
      <c r="A91" s="467" t="s">
        <v>178</v>
      </c>
      <c r="B91" s="858">
        <v>0</v>
      </c>
      <c r="C91" s="491"/>
      <c r="D91" s="1243"/>
    </row>
    <row r="92" spans="1:4" hidden="1">
      <c r="A92" s="467" t="s">
        <v>180</v>
      </c>
      <c r="B92" s="858">
        <v>0</v>
      </c>
      <c r="C92" s="491"/>
      <c r="D92" s="555"/>
    </row>
    <row r="93" spans="1:4" ht="27" hidden="1" customHeight="1">
      <c r="A93" s="467" t="s">
        <v>182</v>
      </c>
      <c r="B93" s="858">
        <v>0</v>
      </c>
      <c r="C93" s="491" t="s">
        <v>662</v>
      </c>
      <c r="D93" s="555"/>
    </row>
    <row r="94" spans="1:4" hidden="1">
      <c r="A94" s="467" t="s">
        <v>184</v>
      </c>
      <c r="B94" s="858">
        <v>0</v>
      </c>
      <c r="C94" s="623"/>
      <c r="D94" s="555"/>
    </row>
    <row r="95" spans="1:4" hidden="1">
      <c r="A95" s="467" t="s">
        <v>187</v>
      </c>
      <c r="B95" s="858">
        <v>0</v>
      </c>
      <c r="C95" s="491"/>
      <c r="D95" s="555"/>
    </row>
    <row r="96" spans="1:4" hidden="1">
      <c r="A96" s="467" t="s">
        <v>189</v>
      </c>
      <c r="B96" s="858">
        <v>0</v>
      </c>
      <c r="C96" s="491"/>
      <c r="D96" s="555"/>
    </row>
    <row r="97" spans="1:4" ht="31.5" hidden="1" customHeight="1">
      <c r="A97" s="467" t="s">
        <v>192</v>
      </c>
      <c r="B97" s="858">
        <v>0</v>
      </c>
      <c r="C97" s="491" t="s">
        <v>420</v>
      </c>
      <c r="D97" s="555"/>
    </row>
    <row r="98" spans="1:4" hidden="1">
      <c r="A98" s="467" t="s">
        <v>194</v>
      </c>
      <c r="B98" s="858">
        <v>0</v>
      </c>
      <c r="C98" s="491"/>
      <c r="D98" s="555"/>
    </row>
    <row r="99" spans="1:4" ht="30" hidden="1" customHeight="1">
      <c r="A99" s="467" t="s">
        <v>195</v>
      </c>
      <c r="B99" s="858">
        <v>0</v>
      </c>
      <c r="C99" s="491" t="s">
        <v>413</v>
      </c>
      <c r="D99" s="555"/>
    </row>
    <row r="100" spans="1:4" hidden="1">
      <c r="A100" s="467" t="s">
        <v>197</v>
      </c>
      <c r="B100" s="858">
        <v>0</v>
      </c>
      <c r="C100" s="491"/>
      <c r="D100" s="555"/>
    </row>
    <row r="101" spans="1:4" hidden="1">
      <c r="A101" s="467" t="s">
        <v>199</v>
      </c>
      <c r="B101" s="858">
        <v>0</v>
      </c>
      <c r="C101" s="491"/>
      <c r="D101" s="555"/>
    </row>
    <row r="102" spans="1:4" hidden="1">
      <c r="A102" s="467" t="s">
        <v>201</v>
      </c>
      <c r="B102" s="858">
        <v>0</v>
      </c>
      <c r="C102" s="491"/>
      <c r="D102" s="555"/>
    </row>
    <row r="103" spans="1:4" ht="44.25" hidden="1" customHeight="1">
      <c r="A103" s="467" t="s">
        <v>314</v>
      </c>
      <c r="B103" s="858">
        <v>0</v>
      </c>
      <c r="C103" s="491" t="s">
        <v>464</v>
      </c>
      <c r="D103" s="555"/>
    </row>
    <row r="104" spans="1:4" hidden="1">
      <c r="A104" s="693" t="s">
        <v>203</v>
      </c>
      <c r="B104" s="858">
        <v>0</v>
      </c>
      <c r="C104" s="577"/>
      <c r="D104" s="555"/>
    </row>
    <row r="105" spans="1:4" hidden="1">
      <c r="A105" s="564"/>
      <c r="B105" s="851"/>
      <c r="C105" s="565"/>
      <c r="D105" s="587"/>
    </row>
    <row r="106" spans="1:4" ht="15" hidden="1" customHeight="1">
      <c r="A106" s="567">
        <v>2</v>
      </c>
      <c r="B106" s="852">
        <f>SUM(B84:B104)</f>
        <v>0</v>
      </c>
      <c r="C106" s="568" t="s">
        <v>410</v>
      </c>
      <c r="D106" s="569"/>
    </row>
    <row r="107" spans="1:4" hidden="1">
      <c r="A107" s="570"/>
      <c r="B107" s="853"/>
      <c r="C107" s="571"/>
      <c r="D107" s="587"/>
    </row>
    <row r="108" spans="1:4" ht="13.2" customHeight="1" outlineLevel="1">
      <c r="A108" s="1251" t="s">
        <v>53</v>
      </c>
      <c r="B108" s="1238"/>
      <c r="C108" s="618"/>
      <c r="D108" s="624"/>
    </row>
    <row r="109" spans="1:4" ht="51" hidden="1" customHeight="1" outlineLevel="1">
      <c r="A109" s="467" t="s">
        <v>356</v>
      </c>
      <c r="B109" s="850">
        <f>SUMIF(' CLASIFICACION DE GASTOS 2025'!$A$18:$A$219,$A109,' CLASIFICACION DE GASTOS 2025'!$D$18:$D$219)</f>
        <v>0</v>
      </c>
      <c r="C109" s="114" t="s">
        <v>426</v>
      </c>
      <c r="D109" s="1246" t="s">
        <v>398</v>
      </c>
    </row>
    <row r="110" spans="1:4" ht="51" hidden="1" customHeight="1" outlineLevel="1">
      <c r="A110" s="467" t="s">
        <v>206</v>
      </c>
      <c r="B110" s="850">
        <f>SUMIF(' CLASIFICACION DE GASTOS 2025'!$A$18:$A$219,$A110,' CLASIFICACION DE GASTOS 2025'!$D$18:$D$219)</f>
        <v>0</v>
      </c>
      <c r="C110" s="114"/>
      <c r="D110" s="1247"/>
    </row>
    <row r="111" spans="1:4" ht="72.599999999999994" customHeight="1" outlineLevel="1">
      <c r="A111" s="467" t="s">
        <v>208</v>
      </c>
      <c r="B111" s="850">
        <f>SUMIF(' CLASIFICACION DE GASTOS 2025'!$A$18:$A$219,$A111,' CLASIFICACION DE GASTOS 2025'!$D$18:$D$219)</f>
        <v>3000000</v>
      </c>
      <c r="C111" s="114" t="s">
        <v>1450</v>
      </c>
      <c r="D111" s="1247"/>
    </row>
    <row r="112" spans="1:4" ht="39.6" hidden="1" customHeight="1" outlineLevel="1">
      <c r="A112" s="467" t="s">
        <v>210</v>
      </c>
      <c r="B112" s="850">
        <f>SUMIF(' CLASIFICACION DE GASTOS 2025'!$A$18:$A$219,$A112,' CLASIFICACION DE GASTOS 2025'!$D$18:$D$219)</f>
        <v>0</v>
      </c>
      <c r="C112" s="114" t="s">
        <v>670</v>
      </c>
      <c r="D112" s="1247"/>
    </row>
    <row r="113" spans="1:4" ht="67.5" hidden="1" customHeight="1" outlineLevel="1">
      <c r="A113" s="467" t="s">
        <v>212</v>
      </c>
      <c r="B113" s="850">
        <f>SUMIF(' CLASIFICACION DE GASTOS 2025'!$A$18:$A$219,$A113,' CLASIFICACION DE GASTOS 2025'!$D$18:$D$219)</f>
        <v>0</v>
      </c>
      <c r="C113" s="575" t="s">
        <v>700</v>
      </c>
      <c r="D113" s="1247"/>
    </row>
    <row r="114" spans="1:4" ht="13.2" hidden="1" customHeight="1" outlineLevel="1">
      <c r="A114" s="467" t="s">
        <v>214</v>
      </c>
      <c r="B114" s="850">
        <f>SUMIF(' CLASIFICACION DE GASTOS 2025'!$A$18:$A$219,$A114,' CLASIFICACION DE GASTOS 2025'!$D$18:$D$219)</f>
        <v>0</v>
      </c>
      <c r="C114" s="575"/>
      <c r="D114" s="1247"/>
    </row>
    <row r="115" spans="1:4" ht="13.2" hidden="1" customHeight="1" outlineLevel="1">
      <c r="A115" s="467" t="s">
        <v>216</v>
      </c>
      <c r="B115" s="850">
        <f>SUMIF(' CLASIFICACION DE GASTOS 2025'!$A$18:$A$219,$A115,' CLASIFICACION DE GASTOS 2025'!$D$18:$D$219)</f>
        <v>0</v>
      </c>
      <c r="C115" s="575"/>
      <c r="D115" s="1247"/>
    </row>
    <row r="116" spans="1:4" ht="13.2" hidden="1" customHeight="1" outlineLevel="1">
      <c r="A116" s="467" t="s">
        <v>218</v>
      </c>
      <c r="B116" s="850">
        <f>SUMIF(' CLASIFICACION DE GASTOS 2025'!$A$18:$A$219,$A116,' CLASIFICACION DE GASTOS 2025'!$D$18:$D$219)</f>
        <v>0</v>
      </c>
      <c r="C116" s="575"/>
      <c r="D116" s="1247"/>
    </row>
    <row r="117" spans="1:4" ht="13.2" hidden="1" customHeight="1" outlineLevel="1">
      <c r="A117" s="467" t="s">
        <v>352</v>
      </c>
      <c r="B117" s="850">
        <f>SUMIF(' CLASIFICACION DE GASTOS 2025'!$A$18:$A$219,$A117,' CLASIFICACION DE GASTOS 2025'!$D$18:$D$219)</f>
        <v>0</v>
      </c>
      <c r="C117" s="575"/>
      <c r="D117" s="1247"/>
    </row>
    <row r="118" spans="1:4" ht="38.25" hidden="1" customHeight="1" outlineLevel="1">
      <c r="A118" s="467" t="s">
        <v>216</v>
      </c>
      <c r="B118" s="850">
        <f>SUMIF(' CLASIFICACION DE GASTOS 2025'!$A$18:$A$219,$A118,' CLASIFICACION DE GASTOS 2025'!$D$18:$D$219)</f>
        <v>0</v>
      </c>
      <c r="C118" s="575" t="s">
        <v>440</v>
      </c>
      <c r="D118" s="1248"/>
    </row>
    <row r="119" spans="1:4" ht="7.95" customHeight="1" outlineLevel="1">
      <c r="A119" s="564"/>
      <c r="B119" s="851"/>
      <c r="C119" s="650"/>
      <c r="D119" s="587"/>
    </row>
    <row r="120" spans="1:4" ht="15" customHeight="1" outlineLevel="1">
      <c r="A120" s="567">
        <v>5</v>
      </c>
      <c r="B120" s="852">
        <f>SUM(B109:B118)</f>
        <v>3000000</v>
      </c>
      <c r="C120" s="568" t="s">
        <v>410</v>
      </c>
      <c r="D120" s="569"/>
    </row>
    <row r="121" spans="1:4" ht="9" customHeight="1" thickBot="1">
      <c r="A121" s="570"/>
      <c r="B121" s="853"/>
      <c r="C121" s="571"/>
      <c r="D121" s="572"/>
    </row>
    <row r="122" spans="1:4" ht="12.75" hidden="1" customHeight="1">
      <c r="A122" s="1244" t="s">
        <v>19</v>
      </c>
      <c r="B122" s="1245"/>
      <c r="C122" s="625"/>
      <c r="D122" s="626"/>
    </row>
    <row r="123" spans="1:4" ht="62.25" hidden="1" customHeight="1">
      <c r="A123" s="627" t="s">
        <v>302</v>
      </c>
      <c r="B123" s="858">
        <v>0</v>
      </c>
      <c r="C123" s="585" t="s">
        <v>453</v>
      </c>
      <c r="D123" s="1249" t="s">
        <v>398</v>
      </c>
    </row>
    <row r="124" spans="1:4" ht="32.4" hidden="1">
      <c r="A124" s="627" t="s">
        <v>231</v>
      </c>
      <c r="B124" s="858">
        <v>0</v>
      </c>
      <c r="C124" s="491" t="s">
        <v>424</v>
      </c>
      <c r="D124" s="1243"/>
    </row>
    <row r="125" spans="1:4" ht="30" hidden="1" customHeight="1">
      <c r="A125" s="627">
        <v>6.0301</v>
      </c>
      <c r="B125" s="858">
        <v>0</v>
      </c>
      <c r="C125" s="491" t="s">
        <v>688</v>
      </c>
      <c r="D125" s="1250"/>
    </row>
    <row r="126" spans="1:4" s="12" customFormat="1" ht="10.5" hidden="1" customHeight="1" outlineLevel="1" thickBot="1">
      <c r="A126" s="628"/>
      <c r="B126" s="874"/>
      <c r="C126" s="629"/>
      <c r="D126" s="555"/>
    </row>
    <row r="127" spans="1:4" ht="15" hidden="1" customHeight="1" collapsed="1" thickBot="1">
      <c r="A127" s="630">
        <v>6</v>
      </c>
      <c r="B127" s="875">
        <f>SUM(B123:B125)</f>
        <v>0</v>
      </c>
      <c r="C127" s="631" t="s">
        <v>410</v>
      </c>
      <c r="D127" s="632"/>
    </row>
    <row r="128" spans="1:4" hidden="1">
      <c r="A128" s="633"/>
      <c r="B128" s="876"/>
      <c r="C128" s="634"/>
      <c r="D128" s="635"/>
    </row>
    <row r="129" spans="1:4" ht="21" hidden="1" customHeight="1" outlineLevel="1">
      <c r="A129" s="833" t="s">
        <v>238</v>
      </c>
      <c r="B129" s="877"/>
      <c r="C129" s="636"/>
      <c r="D129" s="587"/>
    </row>
    <row r="130" spans="1:4" ht="356.4" hidden="1" outlineLevel="1">
      <c r="A130" s="699" t="s">
        <v>239</v>
      </c>
      <c r="B130" s="878">
        <v>0</v>
      </c>
      <c r="C130" s="114" t="s">
        <v>1391</v>
      </c>
      <c r="D130" s="604" t="s">
        <v>398</v>
      </c>
    </row>
    <row r="131" spans="1:4" ht="13.2" hidden="1" customHeight="1" outlineLevel="1">
      <c r="A131" s="564"/>
      <c r="B131" s="879"/>
      <c r="C131" s="637"/>
      <c r="D131" s="587"/>
    </row>
    <row r="132" spans="1:4" ht="15" hidden="1" customHeight="1" outlineLevel="1">
      <c r="A132" s="567">
        <v>9</v>
      </c>
      <c r="B132" s="852">
        <f>SUM(B129:B130)</f>
        <v>0</v>
      </c>
      <c r="C132" s="568" t="s">
        <v>410</v>
      </c>
      <c r="D132" s="606"/>
    </row>
    <row r="133" spans="1:4" ht="9.9" hidden="1" customHeight="1" outlineLevel="1" thickBot="1">
      <c r="A133" s="530"/>
      <c r="B133" s="523"/>
      <c r="C133" s="607"/>
      <c r="D133" s="608"/>
    </row>
    <row r="134" spans="1:4" ht="18" customHeight="1" collapsed="1" thickBot="1">
      <c r="A134" s="609"/>
      <c r="B134" s="869">
        <f>+B106+B81+B34+B120+B127+B132</f>
        <v>569125000</v>
      </c>
      <c r="C134" s="610" t="s">
        <v>418</v>
      </c>
      <c r="D134" s="611"/>
    </row>
    <row r="135" spans="1:4" ht="9" customHeight="1"/>
    <row r="136" spans="1:4" ht="19.95" hidden="1" customHeight="1" thickBot="1">
      <c r="A136" s="612"/>
      <c r="B136" s="870">
        <f>+B127+B106+B81+B34+B120+B132</f>
        <v>569125000</v>
      </c>
      <c r="C136" s="613" t="s">
        <v>418</v>
      </c>
      <c r="D136" s="614"/>
    </row>
    <row r="137" spans="1:4" hidden="1"/>
    <row r="138" spans="1:4" hidden="1">
      <c r="B138" s="24">
        <f>+B136-' CLASIFICACION DE GASTOS 2025'!D8</f>
        <v>0</v>
      </c>
    </row>
  </sheetData>
  <mergeCells count="14">
    <mergeCell ref="A83:C83"/>
    <mergeCell ref="C62:C63"/>
    <mergeCell ref="A2:D2"/>
    <mergeCell ref="A3:D3"/>
    <mergeCell ref="A4:D4"/>
    <mergeCell ref="A6:D6"/>
    <mergeCell ref="A12:C12"/>
    <mergeCell ref="D13:D31"/>
    <mergeCell ref="D62:D63"/>
    <mergeCell ref="D86:D91"/>
    <mergeCell ref="A122:B122"/>
    <mergeCell ref="D109:D118"/>
    <mergeCell ref="D123:D125"/>
    <mergeCell ref="A108:B108"/>
  </mergeCells>
  <printOptions horizontalCentered="1"/>
  <pageMargins left="0.78740157480314965" right="0.78740157480314965" top="0.59055118110236227" bottom="0.98425196850393704" header="0.59055118110236227" footer="0.59055118110236227"/>
  <pageSetup scale="68" firstPageNumber="28" fitToHeight="2" orientation="portrait" useFirstPageNumber="1" r:id="rId1"/>
  <headerFooter>
    <oddFooter>&amp;C&amp;P</oddFooter>
  </headerFooter>
  <rowBreaks count="2" manualBreakCount="2">
    <brk id="35" max="16383" man="1"/>
    <brk id="61"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6">
    <tabColor theme="9" tint="-0.499984740745262"/>
  </sheetPr>
  <dimension ref="A2:H179"/>
  <sheetViews>
    <sheetView showGridLines="0" topLeftCell="A160" workbookViewId="0">
      <selection activeCell="C161" sqref="C161"/>
    </sheetView>
  </sheetViews>
  <sheetFormatPr baseColWidth="10" defaultColWidth="11.44140625" defaultRowHeight="16.2" outlineLevelRow="1" outlineLevelCol="1"/>
  <cols>
    <col min="1" max="1" width="10.6640625" style="690" customWidth="1"/>
    <col min="2" max="2" width="18.88671875" style="882" customWidth="1"/>
    <col min="3" max="3" width="63" style="3" customWidth="1"/>
    <col min="4" max="4" width="17.6640625" style="1107" customWidth="1" outlineLevel="1"/>
    <col min="5" max="5" width="11.44140625" style="3" customWidth="1"/>
    <col min="6" max="7" width="11.44140625" style="3"/>
    <col min="8" max="8" width="11.88671875" style="3" bestFit="1" customWidth="1"/>
    <col min="9" max="16384" width="11.44140625" style="3"/>
  </cols>
  <sheetData>
    <row r="2" spans="1:4">
      <c r="A2" s="1173" t="s">
        <v>0</v>
      </c>
      <c r="B2" s="1173"/>
      <c r="C2" s="1173"/>
      <c r="D2" s="1173"/>
    </row>
    <row r="3" spans="1:4">
      <c r="A3" s="1173" t="s">
        <v>1341</v>
      </c>
      <c r="B3" s="1173"/>
      <c r="C3" s="1173"/>
      <c r="D3" s="1173"/>
    </row>
    <row r="4" spans="1:4">
      <c r="A4" s="1173" t="s">
        <v>331</v>
      </c>
      <c r="B4" s="1173"/>
      <c r="C4" s="1173"/>
      <c r="D4" s="1173"/>
    </row>
    <row r="5" spans="1:4" ht="16.8" thickBot="1">
      <c r="A5" s="546"/>
      <c r="B5" s="880"/>
      <c r="C5" s="546"/>
      <c r="D5" s="1084"/>
    </row>
    <row r="6" spans="1:4" ht="16.8" thickTop="1">
      <c r="A6" s="1239" t="s">
        <v>393</v>
      </c>
      <c r="B6" s="1239"/>
      <c r="C6" s="1239"/>
      <c r="D6" s="1239"/>
    </row>
    <row r="7" spans="1:4">
      <c r="A7" s="2"/>
      <c r="B7" s="881"/>
      <c r="C7" s="2"/>
      <c r="D7" s="1085"/>
    </row>
    <row r="8" spans="1:4">
      <c r="A8" s="911" t="s">
        <v>419</v>
      </c>
      <c r="C8" s="2"/>
      <c r="D8" s="911"/>
    </row>
    <row r="9" spans="1:4" ht="16.8" thickBot="1">
      <c r="A9" s="2"/>
      <c r="C9" s="2"/>
      <c r="D9" s="911"/>
    </row>
    <row r="10" spans="1:4" ht="33" customHeight="1" thickBot="1">
      <c r="A10" s="548" t="s">
        <v>394</v>
      </c>
      <c r="B10" s="847" t="s">
        <v>395</v>
      </c>
      <c r="C10" s="549" t="s">
        <v>396</v>
      </c>
      <c r="D10" s="1058" t="s">
        <v>397</v>
      </c>
    </row>
    <row r="11" spans="1:4" ht="9" customHeight="1">
      <c r="A11" s="406"/>
      <c r="B11" s="883"/>
      <c r="C11" s="551"/>
      <c r="D11" s="1086"/>
    </row>
    <row r="12" spans="1:4">
      <c r="A12" s="1240" t="s">
        <v>50</v>
      </c>
      <c r="B12" s="1241"/>
      <c r="C12" s="1241"/>
      <c r="D12" s="1087"/>
    </row>
    <row r="13" spans="1:4" ht="54" customHeight="1">
      <c r="A13" s="553" t="s">
        <v>67</v>
      </c>
      <c r="B13" s="857">
        <f>SUMIF(' CLASIFICACION DE GASTOS 2025'!$A$18:$A$219,$A13,' CLASIFICACION DE GASTOS 2025'!$E$18:$E$219)</f>
        <v>1908969784</v>
      </c>
      <c r="C13" s="1120" t="s">
        <v>991</v>
      </c>
      <c r="D13" s="1108" t="s">
        <v>398</v>
      </c>
    </row>
    <row r="14" spans="1:4" ht="77.099999999999994" customHeight="1">
      <c r="A14" s="553" t="s">
        <v>68</v>
      </c>
      <c r="B14" s="857">
        <f>SUMIF(' CLASIFICACION DE GASTOS 2025'!$A$18:$A$219,$A14,' CLASIFICACION DE GASTOS 2025'!$E$18:$E$219)</f>
        <v>2243616400</v>
      </c>
      <c r="C14" s="1114" t="s">
        <v>1376</v>
      </c>
      <c r="D14" s="622"/>
    </row>
    <row r="15" spans="1:4" ht="53.25" hidden="1" customHeight="1">
      <c r="A15" s="553" t="s">
        <v>333</v>
      </c>
      <c r="B15" s="857">
        <f>SUMIF(' CLASIFICACION DE GASTOS 2025'!$A$18:$A$219,$A15,' CLASIFICACION DE GASTOS 2025'!$E$18:$E$219)</f>
        <v>0</v>
      </c>
      <c r="C15" s="1114" t="s">
        <v>429</v>
      </c>
      <c r="D15" s="622"/>
    </row>
    <row r="16" spans="1:4" ht="55.5" customHeight="1">
      <c r="A16" s="553" t="s">
        <v>71</v>
      </c>
      <c r="B16" s="857">
        <f>SUMIF(' CLASIFICACION DE GASTOS 2025'!$A$18:$A$219,$A16,' CLASIFICACION DE GASTOS 2025'!$E$18:$E$219)</f>
        <v>188175000</v>
      </c>
      <c r="C16" s="643" t="s">
        <v>663</v>
      </c>
      <c r="D16" s="622"/>
    </row>
    <row r="17" spans="1:4" ht="55.5" hidden="1" customHeight="1">
      <c r="A17" s="553" t="s">
        <v>477</v>
      </c>
      <c r="B17" s="857">
        <f>SUMIF(' CLASIFICACION DE GASTOS 2025'!$A$18:$A$219,$A17,' CLASIFICACION DE GASTOS 2025'!$E$18:$E$219)</f>
        <v>0</v>
      </c>
      <c r="C17" s="643" t="s">
        <v>652</v>
      </c>
      <c r="D17" s="622"/>
    </row>
    <row r="18" spans="1:4" hidden="1">
      <c r="A18" s="557" t="s">
        <v>72</v>
      </c>
      <c r="B18" s="857">
        <f>SUMIF(' CLASIFICACION DE GASTOS 2025'!$A$18:$A$219,$A18,' CLASIFICACION DE GASTOS 2025'!$E$18:$E$219)</f>
        <v>0</v>
      </c>
      <c r="C18" s="643"/>
      <c r="D18" s="622"/>
    </row>
    <row r="19" spans="1:4" ht="49.2" customHeight="1">
      <c r="A19" s="553" t="s">
        <v>75</v>
      </c>
      <c r="B19" s="857">
        <f>SUMIF(' CLASIFICACION DE GASTOS 2025'!$A$18:$A$219,$A19,' CLASIFICACION DE GASTOS 2025'!$E$18:$E$219)</f>
        <v>263217000</v>
      </c>
      <c r="C19" s="643" t="s">
        <v>399</v>
      </c>
      <c r="D19" s="622"/>
    </row>
    <row r="20" spans="1:4" ht="41.4" customHeight="1">
      <c r="A20" s="553" t="s">
        <v>76</v>
      </c>
      <c r="B20" s="857">
        <f>SUMIF(' CLASIFICACION DE GASTOS 2025'!$A$18:$A$219,$A20,' CLASIFICACION DE GASTOS 2025'!$E$18:$E$219)</f>
        <v>202137000</v>
      </c>
      <c r="C20" s="1114" t="s">
        <v>400</v>
      </c>
      <c r="D20" s="622"/>
    </row>
    <row r="21" spans="1:4" ht="37.950000000000003" customHeight="1">
      <c r="A21" s="553" t="s">
        <v>77</v>
      </c>
      <c r="B21" s="857">
        <f>SUMIF(' CLASIFICACION DE GASTOS 2025'!$A$18:$A$219,$A21,' CLASIFICACION DE GASTOS 2025'!$E$18:$E$219)</f>
        <v>438158000</v>
      </c>
      <c r="C21" s="1114" t="s">
        <v>401</v>
      </c>
      <c r="D21" s="622"/>
    </row>
    <row r="22" spans="1:4" ht="36.6" customHeight="1">
      <c r="A22" s="553" t="s">
        <v>78</v>
      </c>
      <c r="B22" s="857">
        <f>SUMIF(' CLASIFICACION DE GASTOS 2025'!$A$18:$A$219,$A22,' CLASIFICACION DE GASTOS 2025'!$E$18:$E$219)</f>
        <v>413264000</v>
      </c>
      <c r="C22" s="1114" t="s">
        <v>402</v>
      </c>
      <c r="D22" s="622"/>
    </row>
    <row r="23" spans="1:4" ht="67.2" customHeight="1">
      <c r="A23" s="553" t="s">
        <v>79</v>
      </c>
      <c r="B23" s="857">
        <f>SUMIF(' CLASIFICACION DE GASTOS 2025'!$A$18:$A$219,$A23,' CLASIFICACION DE GASTOS 2025'!$E$18:$E$219)</f>
        <v>47461000</v>
      </c>
      <c r="C23" s="643" t="s">
        <v>403</v>
      </c>
      <c r="D23" s="622"/>
    </row>
    <row r="24" spans="1:4" ht="27.75" customHeight="1">
      <c r="A24" s="447" t="s">
        <v>82</v>
      </c>
      <c r="B24" s="857">
        <f>SUMIF(' CLASIFICACION DE GASTOS 2025'!$A$18:$A$219,$A24,' CLASIFICACION DE GASTOS 2025'!$E$18:$E$219)</f>
        <v>487183000</v>
      </c>
      <c r="C24" s="1114" t="s">
        <v>404</v>
      </c>
      <c r="D24" s="1228" t="s">
        <v>398</v>
      </c>
    </row>
    <row r="25" spans="1:4" ht="30" customHeight="1">
      <c r="A25" s="447" t="s">
        <v>83</v>
      </c>
      <c r="B25" s="857">
        <f>SUMIF(' CLASIFICACION DE GASTOS 2025'!$A$18:$A$219,$A25,' CLASIFICACION DE GASTOS 2025'!$E$18:$E$219)</f>
        <v>26335000</v>
      </c>
      <c r="C25" s="643" t="s">
        <v>405</v>
      </c>
      <c r="D25" s="1230"/>
    </row>
    <row r="26" spans="1:4" ht="28.5" customHeight="1">
      <c r="A26" s="561" t="s">
        <v>84</v>
      </c>
      <c r="B26" s="857">
        <f>SUMIF(' CLASIFICACION DE GASTOS 2025'!$A$18:$A$219,$A26,' CLASIFICACION DE GASTOS 2025'!$E$18:$E$219)</f>
        <v>79001000</v>
      </c>
      <c r="C26" s="641" t="s">
        <v>406</v>
      </c>
      <c r="D26" s="1230"/>
    </row>
    <row r="27" spans="1:4" ht="31.5" customHeight="1">
      <c r="A27" s="447" t="s">
        <v>85</v>
      </c>
      <c r="B27" s="857">
        <f>SUMIF(' CLASIFICACION DE GASTOS 2025'!$A$18:$A$219,$A27,' CLASIFICACION DE GASTOS 2025'!$E$18:$E$219)</f>
        <v>263345000</v>
      </c>
      <c r="C27" s="643" t="s">
        <v>1451</v>
      </c>
      <c r="D27" s="1230"/>
    </row>
    <row r="28" spans="1:4" ht="31.2" customHeight="1">
      <c r="A28" s="447" t="s">
        <v>86</v>
      </c>
      <c r="B28" s="857">
        <f>SUMIF(' CLASIFICACION DE GASTOS 2025'!$A$18:$A$219,$A28,' CLASIFICACION DE GASTOS 2025'!$E$18:$E$219)</f>
        <v>26335000</v>
      </c>
      <c r="C28" s="643" t="s">
        <v>408</v>
      </c>
      <c r="D28" s="1230"/>
    </row>
    <row r="29" spans="1:4" ht="36" customHeight="1">
      <c r="A29" s="447" t="s">
        <v>425</v>
      </c>
      <c r="B29" s="857">
        <f>SUMIF(' CLASIFICACION DE GASTOS 2025'!$A$18:$A$219,$A29,' CLASIFICACION DE GASTOS 2025'!$E$18:$E$219)</f>
        <v>285460000</v>
      </c>
      <c r="C29" s="491" t="s">
        <v>1433</v>
      </c>
      <c r="D29" s="1230"/>
    </row>
    <row r="30" spans="1:4" ht="35.4" customHeight="1">
      <c r="A30" s="561" t="s">
        <v>89</v>
      </c>
      <c r="B30" s="857">
        <f>SUMIF(' CLASIFICACION DE GASTOS 2025'!$A$18:$A$219,$A30,' CLASIFICACION DE GASTOS 2025'!$E$18:$E$219)</f>
        <v>158007000</v>
      </c>
      <c r="C30" s="641" t="s">
        <v>409</v>
      </c>
      <c r="D30" s="1230"/>
    </row>
    <row r="31" spans="1:4" ht="67.95" customHeight="1">
      <c r="A31" s="561" t="s">
        <v>90</v>
      </c>
      <c r="B31" s="857">
        <f>SUMIF(' CLASIFICACION DE GASTOS 2025'!$A$18:$A$219,$A31,' CLASIFICACION DE GASTOS 2025'!$E$18:$E$219)</f>
        <v>79001000</v>
      </c>
      <c r="C31" s="641" t="s">
        <v>1390</v>
      </c>
      <c r="D31" s="1230"/>
    </row>
    <row r="32" spans="1:4" ht="64.8" hidden="1">
      <c r="A32" s="638" t="s">
        <v>337</v>
      </c>
      <c r="B32" s="884" t="e">
        <v>#REF!</v>
      </c>
      <c r="C32" s="639" t="s">
        <v>454</v>
      </c>
      <c r="D32" s="1089"/>
    </row>
    <row r="33" spans="1:4" ht="9" customHeight="1">
      <c r="A33" s="564"/>
      <c r="B33" s="885"/>
      <c r="C33" s="565"/>
      <c r="D33" s="1090"/>
    </row>
    <row r="34" spans="1:4" ht="15" customHeight="1">
      <c r="A34" s="567">
        <v>0</v>
      </c>
      <c r="B34" s="886">
        <f>SUM(B13:B31)</f>
        <v>7109665184</v>
      </c>
      <c r="C34" s="568" t="s">
        <v>410</v>
      </c>
      <c r="D34" s="1091"/>
    </row>
    <row r="35" spans="1:4" ht="9" customHeight="1">
      <c r="A35" s="570"/>
      <c r="B35" s="861"/>
      <c r="C35" s="571"/>
      <c r="D35" s="1092"/>
    </row>
    <row r="36" spans="1:4" ht="12" customHeight="1">
      <c r="A36" s="698" t="s">
        <v>51</v>
      </c>
      <c r="B36" s="887"/>
      <c r="C36" s="625"/>
      <c r="D36" s="1093"/>
    </row>
    <row r="37" spans="1:4" ht="68.400000000000006" customHeight="1">
      <c r="A37" s="468" t="s">
        <v>94</v>
      </c>
      <c r="B37" s="917">
        <f>SUMIF(' CLASIFICACION DE GASTOS 2025'!$A$18:$A$219,$A37,' CLASIFICACION DE GASTOS 2025'!$E$18:$E$219)</f>
        <v>127608000</v>
      </c>
      <c r="C37" s="1114" t="s">
        <v>977</v>
      </c>
      <c r="D37" s="1228" t="s">
        <v>398</v>
      </c>
    </row>
    <row r="38" spans="1:4" ht="66.599999999999994" customHeight="1" outlineLevel="1">
      <c r="A38" s="619" t="s">
        <v>95</v>
      </c>
      <c r="B38" s="917">
        <f>SUMIF(' CLASIFICACION DE GASTOS 2025'!$A$18:$A$219,$A38,' CLASIFICACION DE GASTOS 2025'!$E$18:$E$219)</f>
        <v>125000000</v>
      </c>
      <c r="C38" s="1121" t="s">
        <v>1392</v>
      </c>
      <c r="D38" s="1230"/>
    </row>
    <row r="39" spans="1:4" ht="30" hidden="1" customHeight="1" outlineLevel="1">
      <c r="A39" s="468" t="s">
        <v>97</v>
      </c>
      <c r="B39" s="917">
        <f>SUMIF(' CLASIFICACION DE GASTOS 2025'!$A$18:$A$219,$A39,' CLASIFICACION DE GASTOS 2025'!$E$18:$E$219)</f>
        <v>0</v>
      </c>
      <c r="C39" s="643" t="s">
        <v>664</v>
      </c>
      <c r="D39" s="1230"/>
    </row>
    <row r="40" spans="1:4" ht="12.75" hidden="1" customHeight="1" outlineLevel="1">
      <c r="A40" s="468" t="s">
        <v>99</v>
      </c>
      <c r="B40" s="917">
        <f>SUMIF(' CLASIFICACION DE GASTOS 2025'!$A$18:$A$219,$A40,' CLASIFICACION DE GASTOS 2025'!$E$18:$E$219)</f>
        <v>0</v>
      </c>
      <c r="C40" s="1114"/>
      <c r="D40" s="1230"/>
    </row>
    <row r="41" spans="1:4" ht="51" customHeight="1" outlineLevel="1">
      <c r="A41" s="468" t="s">
        <v>103</v>
      </c>
      <c r="B41" s="917">
        <f>SUMIF(' CLASIFICACION DE GASTOS 2025'!$A$18:$A$219,$A41,' CLASIFICACION DE GASTOS 2025'!$E$18:$E$219)</f>
        <v>5504000</v>
      </c>
      <c r="C41" s="643" t="s">
        <v>660</v>
      </c>
      <c r="D41" s="1229"/>
    </row>
    <row r="42" spans="1:4" s="12" customFormat="1" ht="51" customHeight="1" outlineLevel="1">
      <c r="A42" s="468" t="s">
        <v>105</v>
      </c>
      <c r="B42" s="917">
        <f>SUMIF(' CLASIFICACION DE GASTOS 2025'!$A$18:$A$219,$A42,' CLASIFICACION DE GASTOS 2025'!$E$18:$E$219)</f>
        <v>17244000</v>
      </c>
      <c r="C42" s="643" t="s">
        <v>979</v>
      </c>
      <c r="D42" s="1082" t="s">
        <v>398</v>
      </c>
    </row>
    <row r="43" spans="1:4" ht="42" hidden="1" customHeight="1" outlineLevel="1">
      <c r="A43" s="468" t="s">
        <v>107</v>
      </c>
      <c r="B43" s="917">
        <f>SUMIF(' CLASIFICACION DE GASTOS 2025'!$A$18:$A$219,$A43,' CLASIFICACION DE GASTOS 2025'!$E$18:$E$219)</f>
        <v>0</v>
      </c>
      <c r="C43" s="1114" t="s">
        <v>665</v>
      </c>
      <c r="D43" s="1052"/>
    </row>
    <row r="44" spans="1:4" ht="196.95" customHeight="1" outlineLevel="1">
      <c r="A44" s="468" t="s">
        <v>286</v>
      </c>
      <c r="B44" s="917">
        <f>SUMIF(' CLASIFICACION DE GASTOS 2025'!$A$18:$A$219,$A44,' CLASIFICACION DE GASTOS 2025'!$E$18:$E$219)</f>
        <v>55661000</v>
      </c>
      <c r="C44" s="1114" t="s">
        <v>1452</v>
      </c>
      <c r="D44" s="1052"/>
    </row>
    <row r="45" spans="1:4" ht="12.75" hidden="1" customHeight="1" outlineLevel="1">
      <c r="A45" s="619" t="s">
        <v>109</v>
      </c>
      <c r="B45" s="917">
        <f>SUMIF(' CLASIFICACION DE GASTOS 2025'!$A$18:$A$219,$A45,' CLASIFICACION DE GASTOS 2025'!$E$18:$E$219)</f>
        <v>0</v>
      </c>
      <c r="C45" s="1122"/>
      <c r="D45" s="1052"/>
    </row>
    <row r="46" spans="1:4" ht="24.75" hidden="1" customHeight="1" outlineLevel="1">
      <c r="A46" s="468" t="s">
        <v>113</v>
      </c>
      <c r="B46" s="917">
        <f>SUMIF(' CLASIFICACION DE GASTOS 2025'!$A$18:$A$219,$A46,' CLASIFICACION DE GASTOS 2025'!$E$18:$E$219)</f>
        <v>0</v>
      </c>
      <c r="C46" s="1114" t="s">
        <v>654</v>
      </c>
      <c r="D46" s="1052"/>
    </row>
    <row r="47" spans="1:4" ht="48.75" hidden="1" customHeight="1" outlineLevel="1">
      <c r="A47" s="691" t="s">
        <v>114</v>
      </c>
      <c r="B47" s="917">
        <f>SUMIF(' CLASIFICACION DE GASTOS 2025'!$A$18:$A$219,$A47,' CLASIFICACION DE GASTOS 2025'!$E$18:$E$219)</f>
        <v>0</v>
      </c>
      <c r="C47" s="1123" t="s">
        <v>786</v>
      </c>
      <c r="D47" s="1052"/>
    </row>
    <row r="48" spans="1:4" ht="65.400000000000006" customHeight="1" outlineLevel="1">
      <c r="A48" s="468" t="s">
        <v>115</v>
      </c>
      <c r="B48" s="917">
        <f>SUMIF(' CLASIFICACION DE GASTOS 2025'!$A$18:$A$219,$A48,' CLASIFICACION DE GASTOS 2025'!$E$18:$E$219)</f>
        <v>9000000</v>
      </c>
      <c r="C48" s="1114" t="s">
        <v>1453</v>
      </c>
      <c r="D48" s="1052"/>
    </row>
    <row r="49" spans="1:4" ht="92.25" customHeight="1" outlineLevel="1">
      <c r="A49" s="619" t="s">
        <v>116</v>
      </c>
      <c r="B49" s="917">
        <f>SUMIF(' CLASIFICACION DE GASTOS 2025'!$A$18:$A$219,$A49,' CLASIFICACION DE GASTOS 2025'!$E$18:$E$219)</f>
        <v>400000</v>
      </c>
      <c r="C49" s="1122" t="s">
        <v>1454</v>
      </c>
      <c r="D49" s="896"/>
    </row>
    <row r="50" spans="1:4" ht="49.5" hidden="1" customHeight="1" outlineLevel="1">
      <c r="A50" s="619" t="s">
        <v>118</v>
      </c>
      <c r="B50" s="917">
        <f>SUMIF(' CLASIFICACION DE GASTOS 2025'!$A$18:$A$219,$A50,' CLASIFICACION DE GASTOS 2025'!$E$18:$E$219)</f>
        <v>0</v>
      </c>
      <c r="C50" s="1122" t="s">
        <v>655</v>
      </c>
      <c r="D50" s="1052"/>
    </row>
    <row r="51" spans="1:4" ht="16.5" hidden="1" customHeight="1" outlineLevel="1">
      <c r="A51" s="468" t="s">
        <v>339</v>
      </c>
      <c r="B51" s="917">
        <f>SUMIF(' CLASIFICACION DE GASTOS 2025'!$A$18:$A$219,$A51,' CLASIFICACION DE GASTOS 2025'!$E$18:$E$219)</f>
        <v>0</v>
      </c>
      <c r="C51" s="1114"/>
      <c r="D51" s="1052"/>
    </row>
    <row r="52" spans="1:4" ht="113.25" hidden="1" customHeight="1" outlineLevel="1">
      <c r="A52" s="468" t="s">
        <v>479</v>
      </c>
      <c r="B52" s="917">
        <f>SUMIF(' CLASIFICACION DE GASTOS 2025'!$A$18:$A$219,$A52,' CLASIFICACION DE GASTOS 2025'!$E$18:$E$219)</f>
        <v>0</v>
      </c>
      <c r="C52" s="1114" t="s">
        <v>666</v>
      </c>
      <c r="D52" s="1052"/>
    </row>
    <row r="53" spans="1:4" ht="36" hidden="1" customHeight="1" outlineLevel="1">
      <c r="A53" s="468" t="s">
        <v>341</v>
      </c>
      <c r="B53" s="917">
        <f>SUMIF(' CLASIFICACION DE GASTOS 2025'!$A$18:$A$219,$A53,' CLASIFICACION DE GASTOS 2025'!$E$18:$E$219)</f>
        <v>0</v>
      </c>
      <c r="C53" s="1114" t="s">
        <v>671</v>
      </c>
      <c r="D53" s="1052"/>
    </row>
    <row r="54" spans="1:4" ht="12.75" hidden="1" customHeight="1" outlineLevel="1">
      <c r="A54" s="619">
        <v>0</v>
      </c>
      <c r="B54" s="917">
        <f>SUMIF(' CLASIFICACION DE GASTOS 2025'!$A$18:$A$219,$A54,' CLASIFICACION DE GASTOS 2025'!$E$18:$E$219)</f>
        <v>0</v>
      </c>
      <c r="C54" s="1122"/>
      <c r="D54" s="1052"/>
    </row>
    <row r="55" spans="1:4" ht="12.75" hidden="1" customHeight="1" outlineLevel="1">
      <c r="A55" s="691" t="s">
        <v>293</v>
      </c>
      <c r="B55" s="917">
        <f>SUMIF(' CLASIFICACION DE GASTOS 2025'!$A$18:$A$219,$A55,' CLASIFICACION DE GASTOS 2025'!$E$18:$E$219)</f>
        <v>0</v>
      </c>
      <c r="C55" s="1122"/>
      <c r="D55" s="1052"/>
    </row>
    <row r="56" spans="1:4" ht="186" hidden="1" customHeight="1" outlineLevel="1">
      <c r="A56" s="619" t="s">
        <v>121</v>
      </c>
      <c r="B56" s="917">
        <f>SUMIF(' CLASIFICACION DE GASTOS 2025'!$A$18:$A$219,$A56,' CLASIFICACION DE GASTOS 2025'!$E$18:$E$219)</f>
        <v>0</v>
      </c>
      <c r="C56" s="1114" t="s">
        <v>780</v>
      </c>
      <c r="D56" s="1052" t="s">
        <v>398</v>
      </c>
    </row>
    <row r="57" spans="1:4" ht="122.4" customHeight="1" outlineLevel="1">
      <c r="A57" s="691" t="s">
        <v>123</v>
      </c>
      <c r="B57" s="917">
        <f>SUMIF(' CLASIFICACION DE GASTOS 2025'!$A$18:$A$219,$A57,' CLASIFICACION DE GASTOS 2025'!$E$18:$E$219)</f>
        <v>71000000</v>
      </c>
      <c r="C57" s="1124" t="s">
        <v>1455</v>
      </c>
      <c r="D57" s="1228" t="s">
        <v>398</v>
      </c>
    </row>
    <row r="58" spans="1:4" ht="232.95" customHeight="1" outlineLevel="1">
      <c r="A58" s="468" t="s">
        <v>125</v>
      </c>
      <c r="B58" s="917">
        <f>SUMIF(' CLASIFICACION DE GASTOS 2025'!$A$18:$A$219,$A58,' CLASIFICACION DE GASTOS 2025'!$E$18:$E$219)</f>
        <v>48150000</v>
      </c>
      <c r="C58" s="1114" t="s">
        <v>1456</v>
      </c>
      <c r="D58" s="1229"/>
    </row>
    <row r="59" spans="1:4" ht="232.2" customHeight="1" outlineLevel="1">
      <c r="A59" s="468" t="s">
        <v>127</v>
      </c>
      <c r="B59" s="917">
        <f>SUMIF(' CLASIFICACION DE GASTOS 2025'!$A$18:$A$219,$A59,' CLASIFICACION DE GASTOS 2025'!$E$18:$E$219)</f>
        <v>151000000</v>
      </c>
      <c r="C59" s="1125" t="s">
        <v>1377</v>
      </c>
      <c r="D59" s="896" t="s">
        <v>398</v>
      </c>
    </row>
    <row r="60" spans="1:4" ht="16.5" hidden="1" customHeight="1" outlineLevel="1">
      <c r="A60" s="834" t="s">
        <v>127</v>
      </c>
      <c r="B60" s="917"/>
      <c r="C60" s="1122" t="s">
        <v>325</v>
      </c>
      <c r="D60" s="1052"/>
    </row>
    <row r="61" spans="1:4" ht="44.25" customHeight="1" outlineLevel="1">
      <c r="A61" s="468" t="s">
        <v>131</v>
      </c>
      <c r="B61" s="917">
        <f>SUMIF(' CLASIFICACION DE GASTOS 2025'!$A$18:$A$219,$A61,' CLASIFICACION DE GASTOS 2025'!$E$18:$E$219)</f>
        <v>5655000</v>
      </c>
      <c r="C61" s="1114" t="s">
        <v>1457</v>
      </c>
      <c r="D61" s="1228" t="s">
        <v>398</v>
      </c>
    </row>
    <row r="62" spans="1:4" ht="63.6" customHeight="1" outlineLevel="1">
      <c r="A62" s="468" t="s">
        <v>133</v>
      </c>
      <c r="B62" s="917">
        <f>SUMIF(' CLASIFICACION DE GASTOS 2025'!$A$18:$A$219,$A62,' CLASIFICACION DE GASTOS 2025'!$E$18:$E$219)</f>
        <v>753888816</v>
      </c>
      <c r="C62" s="1114" t="s">
        <v>1378</v>
      </c>
      <c r="D62" s="1230"/>
    </row>
    <row r="63" spans="1:4" ht="125.4" customHeight="1" outlineLevel="1">
      <c r="A63" s="468" t="s">
        <v>134</v>
      </c>
      <c r="B63" s="917">
        <f>SUMIF(' CLASIFICACION DE GASTOS 2025'!$A$18:$A$219,$A63,' CLASIFICACION DE GASTOS 2025'!$E$18:$E$219)</f>
        <v>5000000</v>
      </c>
      <c r="C63" s="1263" t="s">
        <v>1458</v>
      </c>
      <c r="D63" s="1230"/>
    </row>
    <row r="64" spans="1:4" ht="138.6" customHeight="1" outlineLevel="1">
      <c r="A64" s="468" t="s">
        <v>136</v>
      </c>
      <c r="B64" s="917">
        <f>SUMIF(' CLASIFICACION DE GASTOS 2025'!$A$18:$A$219,$A64,' CLASIFICACION DE GASTOS 2025'!$E$18:$E$219)</f>
        <v>8100000</v>
      </c>
      <c r="C64" s="1264"/>
      <c r="D64" s="1229"/>
    </row>
    <row r="65" spans="1:4" ht="156" customHeight="1" outlineLevel="1">
      <c r="A65" s="468" t="s">
        <v>138</v>
      </c>
      <c r="B65" s="917">
        <f>SUMIF(' CLASIFICACION DE GASTOS 2025'!$A$18:$A$219,$A65,' CLASIFICACION DE GASTOS 2025'!$E$18:$E$219)</f>
        <v>126007000</v>
      </c>
      <c r="C65" s="1122" t="s">
        <v>1465</v>
      </c>
      <c r="D65" s="1228" t="s">
        <v>398</v>
      </c>
    </row>
    <row r="66" spans="1:4" ht="67.95" customHeight="1" outlineLevel="1">
      <c r="A66" s="468" t="s">
        <v>142</v>
      </c>
      <c r="B66" s="917">
        <f>SUMIF(' CLASIFICACION DE GASTOS 2025'!$A$18:$A$219,$A66,' CLASIFICACION DE GASTOS 2025'!$E$18:$E$219)</f>
        <v>104375000</v>
      </c>
      <c r="C66" s="1114" t="s">
        <v>1403</v>
      </c>
      <c r="D66" s="1230"/>
    </row>
    <row r="67" spans="1:4" ht="12.75" hidden="1" customHeight="1" outlineLevel="1">
      <c r="A67" s="619" t="s">
        <v>144</v>
      </c>
      <c r="B67" s="917">
        <f>SUMIF(' CLASIFICACION DE GASTOS 2025'!$A$18:$A$219,$A67,' CLASIFICACION DE GASTOS 2025'!$E$18:$E$219)</f>
        <v>0</v>
      </c>
      <c r="C67" s="1122"/>
      <c r="D67" s="1230"/>
    </row>
    <row r="68" spans="1:4" ht="12.75" hidden="1" customHeight="1" outlineLevel="1">
      <c r="A68" s="468" t="s">
        <v>146</v>
      </c>
      <c r="B68" s="917">
        <f>SUMIF(' CLASIFICACION DE GASTOS 2025'!$A$18:$A$219,$A68,' CLASIFICACION DE GASTOS 2025'!$E$18:$E$219)</f>
        <v>0</v>
      </c>
      <c r="C68" s="1114"/>
      <c r="D68" s="1230"/>
    </row>
    <row r="69" spans="1:4" ht="12.75" hidden="1" customHeight="1" outlineLevel="1">
      <c r="A69" s="468" t="s">
        <v>150</v>
      </c>
      <c r="B69" s="917">
        <f>SUMIF(' CLASIFICACION DE GASTOS 2025'!$A$18:$A$219,$A69,' CLASIFICACION DE GASTOS 2025'!$E$18:$E$219)</f>
        <v>0</v>
      </c>
      <c r="C69" s="1114"/>
      <c r="D69" s="1230"/>
    </row>
    <row r="70" spans="1:4" ht="12.75" hidden="1" customHeight="1" outlineLevel="1">
      <c r="A70" s="468" t="s">
        <v>151</v>
      </c>
      <c r="B70" s="917">
        <f>SUMIF(' CLASIFICACION DE GASTOS 2025'!$A$18:$A$219,$A70,' CLASIFICACION DE GASTOS 2025'!$E$18:$E$219)</f>
        <v>0</v>
      </c>
      <c r="C70" s="1114"/>
      <c r="D70" s="1230"/>
    </row>
    <row r="71" spans="1:4" ht="12.75" hidden="1" customHeight="1" outlineLevel="1">
      <c r="A71" s="468" t="s">
        <v>344</v>
      </c>
      <c r="B71" s="917">
        <f>SUMIF(' CLASIFICACION DE GASTOS 2025'!$A$18:$A$219,$A71,' CLASIFICACION DE GASTOS 2025'!$E$18:$E$219)</f>
        <v>0</v>
      </c>
      <c r="C71" s="1114"/>
      <c r="D71" s="1230"/>
    </row>
    <row r="72" spans="1:4" ht="51.6" customHeight="1" outlineLevel="1">
      <c r="A72" s="468" t="s">
        <v>153</v>
      </c>
      <c r="B72" s="917">
        <f>SUMIF(' CLASIFICACION DE GASTOS 2025'!$A$18:$A$219,$A72,' CLASIFICACION DE GASTOS 2025'!$E$18:$E$219)</f>
        <v>116846000</v>
      </c>
      <c r="C72" s="1114" t="s">
        <v>657</v>
      </c>
      <c r="D72" s="1230"/>
    </row>
    <row r="73" spans="1:4" ht="16.2" hidden="1" customHeight="1" outlineLevel="1">
      <c r="A73" s="468" t="s">
        <v>154</v>
      </c>
      <c r="B73" s="917">
        <f>SUMIF(' CLASIFICACION DE GASTOS 2025'!$A$18:$A$219,$A73,' CLASIFICACION DE GASTOS 2025'!$E$18:$E$219)</f>
        <v>0</v>
      </c>
      <c r="C73" s="1114"/>
      <c r="D73" s="1230"/>
    </row>
    <row r="74" spans="1:4" ht="16.2" hidden="1" customHeight="1" outlineLevel="1">
      <c r="A74" s="468" t="s">
        <v>155</v>
      </c>
      <c r="B74" s="917">
        <f>SUMIF(' CLASIFICACION DE GASTOS 2025'!$A$18:$A$219,$A74,' CLASIFICACION DE GASTOS 2025'!$E$18:$E$219)</f>
        <v>0</v>
      </c>
      <c r="C74" s="1114"/>
      <c r="D74" s="1230"/>
    </row>
    <row r="75" spans="1:4" ht="54" customHeight="1" outlineLevel="1">
      <c r="A75" s="468" t="s">
        <v>156</v>
      </c>
      <c r="B75" s="917">
        <f>SUMIF(' CLASIFICACION DE GASTOS 2025'!$A$18:$A$219,$A75,' CLASIFICACION DE GASTOS 2025'!$E$18:$E$219)</f>
        <v>1000000</v>
      </c>
      <c r="C75" s="1114" t="s">
        <v>1379</v>
      </c>
      <c r="D75" s="1230"/>
    </row>
    <row r="76" spans="1:4" ht="16.2" hidden="1" customHeight="1" outlineLevel="1">
      <c r="A76" s="468" t="s">
        <v>157</v>
      </c>
      <c r="B76" s="917">
        <f>SUMIF(' CLASIFICACION DE GASTOS 2025'!$A$18:$A$219,$A76,' CLASIFICACION DE GASTOS 2025'!$E$18:$E$219)</f>
        <v>0</v>
      </c>
      <c r="C76" s="1114"/>
      <c r="D76" s="1230"/>
    </row>
    <row r="77" spans="1:4" ht="32.4" outlineLevel="1">
      <c r="A77" s="468" t="s">
        <v>347</v>
      </c>
      <c r="B77" s="917">
        <f>SUMIF(' CLASIFICACION DE GASTOS 2025'!$A$18:$A$219,$A77,' CLASIFICACION DE GASTOS 2025'!$E$18:$E$219)</f>
        <v>350000</v>
      </c>
      <c r="C77" s="1114" t="s">
        <v>1380</v>
      </c>
      <c r="D77" s="1230"/>
    </row>
    <row r="78" spans="1:4" ht="16.2" hidden="1" customHeight="1" outlineLevel="1">
      <c r="A78" s="619" t="s">
        <v>349</v>
      </c>
      <c r="B78" s="917">
        <f>SUMIF(' CLASIFICACION DE GASTOS 2025'!$A$18:$A$219,$A78,' CLASIFICACION DE GASTOS 2025'!$E$18:$E$219)</f>
        <v>0</v>
      </c>
      <c r="C78" s="1122"/>
      <c r="D78" s="1230"/>
    </row>
    <row r="79" spans="1:4" ht="48.6" hidden="1" customHeight="1" outlineLevel="1">
      <c r="A79" s="468" t="s">
        <v>160</v>
      </c>
      <c r="B79" s="917">
        <f>SUMIF(' CLASIFICACION DE GASTOS 2025'!$A$18:$A$219,$A79,' CLASIFICACION DE GASTOS 2025'!$E$18:$E$219)</f>
        <v>0</v>
      </c>
      <c r="C79" s="1114" t="s">
        <v>658</v>
      </c>
      <c r="D79" s="1230"/>
    </row>
    <row r="80" spans="1:4" ht="28.95" customHeight="1" outlineLevel="1">
      <c r="A80" s="468" t="s">
        <v>162</v>
      </c>
      <c r="B80" s="917">
        <f>SUMIF(' CLASIFICACION DE GASTOS 2025'!$A$18:$A$219,$A80,' CLASIFICACION DE GASTOS 2025'!$E$18:$E$219)</f>
        <v>90000</v>
      </c>
      <c r="C80" s="1114" t="s">
        <v>697</v>
      </c>
      <c r="D80" s="1229"/>
    </row>
    <row r="81" spans="1:8" ht="8.1" hidden="1" customHeight="1">
      <c r="A81" s="619"/>
      <c r="B81" s="888"/>
      <c r="C81" s="641" t="s">
        <v>325</v>
      </c>
      <c r="D81" s="1094"/>
    </row>
    <row r="82" spans="1:8" ht="7.5" hidden="1" customHeight="1" outlineLevel="1">
      <c r="A82" s="619"/>
      <c r="B82" s="888"/>
      <c r="C82" s="642"/>
      <c r="D82" s="1094"/>
    </row>
    <row r="83" spans="1:8" ht="9" customHeight="1" collapsed="1">
      <c r="A83" s="699"/>
      <c r="B83" s="864"/>
      <c r="C83" s="582"/>
      <c r="D83" s="1094"/>
    </row>
    <row r="84" spans="1:8" ht="15" customHeight="1">
      <c r="A84" s="583">
        <v>1</v>
      </c>
      <c r="B84" s="865">
        <f>SUM(B37:B80)</f>
        <v>1731878816</v>
      </c>
      <c r="C84" s="584" t="s">
        <v>410</v>
      </c>
      <c r="D84" s="1091"/>
      <c r="H84" s="24"/>
    </row>
    <row r="85" spans="1:8" ht="9" customHeight="1">
      <c r="A85" s="570"/>
      <c r="B85" s="861"/>
      <c r="C85" s="571"/>
      <c r="D85" s="1092"/>
    </row>
    <row r="86" spans="1:8" ht="12.75" customHeight="1">
      <c r="A86" s="1237" t="s">
        <v>21</v>
      </c>
      <c r="B86" s="1252"/>
      <c r="C86" s="1252"/>
      <c r="D86" s="1095"/>
    </row>
    <row r="87" spans="1:8" ht="68.400000000000006" customHeight="1">
      <c r="A87" s="467" t="s">
        <v>166</v>
      </c>
      <c r="B87" s="857">
        <f>SUMIF(' CLASIFICACION DE GASTOS 2025'!$A$18:$A$219,$A87,' CLASIFICACION DE GASTOS 2025'!$E$18:$E$219)</f>
        <v>140951728</v>
      </c>
      <c r="C87" s="643" t="s">
        <v>1381</v>
      </c>
      <c r="D87" s="1228" t="s">
        <v>398</v>
      </c>
    </row>
    <row r="88" spans="1:8" ht="70.95" customHeight="1">
      <c r="A88" s="467" t="s">
        <v>168</v>
      </c>
      <c r="B88" s="857">
        <f>SUMIF(' CLASIFICACION DE GASTOS 2025'!$A$18:$A$219,$A88,' CLASIFICACION DE GASTOS 2025'!$E$18:$E$219)</f>
        <v>9782790</v>
      </c>
      <c r="C88" s="643" t="s">
        <v>1251</v>
      </c>
      <c r="D88" s="1230"/>
    </row>
    <row r="89" spans="1:8" ht="46.2" customHeight="1">
      <c r="A89" s="467" t="s">
        <v>170</v>
      </c>
      <c r="B89" s="857">
        <f>SUMIF(' CLASIFICACION DE GASTOS 2025'!$A$18:$A$219,$A89,' CLASIFICACION DE GASTOS 2025'!$E$18:$E$219)</f>
        <v>62000</v>
      </c>
      <c r="C89" s="643" t="s">
        <v>1441</v>
      </c>
      <c r="D89" s="1229"/>
    </row>
    <row r="90" spans="1:8" ht="12.75" hidden="1" customHeight="1">
      <c r="A90" s="692" t="s">
        <v>172</v>
      </c>
      <c r="B90" s="857">
        <f>SUMIF(' CLASIFICACION DE GASTOS 2025'!$A$18:$A$219,$A90,' CLASIFICACION DE GASTOS 2025'!$E$18:$E$219)</f>
        <v>0</v>
      </c>
      <c r="C90" s="641"/>
      <c r="D90" s="1052"/>
    </row>
    <row r="91" spans="1:8" ht="54" hidden="1" customHeight="1" outlineLevel="1">
      <c r="A91" s="467" t="s">
        <v>300</v>
      </c>
      <c r="B91" s="857">
        <f>SUMIF(' CLASIFICACION DE GASTOS 2025'!$A$18:$A$219,$A91,' CLASIFICACION DE GASTOS 2025'!$E$18:$E$219)</f>
        <v>0</v>
      </c>
      <c r="C91" s="643" t="s">
        <v>698</v>
      </c>
      <c r="D91" s="1052"/>
    </row>
    <row r="92" spans="1:8" ht="31.5" hidden="1" customHeight="1" outlineLevel="1">
      <c r="A92" s="467" t="s">
        <v>174</v>
      </c>
      <c r="B92" s="857">
        <f>SUMIF(' CLASIFICACION DE GASTOS 2025'!$A$18:$A$219,$A92,' CLASIFICACION DE GASTOS 2025'!$E$18:$E$219)</f>
        <v>0</v>
      </c>
      <c r="C92" s="643" t="s">
        <v>430</v>
      </c>
      <c r="D92" s="1052"/>
    </row>
    <row r="93" spans="1:8" ht="12.75" hidden="1" customHeight="1" collapsed="1">
      <c r="A93" s="467" t="s">
        <v>176</v>
      </c>
      <c r="B93" s="857">
        <f>SUMIF(' CLASIFICACION DE GASTOS 2025'!$A$18:$A$219,$A93,' CLASIFICACION DE GASTOS 2025'!$E$18:$E$219)</f>
        <v>0</v>
      </c>
      <c r="C93" s="643"/>
      <c r="D93" s="1052"/>
    </row>
    <row r="94" spans="1:8" ht="48.6">
      <c r="A94" s="467" t="s">
        <v>178</v>
      </c>
      <c r="B94" s="857">
        <f>SUMIF(' CLASIFICACION DE GASTOS 2025'!$A$18:$A$219,$A94,' CLASIFICACION DE GASTOS 2025'!$E$18:$E$219)</f>
        <v>3259320</v>
      </c>
      <c r="C94" s="643" t="s">
        <v>1460</v>
      </c>
      <c r="D94" s="1228" t="s">
        <v>398</v>
      </c>
    </row>
    <row r="95" spans="1:8" ht="12.75" hidden="1" customHeight="1">
      <c r="A95" s="467" t="s">
        <v>180</v>
      </c>
      <c r="B95" s="857">
        <f>SUMIF(' CLASIFICACION DE GASTOS 2025'!$A$18:$A$219,$A95,' CLASIFICACION DE GASTOS 2025'!$E$18:$E$219)</f>
        <v>0</v>
      </c>
      <c r="C95" s="643"/>
      <c r="D95" s="1230"/>
    </row>
    <row r="96" spans="1:8" ht="25.5" hidden="1" customHeight="1">
      <c r="A96" s="467" t="s">
        <v>182</v>
      </c>
      <c r="B96" s="857">
        <f>SUMIF(' CLASIFICACION DE GASTOS 2025'!$A$18:$A$219,$A96,' CLASIFICACION DE GASTOS 2025'!$E$18:$E$219)</f>
        <v>0</v>
      </c>
      <c r="C96" s="643" t="s">
        <v>411</v>
      </c>
      <c r="D96" s="1230"/>
    </row>
    <row r="97" spans="1:4" ht="12.75" hidden="1" customHeight="1">
      <c r="A97" s="467" t="s">
        <v>184</v>
      </c>
      <c r="B97" s="857">
        <f>SUMIF(' CLASIFICACION DE GASTOS 2025'!$A$18:$A$219,$A97,' CLASIFICACION DE GASTOS 2025'!$E$18:$E$219)</f>
        <v>0</v>
      </c>
      <c r="C97" s="643"/>
      <c r="D97" s="1230"/>
    </row>
    <row r="98" spans="1:4" ht="12.75" hidden="1" customHeight="1">
      <c r="A98" s="467"/>
      <c r="B98" s="857">
        <f>SUMIF(' CLASIFICACION DE GASTOS 2025'!$A$18:$A$219,$A98,' CLASIFICACION DE GASTOS 2025'!$E$18:$E$219)</f>
        <v>0</v>
      </c>
      <c r="C98" s="643"/>
      <c r="D98" s="1230"/>
    </row>
    <row r="99" spans="1:4" ht="12.75" hidden="1" customHeight="1">
      <c r="A99" s="467" t="s">
        <v>187</v>
      </c>
      <c r="B99" s="857">
        <f>SUMIF(' CLASIFICACION DE GASTOS 2025'!$A$18:$A$219,$A99,' CLASIFICACION DE GASTOS 2025'!$E$18:$E$219)</f>
        <v>0</v>
      </c>
      <c r="C99" s="643"/>
      <c r="D99" s="1230"/>
    </row>
    <row r="100" spans="1:4" ht="85.95" customHeight="1">
      <c r="A100" s="467" t="s">
        <v>189</v>
      </c>
      <c r="B100" s="857">
        <f>SUMIF(' CLASIFICACION DE GASTOS 2025'!$A$18:$A$219,$A100,' CLASIFICACION DE GASTOS 2025'!$E$18:$E$219)</f>
        <v>15236220</v>
      </c>
      <c r="C100" s="643" t="s">
        <v>1382</v>
      </c>
      <c r="D100" s="1230"/>
    </row>
    <row r="101" spans="1:4" ht="31.95" customHeight="1">
      <c r="A101" s="467" t="s">
        <v>192</v>
      </c>
      <c r="B101" s="857">
        <f>SUMIF(' CLASIFICACION DE GASTOS 2025'!$A$18:$A$219,$A101,' CLASIFICACION DE GASTOS 2025'!$E$18:$E$219)</f>
        <v>3347760</v>
      </c>
      <c r="C101" s="643" t="s">
        <v>1383</v>
      </c>
      <c r="D101" s="1230"/>
    </row>
    <row r="102" spans="1:4" ht="53.4" customHeight="1">
      <c r="A102" s="467" t="s">
        <v>194</v>
      </c>
      <c r="B102" s="857">
        <f>SUMIF(' CLASIFICACION DE GASTOS 2025'!$A$18:$A$219,$A102,' CLASIFICACION DE GASTOS 2025'!$E$18:$E$219)</f>
        <v>52500</v>
      </c>
      <c r="C102" s="643" t="s">
        <v>412</v>
      </c>
      <c r="D102" s="1230"/>
    </row>
    <row r="103" spans="1:4" ht="32.4">
      <c r="A103" s="467" t="s">
        <v>195</v>
      </c>
      <c r="B103" s="857">
        <f>SUMIF(' CLASIFICACION DE GASTOS 2025'!$A$18:$A$219,$A103,' CLASIFICACION DE GASTOS 2025'!$E$18:$E$219)</f>
        <v>1082610</v>
      </c>
      <c r="C103" s="643" t="s">
        <v>413</v>
      </c>
      <c r="D103" s="1230"/>
    </row>
    <row r="104" spans="1:4" ht="67.2" customHeight="1">
      <c r="A104" s="467" t="s">
        <v>197</v>
      </c>
      <c r="B104" s="857">
        <f>SUMIF(' CLASIFICACION DE GASTOS 2025'!$A$18:$A$219,$A104,' CLASIFICACION DE GASTOS 2025'!$E$18:$E$219)</f>
        <v>32035615</v>
      </c>
      <c r="C104" s="643" t="s">
        <v>1478</v>
      </c>
      <c r="D104" s="1230"/>
    </row>
    <row r="105" spans="1:4" ht="36.6" customHeight="1">
      <c r="A105" s="467" t="s">
        <v>199</v>
      </c>
      <c r="B105" s="857">
        <f>SUMIF(' CLASIFICACION DE GASTOS 2025'!$A$18:$A$219,$A105,' CLASIFICACION DE GASTOS 2025'!$E$18:$E$219)</f>
        <v>119700</v>
      </c>
      <c r="C105" s="643" t="s">
        <v>1459</v>
      </c>
      <c r="D105" s="1230"/>
    </row>
    <row r="106" spans="1:4" ht="19.5" hidden="1" customHeight="1">
      <c r="A106" s="692" t="s">
        <v>201</v>
      </c>
      <c r="B106" s="857">
        <f>SUMIF(' CLASIFICACION DE GASTOS 2025'!$A$18:$A$219,$A106,' CLASIFICACION DE GASTOS 2025'!$E$18:$E$219)</f>
        <v>0</v>
      </c>
      <c r="C106" s="641" t="s">
        <v>468</v>
      </c>
      <c r="D106" s="1230"/>
    </row>
    <row r="107" spans="1:4" ht="8.25" hidden="1" customHeight="1">
      <c r="A107" s="467" t="s">
        <v>314</v>
      </c>
      <c r="B107" s="857">
        <f>SUMIF(' CLASIFICACION DE GASTOS 2025'!$A$18:$A$219,$A107,' CLASIFICACION DE GASTOS 2025'!$E$18:$E$219)</f>
        <v>0</v>
      </c>
      <c r="C107" s="643"/>
      <c r="D107" s="1230"/>
    </row>
    <row r="108" spans="1:4" ht="49.95" customHeight="1">
      <c r="A108" s="467" t="s">
        <v>203</v>
      </c>
      <c r="B108" s="857">
        <f>SUMIF(' CLASIFICACION DE GASTOS 2025'!$A$18:$A$219,$A108,' CLASIFICACION DE GASTOS 2025'!$E$18:$E$219)</f>
        <v>854400</v>
      </c>
      <c r="C108" s="643" t="s">
        <v>790</v>
      </c>
      <c r="D108" s="1229"/>
    </row>
    <row r="109" spans="1:4" ht="37.5" hidden="1" customHeight="1">
      <c r="A109" s="628">
        <v>0</v>
      </c>
      <c r="B109" s="860"/>
      <c r="C109" s="643"/>
      <c r="D109" s="1088"/>
    </row>
    <row r="110" spans="1:4" ht="8.1" hidden="1" customHeight="1">
      <c r="A110" s="628"/>
      <c r="B110" s="860"/>
      <c r="C110" s="643"/>
      <c r="D110" s="1088"/>
    </row>
    <row r="111" spans="1:4" ht="12.75" hidden="1" customHeight="1">
      <c r="A111" s="628"/>
      <c r="B111" s="860"/>
      <c r="C111" s="643"/>
      <c r="D111" s="1088"/>
    </row>
    <row r="112" spans="1:4" ht="8.1" hidden="1" customHeight="1">
      <c r="A112" s="628"/>
      <c r="B112" s="860"/>
      <c r="C112" s="643" t="s">
        <v>325</v>
      </c>
      <c r="D112" s="1088"/>
    </row>
    <row r="113" spans="1:4" ht="47.4" hidden="1" customHeight="1">
      <c r="A113" s="628"/>
      <c r="B113" s="1269"/>
      <c r="C113" s="643"/>
      <c r="D113" s="1088"/>
    </row>
    <row r="114" spans="1:4" ht="8.1" hidden="1" customHeight="1">
      <c r="A114" s="628"/>
      <c r="B114" s="1269"/>
      <c r="C114" s="643"/>
      <c r="D114" s="1088"/>
    </row>
    <row r="115" spans="1:4" ht="12.75" hidden="1" customHeight="1">
      <c r="A115" s="628"/>
      <c r="B115" s="1269"/>
      <c r="C115" s="643"/>
      <c r="D115" s="1088"/>
    </row>
    <row r="116" spans="1:4" ht="8.1" hidden="1" customHeight="1">
      <c r="A116" s="628"/>
      <c r="B116" s="1269"/>
      <c r="C116" s="643"/>
      <c r="D116" s="1088"/>
    </row>
    <row r="117" spans="1:4" ht="12.75" hidden="1" customHeight="1">
      <c r="A117" s="628"/>
      <c r="B117" s="1269"/>
      <c r="C117" s="643"/>
      <c r="D117" s="1088"/>
    </row>
    <row r="118" spans="1:4" ht="12.75" hidden="1" customHeight="1">
      <c r="A118" s="628"/>
      <c r="B118" s="1269"/>
      <c r="C118" s="643"/>
      <c r="D118" s="1088"/>
    </row>
    <row r="119" spans="1:4" hidden="1">
      <c r="A119" s="835"/>
      <c r="B119" s="1258"/>
      <c r="C119" s="643"/>
      <c r="D119" s="1094"/>
    </row>
    <row r="120" spans="1:4" ht="6" customHeight="1">
      <c r="A120" s="699"/>
      <c r="B120" s="864"/>
      <c r="C120" s="644"/>
      <c r="D120" s="1094"/>
    </row>
    <row r="121" spans="1:4" ht="15" customHeight="1">
      <c r="A121" s="583">
        <v>2</v>
      </c>
      <c r="B121" s="865">
        <f>SUM(B87:B119)</f>
        <v>206784643</v>
      </c>
      <c r="C121" s="584" t="s">
        <v>410</v>
      </c>
      <c r="D121" s="1091"/>
    </row>
    <row r="122" spans="1:4" hidden="1" outlineLevel="1">
      <c r="A122" s="588"/>
      <c r="B122" s="862"/>
      <c r="C122" s="589"/>
      <c r="D122" s="1096"/>
    </row>
    <row r="123" spans="1:4" ht="13.2" hidden="1" customHeight="1" outlineLevel="1">
      <c r="A123" s="1237" t="s">
        <v>646</v>
      </c>
      <c r="B123" s="1238"/>
      <c r="C123" s="1238"/>
      <c r="D123" s="1097"/>
    </row>
    <row r="124" spans="1:4" hidden="1" outlineLevel="1">
      <c r="A124" s="588"/>
      <c r="B124" s="862"/>
      <c r="C124" s="589"/>
      <c r="D124" s="1096"/>
    </row>
    <row r="125" spans="1:4" s="65" customFormat="1" ht="291.60000000000002" hidden="1" outlineLevel="1">
      <c r="A125" s="694" t="s">
        <v>648</v>
      </c>
      <c r="B125" s="863">
        <v>0</v>
      </c>
      <c r="C125" s="590" t="s">
        <v>782</v>
      </c>
      <c r="D125" s="591" t="s">
        <v>398</v>
      </c>
    </row>
    <row r="126" spans="1:4" ht="6" hidden="1" customHeight="1" outlineLevel="1">
      <c r="A126" s="699"/>
      <c r="B126" s="864"/>
      <c r="C126" s="592"/>
      <c r="D126" s="1094"/>
    </row>
    <row r="127" spans="1:4" ht="12.75" hidden="1" customHeight="1" outlineLevel="1">
      <c r="A127" s="588"/>
      <c r="B127" s="862"/>
      <c r="C127" s="589"/>
      <c r="D127" s="1098"/>
    </row>
    <row r="128" spans="1:4" hidden="1" outlineLevel="1">
      <c r="A128" s="588"/>
      <c r="B128" s="862"/>
      <c r="C128" s="589"/>
      <c r="D128" s="1096"/>
    </row>
    <row r="129" spans="1:8" hidden="1" outlineLevel="1">
      <c r="A129" s="588"/>
      <c r="B129" s="862"/>
      <c r="C129" s="589"/>
      <c r="D129" s="1096"/>
    </row>
    <row r="130" spans="1:8" hidden="1" outlineLevel="1">
      <c r="A130" s="588"/>
      <c r="B130" s="862"/>
      <c r="C130" s="589"/>
      <c r="D130" s="1096"/>
    </row>
    <row r="131" spans="1:8" hidden="1" outlineLevel="1">
      <c r="A131" s="588"/>
      <c r="B131" s="862"/>
      <c r="C131" s="589"/>
      <c r="D131" s="1096"/>
    </row>
    <row r="132" spans="1:8" hidden="1" outlineLevel="1">
      <c r="A132" s="588"/>
      <c r="B132" s="862"/>
      <c r="C132" s="589"/>
      <c r="D132" s="1096"/>
    </row>
    <row r="133" spans="1:8" hidden="1" outlineLevel="1">
      <c r="A133" s="588"/>
      <c r="B133" s="862"/>
      <c r="C133" s="589"/>
      <c r="D133" s="1096"/>
    </row>
    <row r="134" spans="1:8" hidden="1" outlineLevel="1">
      <c r="A134" s="588"/>
      <c r="B134" s="862"/>
      <c r="C134" s="589"/>
      <c r="D134" s="1096"/>
    </row>
    <row r="135" spans="1:8" hidden="1" outlineLevel="1">
      <c r="A135" s="588"/>
      <c r="B135" s="862"/>
      <c r="C135" s="589"/>
      <c r="D135" s="1096"/>
    </row>
    <row r="136" spans="1:8" hidden="1" outlineLevel="1">
      <c r="A136" s="588"/>
      <c r="B136" s="862"/>
      <c r="C136" s="589"/>
      <c r="D136" s="1096"/>
    </row>
    <row r="137" spans="1:8" hidden="1" outlineLevel="1">
      <c r="A137" s="588"/>
      <c r="B137" s="862"/>
      <c r="C137" s="589"/>
      <c r="D137" s="1096"/>
    </row>
    <row r="138" spans="1:8" hidden="1" outlineLevel="1">
      <c r="A138" s="588"/>
      <c r="B138" s="862"/>
      <c r="C138" s="589"/>
      <c r="D138" s="1096"/>
    </row>
    <row r="139" spans="1:8" hidden="1" outlineLevel="1">
      <c r="A139" s="588"/>
      <c r="B139" s="862"/>
      <c r="C139" s="589"/>
      <c r="D139" s="1096"/>
    </row>
    <row r="140" spans="1:8" ht="15" hidden="1" customHeight="1" outlineLevel="1">
      <c r="A140" s="583">
        <v>4</v>
      </c>
      <c r="B140" s="865">
        <f>+B125</f>
        <v>0</v>
      </c>
      <c r="C140" s="584" t="s">
        <v>410</v>
      </c>
      <c r="D140" s="1091"/>
    </row>
    <row r="141" spans="1:8" ht="8.25" customHeight="1" outlineLevel="1">
      <c r="A141" s="588"/>
      <c r="B141" s="862"/>
      <c r="C141" s="589"/>
      <c r="D141" s="1096"/>
    </row>
    <row r="142" spans="1:8" ht="13.2" customHeight="1" outlineLevel="1">
      <c r="A142" s="1237" t="s">
        <v>53</v>
      </c>
      <c r="B142" s="1238"/>
      <c r="C142" s="1238"/>
      <c r="D142" s="1097"/>
    </row>
    <row r="143" spans="1:8" s="65" customFormat="1" ht="129.6" hidden="1" outlineLevel="1">
      <c r="A143" s="694" t="s">
        <v>356</v>
      </c>
      <c r="B143" s="857">
        <f>SUMIF(' CLASIFICACION DE GASTOS 2025'!$A$18:$A$219,$A143,' CLASIFICACION DE GASTOS 2025'!$E$18:$E$219)</f>
        <v>0</v>
      </c>
      <c r="C143" s="590" t="s">
        <v>469</v>
      </c>
      <c r="D143" s="1099" t="s">
        <v>398</v>
      </c>
    </row>
    <row r="144" spans="1:8" s="65" customFormat="1" ht="116.4" customHeight="1" outlineLevel="1">
      <c r="A144" s="694" t="s">
        <v>206</v>
      </c>
      <c r="B144" s="857">
        <f>SUMIF(' CLASIFICACION DE GASTOS 2025'!$A$18:$A$219,$A144,' CLASIFICACION DE GASTOS 2025'!$E$18:$E$219)</f>
        <v>300000000</v>
      </c>
      <c r="C144" s="1127" t="s">
        <v>1473</v>
      </c>
      <c r="D144" s="1267" t="s">
        <v>398</v>
      </c>
      <c r="E144" s="1265"/>
      <c r="F144" s="1266"/>
      <c r="G144" s="1266"/>
      <c r="H144" s="1266"/>
    </row>
    <row r="145" spans="1:4" s="65" customFormat="1" ht="64.95" customHeight="1" outlineLevel="1">
      <c r="A145" s="694" t="s">
        <v>208</v>
      </c>
      <c r="B145" s="857">
        <f>SUMIF(' CLASIFICACION DE GASTOS 2025'!$A$18:$A$219,$A145,' CLASIFICACION DE GASTOS 2025'!$E$18:$E$219)</f>
        <v>44660000</v>
      </c>
      <c r="C145" s="1127" t="s">
        <v>1428</v>
      </c>
      <c r="D145" s="1267"/>
    </row>
    <row r="146" spans="1:4" s="65" customFormat="1" ht="70.5" hidden="1" customHeight="1" outlineLevel="1">
      <c r="A146" s="694" t="s">
        <v>210</v>
      </c>
      <c r="B146" s="857">
        <f>SUMIF(' CLASIFICACION DE GASTOS 2025'!$A$18:$A$219,$A146,' CLASIFICACION DE GASTOS 2025'!$E$18:$E$219)</f>
        <v>0</v>
      </c>
      <c r="C146" s="1113" t="s">
        <v>475</v>
      </c>
      <c r="D146" s="1267"/>
    </row>
    <row r="147" spans="1:4" s="65" customFormat="1" ht="61.5" customHeight="1" outlineLevel="1">
      <c r="A147" s="694" t="s">
        <v>212</v>
      </c>
      <c r="B147" s="857">
        <f>SUMIF(' CLASIFICACION DE GASTOS 2025'!$A$18:$A$219,$A147,' CLASIFICACION DE GASTOS 2025'!$E$18:$E$219)</f>
        <v>339137562.5</v>
      </c>
      <c r="C147" s="1126" t="s">
        <v>1429</v>
      </c>
      <c r="D147" s="1267"/>
    </row>
    <row r="148" spans="1:4" s="42" customFormat="1" ht="16.2" hidden="1" customHeight="1" outlineLevel="1">
      <c r="A148" s="694" t="s">
        <v>214</v>
      </c>
      <c r="B148" s="857">
        <f>SUMIF(' CLASIFICACION DE GASTOS 2025'!$A$18:$A$219,$A148,' CLASIFICACION DE GASTOS 2025'!$E$18:$E$219)</f>
        <v>0</v>
      </c>
      <c r="C148" s="645"/>
      <c r="D148" s="1267"/>
    </row>
    <row r="149" spans="1:4" s="65" customFormat="1" ht="16.2" hidden="1" customHeight="1" outlineLevel="1">
      <c r="A149" s="694" t="s">
        <v>216</v>
      </c>
      <c r="B149" s="857">
        <f>SUMIF(' CLASIFICACION DE GASTOS 2025'!$A$18:$A$219,$A149,' CLASIFICACION DE GASTOS 2025'!$E$18:$E$219)</f>
        <v>0</v>
      </c>
      <c r="C149" s="590"/>
      <c r="D149" s="1267"/>
    </row>
    <row r="150" spans="1:4" s="65" customFormat="1" ht="48.6" hidden="1" customHeight="1" outlineLevel="1">
      <c r="A150" s="694" t="s">
        <v>218</v>
      </c>
      <c r="B150" s="857">
        <f>SUMIF(' CLASIFICACION DE GASTOS 2025'!$A$18:$A$219,$A150,' CLASIFICACION DE GASTOS 2025'!$E$18:$E$219)</f>
        <v>0</v>
      </c>
      <c r="C150" s="590" t="s">
        <v>672</v>
      </c>
      <c r="D150" s="1267"/>
    </row>
    <row r="151" spans="1:4" s="65" customFormat="1" ht="37.200000000000003" customHeight="1" outlineLevel="1">
      <c r="A151" s="694" t="s">
        <v>352</v>
      </c>
      <c r="B151" s="857">
        <f>SUMIF(' CLASIFICACION DE GASTOS 2025'!$A$18:$A$219,$A151,' CLASIFICACION DE GASTOS 2025'!$E$18:$E$219)</f>
        <v>19339073</v>
      </c>
      <c r="C151" s="590" t="s">
        <v>1461</v>
      </c>
      <c r="D151" s="1268"/>
    </row>
    <row r="152" spans="1:4" s="65" customFormat="1" hidden="1" outlineLevel="1">
      <c r="A152" s="694" t="s">
        <v>227</v>
      </c>
      <c r="B152" s="863"/>
      <c r="C152" s="645"/>
      <c r="D152" s="1100"/>
    </row>
    <row r="153" spans="1:4" s="65" customFormat="1" hidden="1" outlineLevel="1">
      <c r="A153" s="836"/>
      <c r="B153" s="889"/>
      <c r="C153" s="646"/>
      <c r="D153" s="1100"/>
    </row>
    <row r="154" spans="1:4" s="65" customFormat="1" hidden="1" outlineLevel="1">
      <c r="A154" s="836"/>
      <c r="B154" s="889"/>
      <c r="C154" s="597"/>
      <c r="D154" s="1100"/>
    </row>
    <row r="155" spans="1:4" s="65" customFormat="1" hidden="1" outlineLevel="1">
      <c r="A155" s="836"/>
      <c r="B155" s="889"/>
      <c r="C155" s="597"/>
      <c r="D155" s="1100"/>
    </row>
    <row r="156" spans="1:4" s="65" customFormat="1" hidden="1" outlineLevel="1">
      <c r="A156" s="837"/>
      <c r="B156" s="890"/>
      <c r="C156" s="595"/>
      <c r="D156" s="1101"/>
    </row>
    <row r="157" spans="1:4" ht="6" customHeight="1" outlineLevel="1">
      <c r="A157" s="699"/>
      <c r="B157" s="864"/>
      <c r="C157" s="592"/>
      <c r="D157" s="1094"/>
    </row>
    <row r="158" spans="1:4" ht="15" customHeight="1" outlineLevel="1">
      <c r="A158" s="583">
        <v>5</v>
      </c>
      <c r="B158" s="865">
        <f>SUM(B143:B156)</f>
        <v>703136635.5</v>
      </c>
      <c r="C158" s="584" t="s">
        <v>410</v>
      </c>
      <c r="D158" s="1091"/>
    </row>
    <row r="159" spans="1:4" ht="6" customHeight="1">
      <c r="A159" s="570"/>
      <c r="B159" s="861"/>
      <c r="C159" s="571"/>
      <c r="D159" s="1092"/>
    </row>
    <row r="160" spans="1:4" ht="12.75" customHeight="1">
      <c r="A160" s="1234" t="s">
        <v>19</v>
      </c>
      <c r="B160" s="1235"/>
      <c r="C160" s="1235"/>
      <c r="D160" s="1097"/>
    </row>
    <row r="161" spans="1:4" ht="40.200000000000003" customHeight="1">
      <c r="A161" s="627" t="s">
        <v>302</v>
      </c>
      <c r="B161" s="857">
        <f>SUMIF(' CLASIFICACION DE GASTOS 2025'!$A$18:$A$219,$A161,' CLASIFICACION DE GASTOS 2025'!$E$18:$E$219)</f>
        <v>411894272</v>
      </c>
      <c r="C161" s="1114" t="s">
        <v>1404</v>
      </c>
      <c r="D161" s="1228" t="s">
        <v>398</v>
      </c>
    </row>
    <row r="162" spans="1:4" ht="45.75" hidden="1" customHeight="1">
      <c r="A162" s="627" t="s">
        <v>231</v>
      </c>
      <c r="B162" s="857">
        <f>SUMIF(' CLASIFICACION DE GASTOS 2025'!$A$18:$A$219,$A162,' CLASIFICACION DE GASTOS 2025'!$E$18:$E$219)</f>
        <v>0</v>
      </c>
      <c r="C162" s="647" t="s">
        <v>424</v>
      </c>
      <c r="D162" s="1230"/>
    </row>
    <row r="163" spans="1:4" ht="67.95" customHeight="1">
      <c r="A163" s="627" t="s">
        <v>294</v>
      </c>
      <c r="B163" s="857">
        <f>SUMIF(' CLASIFICACION DE GASTOS 2025'!$A$18:$A$219,$A163,' CLASIFICACION DE GASTOS 2025'!$E$18:$E$219)</f>
        <v>64825000</v>
      </c>
      <c r="C163" s="643" t="s">
        <v>1462</v>
      </c>
      <c r="D163" s="1230"/>
    </row>
    <row r="164" spans="1:4" ht="21.6" customHeight="1">
      <c r="A164" s="627" t="s">
        <v>235</v>
      </c>
      <c r="B164" s="857">
        <f>SUMIF(' CLASIFICACION DE GASTOS 2025'!$A$18:$A$219,$A164,' CLASIFICACION DE GASTOS 2025'!$E$18:$E$219)</f>
        <v>40000000</v>
      </c>
      <c r="C164" s="643" t="s">
        <v>1384</v>
      </c>
      <c r="D164" s="1229"/>
    </row>
    <row r="165" spans="1:4" ht="6" customHeight="1">
      <c r="A165" s="601"/>
      <c r="B165" s="885"/>
      <c r="C165" s="602"/>
      <c r="D165" s="1102"/>
    </row>
    <row r="166" spans="1:4" ht="15" customHeight="1">
      <c r="A166" s="567">
        <v>6</v>
      </c>
      <c r="B166" s="886">
        <f>SUM(B161:B164)</f>
        <v>516719272</v>
      </c>
      <c r="C166" s="568" t="s">
        <v>410</v>
      </c>
      <c r="D166" s="1091"/>
    </row>
    <row r="167" spans="1:4" ht="9" hidden="1" customHeight="1">
      <c r="A167" s="601"/>
      <c r="B167" s="885"/>
      <c r="C167" s="602"/>
      <c r="D167" s="1102"/>
    </row>
    <row r="168" spans="1:4" hidden="1">
      <c r="A168" s="1237" t="s">
        <v>54</v>
      </c>
      <c r="B168" s="1238"/>
      <c r="C168" s="1238"/>
      <c r="D168" s="1103"/>
    </row>
    <row r="169" spans="1:4" ht="21" hidden="1" customHeight="1" outlineLevel="1">
      <c r="A169" s="833" t="s">
        <v>744</v>
      </c>
      <c r="B169" s="858">
        <f>+'[2]CLASIFICACION PRESUPUESTARIA'!AS212</f>
        <v>0</v>
      </c>
      <c r="C169" s="590"/>
      <c r="D169" s="1102"/>
    </row>
    <row r="170" spans="1:4" ht="396" hidden="1" customHeight="1" outlineLevel="1">
      <c r="A170" s="1255">
        <v>0</v>
      </c>
      <c r="B170" s="1257">
        <v>0</v>
      </c>
      <c r="C170" s="1259" t="s">
        <v>719</v>
      </c>
      <c r="D170" s="1261" t="s">
        <v>398</v>
      </c>
    </row>
    <row r="171" spans="1:4" ht="71.400000000000006" hidden="1" customHeight="1" outlineLevel="1">
      <c r="A171" s="1256"/>
      <c r="B171" s="1258"/>
      <c r="C171" s="1260"/>
      <c r="D171" s="1262"/>
    </row>
    <row r="172" spans="1:4" ht="13.2" hidden="1" customHeight="1" outlineLevel="1">
      <c r="A172" s="564"/>
      <c r="B172" s="891"/>
      <c r="C172" s="637"/>
      <c r="D172" s="1102"/>
    </row>
    <row r="173" spans="1:4" ht="15" hidden="1" customHeight="1" outlineLevel="1">
      <c r="A173" s="567">
        <v>9</v>
      </c>
      <c r="B173" s="886">
        <f>SUM(B169:B170)</f>
        <v>0</v>
      </c>
      <c r="C173" s="568" t="s">
        <v>410</v>
      </c>
      <c r="D173" s="1104"/>
    </row>
    <row r="174" spans="1:4" ht="6" customHeight="1" outlineLevel="1">
      <c r="A174" s="844"/>
      <c r="B174" s="892"/>
      <c r="C174" s="845"/>
      <c r="D174" s="1105"/>
    </row>
    <row r="175" spans="1:4" ht="18" hidden="1" customHeight="1" thickBot="1">
      <c r="A175" s="842"/>
      <c r="B175" s="893">
        <f>+B166+B158+B121+B84+B34+B173+B140</f>
        <v>10268184550.5</v>
      </c>
      <c r="C175" s="843" t="s">
        <v>416</v>
      </c>
      <c r="D175" s="1106"/>
    </row>
    <row r="176" spans="1:4" ht="4.5" customHeight="1" thickBot="1">
      <c r="C176" s="12"/>
    </row>
    <row r="177" spans="1:4" ht="18" customHeight="1" collapsed="1" thickBot="1">
      <c r="A177" s="609"/>
      <c r="B177" s="869">
        <f>+B166+B158+B121+B84+B34+B173+B140</f>
        <v>10268184550.5</v>
      </c>
      <c r="C177" s="610" t="s">
        <v>421</v>
      </c>
      <c r="D177" s="611"/>
    </row>
    <row r="178" spans="1:4">
      <c r="B178" s="882" t="s">
        <v>325</v>
      </c>
    </row>
    <row r="179" spans="1:4">
      <c r="B179" s="882" t="s">
        <v>325</v>
      </c>
    </row>
  </sheetData>
  <mergeCells count="26">
    <mergeCell ref="E144:H144"/>
    <mergeCell ref="D87:D89"/>
    <mergeCell ref="D94:D108"/>
    <mergeCell ref="D144:D151"/>
    <mergeCell ref="A142:C142"/>
    <mergeCell ref="B113:B119"/>
    <mergeCell ref="A123:C123"/>
    <mergeCell ref="A2:D2"/>
    <mergeCell ref="A3:D3"/>
    <mergeCell ref="A4:D4"/>
    <mergeCell ref="A6:D6"/>
    <mergeCell ref="A12:C12"/>
    <mergeCell ref="D65:D80"/>
    <mergeCell ref="D24:D31"/>
    <mergeCell ref="D61:D64"/>
    <mergeCell ref="D57:D58"/>
    <mergeCell ref="A86:C86"/>
    <mergeCell ref="C63:C64"/>
    <mergeCell ref="D37:D41"/>
    <mergeCell ref="A160:C160"/>
    <mergeCell ref="D161:D164"/>
    <mergeCell ref="A170:A171"/>
    <mergeCell ref="B170:B171"/>
    <mergeCell ref="C170:C171"/>
    <mergeCell ref="D170:D171"/>
    <mergeCell ref="A168:C168"/>
  </mergeCells>
  <printOptions horizontalCentered="1"/>
  <pageMargins left="0.39370078740157483" right="0.39370078740157483" top="0.59055118110236227" bottom="0.59055118110236227" header="0.59055118110236227" footer="0.59055118110236227"/>
  <pageSetup scale="61" firstPageNumber="30" orientation="portrait" useFirstPageNumber="1" r:id="rId1"/>
  <headerFooter>
    <oddFooter>&amp;C&amp;P</oddFooter>
  </headerFooter>
  <rowBreaks count="3" manualBreakCount="3">
    <brk id="41" max="3" man="1"/>
    <brk id="60" max="3" man="1"/>
    <brk id="89" max="3" man="1"/>
  </rowBreaks>
  <ignoredErrors>
    <ignoredError sqref="B81" unlocked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7">
    <tabColor theme="9" tint="-0.499984740745262"/>
  </sheetPr>
  <dimension ref="A1:I155"/>
  <sheetViews>
    <sheetView showGridLines="0" workbookViewId="0">
      <selection activeCell="F11" sqref="F11"/>
    </sheetView>
  </sheetViews>
  <sheetFormatPr baseColWidth="10" defaultColWidth="11.44140625" defaultRowHeight="16.2" outlineLevelRow="1" outlineLevelCol="1"/>
  <cols>
    <col min="1" max="1" width="10.6640625" style="690" customWidth="1"/>
    <col min="2" max="2" width="17.109375" style="24" customWidth="1"/>
    <col min="3" max="3" width="60.6640625" style="3" customWidth="1"/>
    <col min="4" max="4" width="18.44140625" style="3" customWidth="1" outlineLevel="1"/>
    <col min="5" max="5" width="11.44140625" style="3" customWidth="1"/>
    <col min="6" max="16384" width="11.44140625" style="3"/>
  </cols>
  <sheetData>
    <row r="1" spans="1:4">
      <c r="B1" s="714"/>
    </row>
    <row r="2" spans="1:4">
      <c r="A2" s="1173" t="s">
        <v>0</v>
      </c>
      <c r="B2" s="1173"/>
      <c r="C2" s="1173"/>
      <c r="D2" s="1173"/>
    </row>
    <row r="3" spans="1:4">
      <c r="A3" s="1173" t="s">
        <v>1341</v>
      </c>
      <c r="B3" s="1173"/>
      <c r="C3" s="1173"/>
      <c r="D3" s="1173"/>
    </row>
    <row r="4" spans="1:4">
      <c r="A4" s="1173" t="s">
        <v>331</v>
      </c>
      <c r="B4" s="1173"/>
      <c r="C4" s="1173"/>
      <c r="D4" s="1173"/>
    </row>
    <row r="5" spans="1:4" ht="16.8" thickBot="1">
      <c r="A5" s="546"/>
      <c r="B5" s="846"/>
      <c r="C5" s="546"/>
      <c r="D5" s="547"/>
    </row>
    <row r="6" spans="1:4" ht="16.8" thickTop="1">
      <c r="A6" s="1239" t="s">
        <v>393</v>
      </c>
      <c r="B6" s="1239"/>
      <c r="C6" s="1239"/>
      <c r="D6" s="1239"/>
    </row>
    <row r="7" spans="1:4">
      <c r="A7" s="2"/>
      <c r="B7" s="713"/>
      <c r="C7" s="2"/>
      <c r="D7" s="75"/>
    </row>
    <row r="8" spans="1:4">
      <c r="A8" s="911" t="s">
        <v>432</v>
      </c>
      <c r="B8" s="714"/>
      <c r="C8" s="2"/>
      <c r="D8" s="2"/>
    </row>
    <row r="9" spans="1:4" ht="16.8" thickBot="1">
      <c r="A9" s="2"/>
      <c r="B9" s="714"/>
      <c r="C9" s="2"/>
      <c r="D9" s="2"/>
    </row>
    <row r="10" spans="1:4" ht="33" customHeight="1" thickBot="1">
      <c r="A10" s="548" t="s">
        <v>394</v>
      </c>
      <c r="B10" s="847" t="s">
        <v>395</v>
      </c>
      <c r="C10" s="549" t="s">
        <v>396</v>
      </c>
      <c r="D10" s="550" t="s">
        <v>397</v>
      </c>
    </row>
    <row r="11" spans="1:4" ht="9.9" customHeight="1">
      <c r="A11" s="406"/>
      <c r="B11" s="848"/>
      <c r="C11" s="551"/>
      <c r="D11" s="552"/>
    </row>
    <row r="12" spans="1:4" ht="18" customHeight="1">
      <c r="A12" s="1240" t="s">
        <v>50</v>
      </c>
      <c r="B12" s="1241"/>
      <c r="C12" s="1241"/>
      <c r="D12" s="615"/>
    </row>
    <row r="13" spans="1:4" ht="48.6">
      <c r="A13" s="553" t="s">
        <v>67</v>
      </c>
      <c r="B13" s="850">
        <f>SUMIF(' CLASIFICACION DE GASTOS 2025'!$A$18:$A$219,$A13,' CLASIFICACION DE GASTOS 2025'!$F$18:$F$219)</f>
        <v>193422000</v>
      </c>
      <c r="C13" s="554" t="s">
        <v>991</v>
      </c>
      <c r="D13" s="683" t="s">
        <v>398</v>
      </c>
    </row>
    <row r="14" spans="1:4" ht="64.8" hidden="1">
      <c r="A14" s="553" t="s">
        <v>68</v>
      </c>
      <c r="B14" s="850">
        <f>SUMIF(' CLASIFICACION DE GASTOS 2025'!$A$18:$A$219,$A14,' CLASIFICACION DE GASTOS 2025'!$F$18:$F$219)</f>
        <v>0</v>
      </c>
      <c r="C14" s="594" t="s">
        <v>791</v>
      </c>
      <c r="D14" s="555"/>
    </row>
    <row r="15" spans="1:4" hidden="1">
      <c r="A15" s="553" t="s">
        <v>333</v>
      </c>
      <c r="B15" s="850">
        <f>SUMIF(' CLASIFICACION DE GASTOS 2025'!$A$18:$A$219,$A15,' CLASIFICACION DE GASTOS 2025'!$F$18:$F$219)</f>
        <v>0</v>
      </c>
      <c r="C15" s="114"/>
      <c r="D15" s="555"/>
    </row>
    <row r="16" spans="1:4" ht="48.6" customHeight="1">
      <c r="A16" s="553" t="s">
        <v>71</v>
      </c>
      <c r="B16" s="850">
        <f>SUMIF(' CLASIFICACION DE GASTOS 2025'!$A$18:$A$219,$A16,' CLASIFICACION DE GASTOS 2025'!$F$18:$F$219)</f>
        <v>1728000</v>
      </c>
      <c r="C16" s="491" t="s">
        <v>992</v>
      </c>
      <c r="D16" s="556"/>
    </row>
    <row r="17" spans="1:4" ht="64.8" hidden="1">
      <c r="A17" s="553" t="s">
        <v>477</v>
      </c>
      <c r="B17" s="850">
        <f>SUMIF(' CLASIFICACION DE GASTOS 2025'!$A$18:$A$219,$A17,' CLASIFICACION DE GASTOS 2025'!$F$18:$F$219)</f>
        <v>0</v>
      </c>
      <c r="C17" s="491" t="s">
        <v>652</v>
      </c>
      <c r="D17" s="556"/>
    </row>
    <row r="18" spans="1:4" hidden="1">
      <c r="A18" s="557" t="s">
        <v>72</v>
      </c>
      <c r="B18" s="850">
        <f>SUMIF(' CLASIFICACION DE GASTOS 2025'!$A$18:$A$219,$A18,' CLASIFICACION DE GASTOS 2025'!$F$18:$F$219)</f>
        <v>0</v>
      </c>
      <c r="C18" s="491"/>
      <c r="D18" s="555"/>
    </row>
    <row r="19" spans="1:4" ht="49.5" customHeight="1">
      <c r="A19" s="553" t="s">
        <v>75</v>
      </c>
      <c r="B19" s="850">
        <f>SUMIF(' CLASIFICACION DE GASTOS 2025'!$A$18:$A$219,$A19,' CLASIFICACION DE GASTOS 2025'!$F$18:$F$219)</f>
        <v>44201000</v>
      </c>
      <c r="C19" s="491" t="s">
        <v>399</v>
      </c>
      <c r="D19" s="555"/>
    </row>
    <row r="20" spans="1:4" ht="32.4">
      <c r="A20" s="553" t="s">
        <v>76</v>
      </c>
      <c r="B20" s="850">
        <f>SUMIF(' CLASIFICACION DE GASTOS 2025'!$A$18:$A$219,$A20,' CLASIFICACION DE GASTOS 2025'!$F$18:$F$219)</f>
        <v>38279000</v>
      </c>
      <c r="C20" s="114" t="s">
        <v>400</v>
      </c>
      <c r="D20" s="555"/>
    </row>
    <row r="21" spans="1:4" ht="31.5" customHeight="1">
      <c r="A21" s="553" t="s">
        <v>77</v>
      </c>
      <c r="B21" s="850">
        <f>SUMIF(' CLASIFICACION DE GASTOS 2025'!$A$18:$A$219,$A21,' CLASIFICACION DE GASTOS 2025'!$F$18:$F$219)</f>
        <v>26008000</v>
      </c>
      <c r="C21" s="114" t="s">
        <v>401</v>
      </c>
      <c r="D21" s="555"/>
    </row>
    <row r="22" spans="1:4" ht="32.4">
      <c r="A22" s="553" t="s">
        <v>78</v>
      </c>
      <c r="B22" s="850">
        <f>SUMIF(' CLASIFICACION DE GASTOS 2025'!$A$18:$A$219,$A22,' CLASIFICACION DE GASTOS 2025'!$F$18:$F$219)</f>
        <v>24359000</v>
      </c>
      <c r="C22" s="114" t="s">
        <v>402</v>
      </c>
      <c r="D22" s="555"/>
    </row>
    <row r="23" spans="1:4" ht="48.6">
      <c r="A23" s="553" t="s">
        <v>79</v>
      </c>
      <c r="B23" s="850">
        <f>SUMIF(' CLASIFICACION DE GASTOS 2025'!$A$18:$A$219,$A23,' CLASIFICACION DE GASTOS 2025'!$F$18:$F$219)</f>
        <v>10461000</v>
      </c>
      <c r="C23" s="491" t="s">
        <v>1385</v>
      </c>
      <c r="D23" s="555"/>
    </row>
    <row r="24" spans="1:4" ht="29.25" customHeight="1">
      <c r="A24" s="447" t="s">
        <v>82</v>
      </c>
      <c r="B24" s="850">
        <f>SUMIF(' CLASIFICACION DE GASTOS 2025'!$A$18:$A$219,$A24,' CLASIFICACION DE GASTOS 2025'!$F$18:$F$219)</f>
        <v>28902000</v>
      </c>
      <c r="C24" s="114" t="s">
        <v>404</v>
      </c>
      <c r="D24" s="616"/>
    </row>
    <row r="25" spans="1:4" ht="32.4">
      <c r="A25" s="447" t="s">
        <v>83</v>
      </c>
      <c r="B25" s="850">
        <f>SUMIF(' CLASIFICACION DE GASTOS 2025'!$A$18:$A$219,$A25,' CLASIFICACION DE GASTOS 2025'!$F$18:$F$219)</f>
        <v>1562000</v>
      </c>
      <c r="C25" s="559" t="s">
        <v>405</v>
      </c>
      <c r="D25" s="617"/>
    </row>
    <row r="26" spans="1:4" ht="32.4">
      <c r="A26" s="447" t="s">
        <v>84</v>
      </c>
      <c r="B26" s="850">
        <f>SUMIF(' CLASIFICACION DE GASTOS 2025'!$A$18:$A$219,$A26,' CLASIFICACION DE GASTOS 2025'!$F$18:$F$219)</f>
        <v>4687000</v>
      </c>
      <c r="C26" s="491" t="s">
        <v>406</v>
      </c>
      <c r="D26" s="616"/>
    </row>
    <row r="27" spans="1:4" ht="32.4">
      <c r="A27" s="447" t="s">
        <v>85</v>
      </c>
      <c r="B27" s="850">
        <f>SUMIF(' CLASIFICACION DE GASTOS 2025'!$A$18:$A$219,$A27,' CLASIFICACION DE GASTOS 2025'!$F$18:$F$219)</f>
        <v>15622000</v>
      </c>
      <c r="C27" s="491" t="s">
        <v>407</v>
      </c>
      <c r="D27" s="616"/>
    </row>
    <row r="28" spans="1:4" ht="32.4">
      <c r="A28" s="447" t="s">
        <v>86</v>
      </c>
      <c r="B28" s="850">
        <f>SUMIF(' CLASIFICACION DE GASTOS 2025'!$A$18:$A$219,$A28,' CLASIFICACION DE GASTOS 2025'!$F$18:$F$219)</f>
        <v>1562000</v>
      </c>
      <c r="C28" s="491" t="s">
        <v>408</v>
      </c>
      <c r="D28" s="563"/>
    </row>
    <row r="29" spans="1:4" ht="48.6">
      <c r="A29" s="447" t="s">
        <v>425</v>
      </c>
      <c r="B29" s="850">
        <f>SUMIF(' CLASIFICACION DE GASTOS 2025'!$A$18:$A$219,$A29,' CLASIFICACION DE GASTOS 2025'!$F$18:$F$219)</f>
        <v>16933000</v>
      </c>
      <c r="C29" s="491" t="s">
        <v>1433</v>
      </c>
      <c r="D29" s="1231" t="s">
        <v>398</v>
      </c>
    </row>
    <row r="30" spans="1:4" ht="30.9" customHeight="1">
      <c r="A30" s="447" t="s">
        <v>89</v>
      </c>
      <c r="B30" s="850">
        <f>SUMIF(' CLASIFICACION DE GASTOS 2025'!$A$18:$A$219,$A30,' CLASIFICACION DE GASTOS 2025'!$F$18:$F$219)</f>
        <v>9373000</v>
      </c>
      <c r="C30" s="491" t="s">
        <v>409</v>
      </c>
      <c r="D30" s="1232"/>
    </row>
    <row r="31" spans="1:4" ht="64.8">
      <c r="A31" s="561" t="s">
        <v>90</v>
      </c>
      <c r="B31" s="850">
        <f>SUMIF(' CLASIFICACION DE GASTOS 2025'!$A$18:$A$219,$A31,' CLASIFICACION DE GASTOS 2025'!$F$18:$F$219)</f>
        <v>4687000</v>
      </c>
      <c r="C31" s="559" t="s">
        <v>714</v>
      </c>
      <c r="D31" s="1233"/>
    </row>
    <row r="32" spans="1:4" ht="49.5" hidden="1" customHeight="1">
      <c r="A32" s="451" t="s">
        <v>337</v>
      </c>
      <c r="B32" s="850" t="e">
        <v>#REF!</v>
      </c>
      <c r="C32" s="491" t="s">
        <v>438</v>
      </c>
      <c r="D32" s="563"/>
    </row>
    <row r="33" spans="1:9" ht="9.9" customHeight="1">
      <c r="A33" s="564"/>
      <c r="B33" s="851"/>
      <c r="C33" s="565"/>
      <c r="D33" s="566"/>
    </row>
    <row r="34" spans="1:9" ht="18" customHeight="1">
      <c r="A34" s="567">
        <v>0</v>
      </c>
      <c r="B34" s="852">
        <f>SUM(B13:B31)</f>
        <v>421786000</v>
      </c>
      <c r="C34" s="568" t="s">
        <v>410</v>
      </c>
      <c r="D34" s="569"/>
    </row>
    <row r="35" spans="1:9" ht="9.9" customHeight="1">
      <c r="A35" s="570"/>
      <c r="B35" s="853"/>
      <c r="C35" s="571"/>
      <c r="D35" s="572"/>
    </row>
    <row r="36" spans="1:9" ht="18" customHeight="1">
      <c r="A36" s="698" t="s">
        <v>51</v>
      </c>
      <c r="B36" s="871"/>
      <c r="C36" s="618"/>
      <c r="D36" s="626"/>
    </row>
    <row r="37" spans="1:9" ht="88.95" customHeight="1">
      <c r="A37" s="468" t="s">
        <v>94</v>
      </c>
      <c r="B37" s="850">
        <f>SUMIF(' CLASIFICACION DE GASTOS 2025'!$A$18:$A$219,$A37,' CLASIFICACION DE GASTOS 2025'!$F$18:$F$219)</f>
        <v>36270000</v>
      </c>
      <c r="C37" s="114" t="s">
        <v>977</v>
      </c>
      <c r="D37" s="578" t="s">
        <v>398</v>
      </c>
    </row>
    <row r="38" spans="1:9" ht="12.75" hidden="1" customHeight="1">
      <c r="A38" s="619" t="s">
        <v>95</v>
      </c>
      <c r="B38" s="850">
        <f>SUMIF(' CLASIFICACION DE GASTOS 2025'!$A$18:$A$219,$A38,' CLASIFICACION DE GASTOS 2025'!$F$18:$F$219)</f>
        <v>0</v>
      </c>
      <c r="C38" s="559"/>
      <c r="D38" s="558"/>
    </row>
    <row r="39" spans="1:9" ht="12.75" hidden="1" customHeight="1">
      <c r="A39" s="619" t="s">
        <v>97</v>
      </c>
      <c r="B39" s="850">
        <f>SUMIF(' CLASIFICACION DE GASTOS 2025'!$A$18:$A$219,$A39,' CLASIFICACION DE GASTOS 2025'!$F$18:$F$219)</f>
        <v>0</v>
      </c>
      <c r="C39" s="491"/>
      <c r="D39" s="558"/>
    </row>
    <row r="40" spans="1:9" ht="51" hidden="1" customHeight="1">
      <c r="A40" s="619" t="s">
        <v>99</v>
      </c>
      <c r="B40" s="850">
        <f>SUMIF(' CLASIFICACION DE GASTOS 2025'!$A$18:$A$219,$A40,' CLASIFICACION DE GASTOS 2025'!$F$18:$F$219)</f>
        <v>0</v>
      </c>
      <c r="C40" s="491" t="s">
        <v>667</v>
      </c>
      <c r="D40" s="558"/>
    </row>
    <row r="41" spans="1:9" ht="58.95" customHeight="1">
      <c r="A41" s="619" t="s">
        <v>103</v>
      </c>
      <c r="B41" s="850">
        <f>SUMIF(' CLASIFICACION DE GASTOS 2025'!$A$18:$A$219,$A41,' CLASIFICACION DE GASTOS 2025'!$F$18:$F$219)</f>
        <v>1564000</v>
      </c>
      <c r="C41" s="491" t="s">
        <v>660</v>
      </c>
      <c r="D41" s="558"/>
    </row>
    <row r="42" spans="1:9" ht="58.95" customHeight="1">
      <c r="A42" s="468" t="s">
        <v>105</v>
      </c>
      <c r="B42" s="850">
        <f>SUMIF(' CLASIFICACION DE GASTOS 2025'!$A$18:$A$219,$A42,' CLASIFICACION DE GASTOS 2025'!$F$18:$F$219)</f>
        <v>4904000</v>
      </c>
      <c r="C42" s="491" t="s">
        <v>979</v>
      </c>
      <c r="D42" s="558"/>
    </row>
    <row r="43" spans="1:9" ht="16.5" hidden="1" customHeight="1">
      <c r="A43" s="619" t="s">
        <v>107</v>
      </c>
      <c r="B43" s="850">
        <f>SUMIF(' CLASIFICACION DE GASTOS 2025'!$A$18:$A$219,$A43,' CLASIFICACION DE GASTOS 2025'!$F$18:$F$219)</f>
        <v>0</v>
      </c>
      <c r="C43" s="559"/>
      <c r="D43" s="558"/>
    </row>
    <row r="44" spans="1:9" ht="69" customHeight="1">
      <c r="A44" s="619" t="s">
        <v>286</v>
      </c>
      <c r="B44" s="850">
        <f>SUMIF(' CLASIFICACION DE GASTOS 2025'!$A$18:$A$219,$A44,' CLASIFICACION DE GASTOS 2025'!$F$18:$F$219)</f>
        <v>3846000</v>
      </c>
      <c r="C44" s="491" t="s">
        <v>1396</v>
      </c>
      <c r="D44" s="558"/>
    </row>
    <row r="45" spans="1:9" ht="12.75" hidden="1" customHeight="1">
      <c r="A45" s="619" t="s">
        <v>109</v>
      </c>
      <c r="B45" s="850">
        <f>SUMIF(' CLASIFICACION DE GASTOS 2025'!$A$18:$A$219,$A45,' CLASIFICACION DE GASTOS 2025'!$F$18:$F$219)</f>
        <v>0</v>
      </c>
      <c r="C45" s="491"/>
      <c r="D45" s="558"/>
    </row>
    <row r="46" spans="1:9" ht="12.75" hidden="1" customHeight="1">
      <c r="A46" s="619" t="s">
        <v>113</v>
      </c>
      <c r="B46" s="850">
        <f>SUMIF(' CLASIFICACION DE GASTOS 2025'!$A$18:$A$219,$A46,' CLASIFICACION DE GASTOS 2025'!$F$18:$F$219)</f>
        <v>0</v>
      </c>
      <c r="C46" s="491"/>
      <c r="D46" s="558"/>
    </row>
    <row r="47" spans="1:9" ht="137.4" customHeight="1">
      <c r="A47" s="619" t="s">
        <v>114</v>
      </c>
      <c r="B47" s="850">
        <f>SUMIF(' CLASIFICACION DE GASTOS 2025'!$A$18:$A$219,$A47,' CLASIFICACION DE GASTOS 2025'!$F$18:$F$219)</f>
        <v>40000000</v>
      </c>
      <c r="C47" s="1126" t="s">
        <v>1463</v>
      </c>
      <c r="D47" s="560"/>
    </row>
    <row r="48" spans="1:9" ht="83.4" customHeight="1">
      <c r="A48" s="619" t="s">
        <v>115</v>
      </c>
      <c r="B48" s="850">
        <f>SUMIF(' CLASIFICACION DE GASTOS 2025'!$A$18:$A$219,$A48,' CLASIFICACION DE GASTOS 2025'!$F$18:$F$219)</f>
        <v>3500000</v>
      </c>
      <c r="C48" s="1128" t="s">
        <v>1474</v>
      </c>
      <c r="D48" s="1130" t="s">
        <v>398</v>
      </c>
      <c r="E48" s="1270"/>
      <c r="F48" s="1271"/>
      <c r="G48" s="1271"/>
      <c r="H48" s="1271"/>
      <c r="I48" s="1271"/>
    </row>
    <row r="49" spans="1:4" ht="12.75" hidden="1" customHeight="1">
      <c r="A49" s="619" t="s">
        <v>116</v>
      </c>
      <c r="B49" s="850">
        <f>SUMIF(' CLASIFICACION DE GASTOS 2025'!$A$18:$A$219,$A49,' CLASIFICACION DE GASTOS 2025'!$F$18:$F$219)</f>
        <v>0</v>
      </c>
      <c r="C49" s="491"/>
      <c r="D49" s="558"/>
    </row>
    <row r="50" spans="1:4" ht="12.75" hidden="1" customHeight="1">
      <c r="A50" s="619" t="s">
        <v>118</v>
      </c>
      <c r="B50" s="850">
        <f>SUMIF(' CLASIFICACION DE GASTOS 2025'!$A$18:$A$219,$A50,' CLASIFICACION DE GASTOS 2025'!$F$18:$F$219)</f>
        <v>0</v>
      </c>
      <c r="C50" s="491"/>
      <c r="D50" s="558"/>
    </row>
    <row r="51" spans="1:4" ht="103.2" customHeight="1">
      <c r="A51" s="619" t="s">
        <v>339</v>
      </c>
      <c r="B51" s="850">
        <f>SUMIF(' CLASIFICACION DE GASTOS 2025'!$A$18:$A$219,$A51,' CLASIFICACION DE GASTOS 2025'!$F$18:$F$219)</f>
        <v>300000</v>
      </c>
      <c r="C51" s="491" t="s">
        <v>1386</v>
      </c>
      <c r="D51" s="558"/>
    </row>
    <row r="52" spans="1:4" ht="12.75" hidden="1" customHeight="1">
      <c r="A52" s="619" t="s">
        <v>479</v>
      </c>
      <c r="B52" s="850">
        <f>SUMIF(' CLASIFICACION DE GASTOS 2025'!$A$18:$A$219,$A52,' CLASIFICACION DE GASTOS 2025'!$F$18:$F$219)</f>
        <v>0</v>
      </c>
      <c r="C52" s="559"/>
      <c r="D52" s="558"/>
    </row>
    <row r="53" spans="1:4" ht="12.75" hidden="1" customHeight="1">
      <c r="A53" s="619" t="s">
        <v>341</v>
      </c>
      <c r="B53" s="850">
        <f>SUMIF(' CLASIFICACION DE GASTOS 2025'!$A$18:$A$219,$A53,' CLASIFICACION DE GASTOS 2025'!$F$18:$F$219)</f>
        <v>0</v>
      </c>
      <c r="C53" s="491"/>
      <c r="D53" s="558"/>
    </row>
    <row r="54" spans="1:4" ht="12.75" hidden="1" customHeight="1">
      <c r="A54" s="619">
        <v>0</v>
      </c>
      <c r="B54" s="850">
        <f>SUMIF(' CLASIFICACION DE GASTOS 2025'!$A$18:$A$219,$A54,' CLASIFICACION DE GASTOS 2025'!$F$18:$F$219)</f>
        <v>0</v>
      </c>
      <c r="C54" s="491"/>
      <c r="D54" s="558"/>
    </row>
    <row r="55" spans="1:4" ht="12.75" hidden="1" customHeight="1">
      <c r="A55" s="619" t="s">
        <v>293</v>
      </c>
      <c r="B55" s="850">
        <f>SUMIF(' CLASIFICACION DE GASTOS 2025'!$A$18:$A$219,$A55,' CLASIFICACION DE GASTOS 2025'!$F$18:$F$219)</f>
        <v>0</v>
      </c>
      <c r="C55" s="491"/>
      <c r="D55" s="558"/>
    </row>
    <row r="56" spans="1:4" ht="12.75" hidden="1" customHeight="1">
      <c r="A56" s="619" t="s">
        <v>121</v>
      </c>
      <c r="B56" s="850">
        <f>SUMIF(' CLASIFICACION DE GASTOS 2025'!$A$18:$A$219,$A56,' CLASIFICACION DE GASTOS 2025'!$F$18:$F$219)</f>
        <v>0</v>
      </c>
      <c r="C56" s="491"/>
      <c r="D56" s="558"/>
    </row>
    <row r="57" spans="1:4" ht="140.25" hidden="1" customHeight="1">
      <c r="A57" s="691" t="s">
        <v>123</v>
      </c>
      <c r="B57" s="850">
        <f>SUMIF(' CLASIFICACION DE GASTOS 2025'!$A$18:$A$219,$A57,' CLASIFICACION DE GASTOS 2025'!$F$18:$F$219)</f>
        <v>0</v>
      </c>
      <c r="C57" s="678" t="s">
        <v>713</v>
      </c>
      <c r="D57" s="558"/>
    </row>
    <row r="58" spans="1:4" ht="158.4" customHeight="1">
      <c r="A58" s="468" t="s">
        <v>125</v>
      </c>
      <c r="B58" s="850">
        <f>SUMIF(' CLASIFICACION DE GASTOS 2025'!$A$18:$A$219,$A58,' CLASIFICACION DE GASTOS 2025'!$F$18:$F$219)</f>
        <v>11996000</v>
      </c>
      <c r="C58" s="114" t="s">
        <v>1375</v>
      </c>
      <c r="D58" s="560"/>
    </row>
    <row r="59" spans="1:4" ht="217.95" customHeight="1">
      <c r="A59" s="619" t="s">
        <v>127</v>
      </c>
      <c r="B59" s="850">
        <f>SUMIF(' CLASIFICACION DE GASTOS 2025'!$A$18:$A$219,$A59,' CLASIFICACION DE GASTOS 2025'!$F$18:$F$219)</f>
        <v>116500000</v>
      </c>
      <c r="C59" s="114" t="s">
        <v>1387</v>
      </c>
      <c r="D59" s="558" t="s">
        <v>398</v>
      </c>
    </row>
    <row r="60" spans="1:4" ht="12.75" hidden="1" customHeight="1">
      <c r="A60" s="619" t="s">
        <v>131</v>
      </c>
      <c r="B60" s="850">
        <f>SUMIF(' CLASIFICACION DE GASTOS 2025'!$A$18:$A$219,$A60,' CLASIFICACION DE GASTOS 2025'!$F$18:$F$219)</f>
        <v>0</v>
      </c>
      <c r="C60" s="559"/>
      <c r="D60" s="558"/>
    </row>
    <row r="61" spans="1:4" ht="111.6" customHeight="1">
      <c r="A61" s="619" t="s">
        <v>133</v>
      </c>
      <c r="B61" s="850">
        <f>SUMIF(' CLASIFICACION DE GASTOS 2025'!$A$18:$A$219,$A61,' CLASIFICACION DE GASTOS 2025'!$F$18:$F$219)</f>
        <v>500000</v>
      </c>
      <c r="C61" s="1119" t="s">
        <v>1472</v>
      </c>
      <c r="D61" s="560"/>
    </row>
    <row r="62" spans="1:4" ht="12.75" hidden="1" customHeight="1">
      <c r="A62" s="619" t="s">
        <v>134</v>
      </c>
      <c r="B62" s="850">
        <f>SUMIF(' CLASIFICACION DE GASTOS 2025'!$A$18:$A$219,$A62,' CLASIFICACION DE GASTOS 2025'!$F$18:$F$219)</f>
        <v>0</v>
      </c>
      <c r="C62" s="559"/>
      <c r="D62" s="558"/>
    </row>
    <row r="63" spans="1:4" ht="12.75" hidden="1" customHeight="1">
      <c r="A63" s="619" t="s">
        <v>136</v>
      </c>
      <c r="B63" s="850">
        <f>SUMIF(' CLASIFICACION DE GASTOS 2025'!$A$18:$A$219,$A63,' CLASIFICACION DE GASTOS 2025'!$F$18:$F$219)</f>
        <v>0</v>
      </c>
      <c r="C63" s="491"/>
      <c r="D63" s="558"/>
    </row>
    <row r="64" spans="1:4" ht="133.19999999999999" customHeight="1">
      <c r="A64" s="619" t="s">
        <v>138</v>
      </c>
      <c r="B64" s="850">
        <f>SUMIF(' CLASIFICACION DE GASTOS 2025'!$A$18:$A$219,$A64,' CLASIFICACION DE GASTOS 2025'!$F$18:$F$219)</f>
        <v>2910000</v>
      </c>
      <c r="C64" s="1119" t="s">
        <v>1464</v>
      </c>
      <c r="D64" s="558" t="s">
        <v>398</v>
      </c>
    </row>
    <row r="65" spans="1:4" ht="107.4" customHeight="1">
      <c r="A65" s="619" t="s">
        <v>142</v>
      </c>
      <c r="B65" s="850">
        <f>SUMIF(' CLASIFICACION DE GASTOS 2025'!$A$18:$A$219,$A65,' CLASIFICACION DE GASTOS 2025'!$F$18:$F$219)</f>
        <v>5600000</v>
      </c>
      <c r="C65" s="559" t="s">
        <v>1466</v>
      </c>
      <c r="D65" s="558"/>
    </row>
    <row r="66" spans="1:4" ht="204" hidden="1" customHeight="1">
      <c r="A66" s="619" t="s">
        <v>144</v>
      </c>
      <c r="B66" s="877">
        <v>0</v>
      </c>
      <c r="C66" s="114" t="s">
        <v>699</v>
      </c>
      <c r="D66" s="558"/>
    </row>
    <row r="67" spans="1:4" ht="12.75" hidden="1" customHeight="1">
      <c r="A67" s="619" t="s">
        <v>146</v>
      </c>
      <c r="B67" s="877">
        <v>0</v>
      </c>
      <c r="C67" s="491"/>
      <c r="D67" s="558"/>
    </row>
    <row r="68" spans="1:4" ht="12.75" hidden="1" customHeight="1">
      <c r="A68" s="619" t="s">
        <v>150</v>
      </c>
      <c r="B68" s="877">
        <v>0</v>
      </c>
      <c r="C68" s="491"/>
      <c r="D68" s="558"/>
    </row>
    <row r="69" spans="1:4" ht="12.75" hidden="1" customHeight="1">
      <c r="A69" s="619" t="s">
        <v>151</v>
      </c>
      <c r="B69" s="877">
        <v>0</v>
      </c>
      <c r="C69" s="491"/>
      <c r="D69" s="558"/>
    </row>
    <row r="70" spans="1:4" ht="12.75" hidden="1" customHeight="1">
      <c r="A70" s="619" t="s">
        <v>344</v>
      </c>
      <c r="B70" s="877">
        <v>0</v>
      </c>
      <c r="C70" s="491"/>
      <c r="D70" s="558"/>
    </row>
    <row r="71" spans="1:4" ht="12.75" hidden="1" customHeight="1">
      <c r="A71" s="619" t="s">
        <v>153</v>
      </c>
      <c r="B71" s="877">
        <v>0</v>
      </c>
      <c r="C71" s="491"/>
      <c r="D71" s="558"/>
    </row>
    <row r="72" spans="1:4" ht="12.75" hidden="1" customHeight="1">
      <c r="A72" s="619" t="s">
        <v>154</v>
      </c>
      <c r="B72" s="877">
        <v>0</v>
      </c>
      <c r="C72" s="491"/>
      <c r="D72" s="558"/>
    </row>
    <row r="73" spans="1:4" ht="82.5" hidden="1" customHeight="1">
      <c r="A73" s="619" t="s">
        <v>155</v>
      </c>
      <c r="B73" s="877">
        <v>0</v>
      </c>
      <c r="C73" s="491" t="s">
        <v>668</v>
      </c>
      <c r="D73" s="558"/>
    </row>
    <row r="74" spans="1:4" ht="81" hidden="1">
      <c r="A74" s="838" t="s">
        <v>156</v>
      </c>
      <c r="B74" s="894">
        <v>0</v>
      </c>
      <c r="C74" s="639" t="s">
        <v>669</v>
      </c>
      <c r="D74" s="649"/>
    </row>
    <row r="75" spans="1:4" hidden="1">
      <c r="A75" s="619" t="s">
        <v>157</v>
      </c>
      <c r="B75" s="877">
        <v>0</v>
      </c>
      <c r="C75" s="577"/>
      <c r="D75" s="620"/>
    </row>
    <row r="76" spans="1:4" hidden="1">
      <c r="A76" s="619" t="s">
        <v>347</v>
      </c>
      <c r="B76" s="877">
        <v>0</v>
      </c>
      <c r="C76" s="577"/>
      <c r="D76" s="620"/>
    </row>
    <row r="77" spans="1:4" hidden="1">
      <c r="A77" s="619" t="s">
        <v>349</v>
      </c>
      <c r="B77" s="877">
        <v>0</v>
      </c>
      <c r="C77" s="577"/>
      <c r="D77" s="620"/>
    </row>
    <row r="78" spans="1:4" hidden="1">
      <c r="A78" s="619" t="s">
        <v>160</v>
      </c>
      <c r="B78" s="877">
        <v>0</v>
      </c>
      <c r="C78" s="577"/>
      <c r="D78" s="620"/>
    </row>
    <row r="79" spans="1:4" hidden="1">
      <c r="A79" s="619" t="s">
        <v>162</v>
      </c>
      <c r="B79" s="877">
        <v>0</v>
      </c>
      <c r="C79" s="577"/>
      <c r="D79" s="620"/>
    </row>
    <row r="80" spans="1:4" ht="9.9" customHeight="1">
      <c r="A80" s="564"/>
      <c r="B80" s="851"/>
      <c r="C80" s="602"/>
      <c r="D80" s="587"/>
    </row>
    <row r="81" spans="1:4" ht="18" customHeight="1">
      <c r="A81" s="583">
        <v>1</v>
      </c>
      <c r="B81" s="856">
        <f>SUM(B37:B79)</f>
        <v>227890000</v>
      </c>
      <c r="C81" s="584" t="s">
        <v>410</v>
      </c>
      <c r="D81" s="569"/>
    </row>
    <row r="82" spans="1:4" ht="9.9" customHeight="1">
      <c r="A82" s="570"/>
      <c r="B82" s="853"/>
      <c r="C82" s="571"/>
      <c r="D82" s="572"/>
    </row>
    <row r="83" spans="1:4" ht="18" customHeight="1">
      <c r="A83" s="1237" t="s">
        <v>21</v>
      </c>
      <c r="B83" s="1238"/>
      <c r="C83" s="1238"/>
      <c r="D83" s="599"/>
    </row>
    <row r="84" spans="1:4" ht="48.6" hidden="1">
      <c r="A84" s="832" t="s">
        <v>166</v>
      </c>
      <c r="B84" s="850">
        <f>SUMIF(' CLASIFICACION DE GASTOS 2025'!$A$18:$A$219,$A84,' CLASIFICACION DE GASTOS 2025'!$F$18:$F$219)</f>
        <v>0</v>
      </c>
      <c r="C84" s="577" t="s">
        <v>423</v>
      </c>
      <c r="D84" s="622" t="s">
        <v>398</v>
      </c>
    </row>
    <row r="85" spans="1:4" ht="32.4" hidden="1">
      <c r="A85" s="467" t="s">
        <v>168</v>
      </c>
      <c r="B85" s="850">
        <f>SUMIF(' CLASIFICACION DE GASTOS 2025'!$A$18:$A$219,$A85,' CLASIFICACION DE GASTOS 2025'!$F$18:$F$219)</f>
        <v>0</v>
      </c>
      <c r="C85" s="491" t="s">
        <v>470</v>
      </c>
      <c r="D85" s="622"/>
    </row>
    <row r="86" spans="1:4" ht="32.4" hidden="1">
      <c r="A86" s="467" t="s">
        <v>170</v>
      </c>
      <c r="B86" s="850">
        <f>SUMIF(' CLASIFICACION DE GASTOS 2025'!$A$18:$A$219,$A86,' CLASIFICACION DE GASTOS 2025'!$F$18:$F$219)</f>
        <v>0</v>
      </c>
      <c r="C86" s="491" t="s">
        <v>423</v>
      </c>
      <c r="D86" s="622"/>
    </row>
    <row r="87" spans="1:4" ht="8.1" hidden="1" customHeight="1">
      <c r="A87" s="467" t="s">
        <v>172</v>
      </c>
      <c r="B87" s="850">
        <f>SUMIF(' CLASIFICACION DE GASTOS 2025'!$A$18:$A$219,$A87,' CLASIFICACION DE GASTOS 2025'!$F$18:$F$219)</f>
        <v>0</v>
      </c>
      <c r="C87" s="491"/>
      <c r="D87" s="622"/>
    </row>
    <row r="88" spans="1:4" ht="48.6" hidden="1">
      <c r="A88" s="467" t="s">
        <v>300</v>
      </c>
      <c r="B88" s="850">
        <f>SUMIF(' CLASIFICACION DE GASTOS 2025'!$A$18:$A$219,$A88,' CLASIFICACION DE GASTOS 2025'!$F$18:$F$219)</f>
        <v>0</v>
      </c>
      <c r="C88" s="491" t="s">
        <v>442</v>
      </c>
      <c r="D88" s="555"/>
    </row>
    <row r="89" spans="1:4" ht="20.100000000000001" hidden="1" customHeight="1">
      <c r="A89" s="467" t="s">
        <v>174</v>
      </c>
      <c r="B89" s="850">
        <f>SUMIF(' CLASIFICACION DE GASTOS 2025'!$A$18:$A$219,$A89,' CLASIFICACION DE GASTOS 2025'!$F$18:$F$219)</f>
        <v>0</v>
      </c>
      <c r="C89" s="491" t="s">
        <v>687</v>
      </c>
      <c r="D89" s="555"/>
    </row>
    <row r="90" spans="1:4" hidden="1">
      <c r="A90" s="467" t="s">
        <v>176</v>
      </c>
      <c r="B90" s="850">
        <f>SUMIF(' CLASIFICACION DE GASTOS 2025'!$A$18:$A$219,$A90,' CLASIFICACION DE GASTOS 2025'!$F$18:$F$219)</f>
        <v>0</v>
      </c>
      <c r="C90" s="623"/>
      <c r="D90" s="555"/>
    </row>
    <row r="91" spans="1:4" ht="111.75" hidden="1" customHeight="1">
      <c r="A91" s="467" t="s">
        <v>178</v>
      </c>
      <c r="B91" s="850">
        <f>SUMIF(' CLASIFICACION DE GASTOS 2025'!$A$18:$A$219,$A91,' CLASIFICACION DE GASTOS 2025'!$F$18:$F$219)</f>
        <v>0</v>
      </c>
      <c r="C91" s="594" t="s">
        <v>947</v>
      </c>
      <c r="D91" s="684" t="s">
        <v>398</v>
      </c>
    </row>
    <row r="92" spans="1:4" ht="47.4" hidden="1" customHeight="1">
      <c r="A92" s="467" t="s">
        <v>180</v>
      </c>
      <c r="B92" s="858">
        <v>0</v>
      </c>
      <c r="C92" s="623"/>
      <c r="D92" s="555"/>
    </row>
    <row r="93" spans="1:4" ht="8.1" hidden="1" customHeight="1">
      <c r="A93" s="467" t="s">
        <v>182</v>
      </c>
      <c r="B93" s="858">
        <v>0</v>
      </c>
      <c r="C93" s="491"/>
      <c r="D93" s="555"/>
    </row>
    <row r="94" spans="1:4" hidden="1">
      <c r="A94" s="467" t="s">
        <v>184</v>
      </c>
      <c r="B94" s="858">
        <v>0</v>
      </c>
      <c r="C94" s="623"/>
      <c r="D94" s="555"/>
    </row>
    <row r="95" spans="1:4" ht="8.1" hidden="1" customHeight="1">
      <c r="A95" s="467" t="s">
        <v>187</v>
      </c>
      <c r="B95" s="858">
        <v>0</v>
      </c>
      <c r="C95" s="491"/>
      <c r="D95" s="555"/>
    </row>
    <row r="96" spans="1:4" ht="64.8" hidden="1">
      <c r="A96" s="467" t="s">
        <v>189</v>
      </c>
      <c r="B96" s="858">
        <v>0</v>
      </c>
      <c r="C96" s="491" t="s">
        <v>471</v>
      </c>
      <c r="D96" s="555"/>
    </row>
    <row r="97" spans="1:4" ht="87" customHeight="1">
      <c r="A97" s="467" t="s">
        <v>192</v>
      </c>
      <c r="B97" s="850">
        <f>SUMIF(' CLASIFICACION DE GASTOS 2025'!$A$18:$A$219,$A97,' CLASIFICACION DE GASTOS 2025'!$F$18:$F$219)</f>
        <v>400000</v>
      </c>
      <c r="C97" s="491" t="s">
        <v>1388</v>
      </c>
      <c r="D97" s="1243" t="s">
        <v>398</v>
      </c>
    </row>
    <row r="98" spans="1:4" ht="47.4" hidden="1" customHeight="1">
      <c r="A98" s="467" t="s">
        <v>194</v>
      </c>
      <c r="B98" s="850">
        <f>SUMIF(' CLASIFICACION DE GASTOS 2025'!$A$18:$A$219,$A98,' CLASIFICACION DE GASTOS 2025'!$F$18:$F$219)</f>
        <v>0</v>
      </c>
      <c r="C98" s="491"/>
      <c r="D98" s="1243"/>
    </row>
    <row r="99" spans="1:4" ht="68.400000000000006" customHeight="1">
      <c r="A99" s="467" t="s">
        <v>195</v>
      </c>
      <c r="B99" s="850">
        <f>SUMIF(' CLASIFICACION DE GASTOS 2025'!$A$18:$A$219,$A99,' CLASIFICACION DE GASTOS 2025'!$F$18:$F$219)</f>
        <v>400000</v>
      </c>
      <c r="C99" s="1119" t="s">
        <v>1467</v>
      </c>
      <c r="D99" s="1243"/>
    </row>
    <row r="100" spans="1:4" ht="64.95" hidden="1" customHeight="1">
      <c r="A100" s="467" t="s">
        <v>197</v>
      </c>
      <c r="B100" s="850">
        <f>SUMIF(' CLASIFICACION DE GASTOS 2025'!$A$18:$A$219,$A100,' CLASIFICACION DE GASTOS 2025'!$F$18:$F$219)</f>
        <v>0</v>
      </c>
      <c r="C100" s="1119" t="s">
        <v>445</v>
      </c>
      <c r="D100" s="1243"/>
    </row>
    <row r="101" spans="1:4" ht="47.4" hidden="1" customHeight="1">
      <c r="A101" s="692" t="s">
        <v>199</v>
      </c>
      <c r="B101" s="859">
        <v>0</v>
      </c>
      <c r="C101" s="1128" t="s">
        <v>414</v>
      </c>
      <c r="D101" s="1243"/>
    </row>
    <row r="102" spans="1:4" ht="47.4" hidden="1" customHeight="1">
      <c r="A102" s="467" t="s">
        <v>201</v>
      </c>
      <c r="B102" s="858">
        <v>0</v>
      </c>
      <c r="C102" s="1119"/>
      <c r="D102" s="1243"/>
    </row>
    <row r="103" spans="1:4" ht="47.4" hidden="1" customHeight="1">
      <c r="A103" s="467" t="s">
        <v>314</v>
      </c>
      <c r="B103" s="858">
        <v>0</v>
      </c>
      <c r="C103" s="1119" t="s">
        <v>472</v>
      </c>
      <c r="D103" s="1243"/>
    </row>
    <row r="104" spans="1:4" ht="64.2" customHeight="1">
      <c r="A104" s="693" t="s">
        <v>203</v>
      </c>
      <c r="B104" s="850">
        <f>SUMIF(' CLASIFICACION DE GASTOS 2025'!$A$18:$A$220,$A104,' CLASIFICACION DE GASTOS 2025'!$F$18:$F$220)</f>
        <v>200000</v>
      </c>
      <c r="C104" s="1119" t="s">
        <v>1469</v>
      </c>
      <c r="D104" s="1250"/>
    </row>
    <row r="105" spans="1:4" ht="9.9" customHeight="1">
      <c r="A105" s="564"/>
      <c r="B105" s="851"/>
      <c r="C105" s="565"/>
      <c r="D105" s="587"/>
    </row>
    <row r="106" spans="1:4" ht="18" customHeight="1">
      <c r="A106" s="567">
        <v>2</v>
      </c>
      <c r="B106" s="852">
        <f>SUM(B84:B104)</f>
        <v>1000000</v>
      </c>
      <c r="C106" s="568" t="s">
        <v>410</v>
      </c>
      <c r="D106" s="569"/>
    </row>
    <row r="107" spans="1:4" ht="9" hidden="1" customHeight="1" outlineLevel="1">
      <c r="A107" s="570"/>
      <c r="B107" s="853"/>
      <c r="C107" s="571"/>
      <c r="D107" s="572"/>
    </row>
    <row r="108" spans="1:4" ht="13.2" hidden="1" customHeight="1" outlineLevel="1">
      <c r="A108" s="1237" t="s">
        <v>53</v>
      </c>
      <c r="B108" s="1238"/>
      <c r="C108" s="1238"/>
      <c r="D108" s="599"/>
    </row>
    <row r="109" spans="1:4" hidden="1" outlineLevel="1">
      <c r="A109" s="467" t="s">
        <v>356</v>
      </c>
      <c r="B109" s="858">
        <v>0</v>
      </c>
      <c r="C109" s="12"/>
      <c r="D109" s="640"/>
    </row>
    <row r="110" spans="1:4" hidden="1" outlineLevel="1">
      <c r="A110" s="467" t="s">
        <v>206</v>
      </c>
      <c r="B110" s="858">
        <v>0</v>
      </c>
      <c r="C110" s="491"/>
      <c r="D110" s="558"/>
    </row>
    <row r="111" spans="1:4" ht="243" hidden="1" outlineLevel="1">
      <c r="A111" s="467" t="s">
        <v>208</v>
      </c>
      <c r="B111" s="858">
        <v>0</v>
      </c>
      <c r="C111" s="114" t="s">
        <v>781</v>
      </c>
      <c r="D111" s="1230" t="s">
        <v>398</v>
      </c>
    </row>
    <row r="112" spans="1:4" ht="39.6" hidden="1" customHeight="1" outlineLevel="1">
      <c r="A112" s="467" t="s">
        <v>210</v>
      </c>
      <c r="B112" s="858">
        <v>0</v>
      </c>
      <c r="C112" s="491" t="s">
        <v>473</v>
      </c>
      <c r="D112" s="1230"/>
    </row>
    <row r="113" spans="1:4" ht="32.4" hidden="1" outlineLevel="1">
      <c r="A113" s="467" t="s">
        <v>212</v>
      </c>
      <c r="B113" s="858">
        <v>0</v>
      </c>
      <c r="C113" s="491" t="s">
        <v>700</v>
      </c>
      <c r="D113" s="1230"/>
    </row>
    <row r="114" spans="1:4" ht="13.2" hidden="1" customHeight="1" outlineLevel="1">
      <c r="A114" s="467" t="s">
        <v>214</v>
      </c>
      <c r="B114" s="858">
        <v>0</v>
      </c>
      <c r="C114" s="491"/>
      <c r="D114" s="1230"/>
    </row>
    <row r="115" spans="1:4" ht="13.2" hidden="1" customHeight="1" outlineLevel="1">
      <c r="A115" s="467" t="s">
        <v>216</v>
      </c>
      <c r="B115" s="858">
        <v>0</v>
      </c>
      <c r="C115" s="491"/>
      <c r="D115" s="1230"/>
    </row>
    <row r="116" spans="1:4" ht="13.2" hidden="1" customHeight="1" outlineLevel="1">
      <c r="A116" s="467" t="s">
        <v>218</v>
      </c>
      <c r="B116" s="858">
        <v>0</v>
      </c>
      <c r="C116" s="491"/>
      <c r="D116" s="1230"/>
    </row>
    <row r="117" spans="1:4" ht="32.4" hidden="1" outlineLevel="1">
      <c r="A117" s="467" t="s">
        <v>352</v>
      </c>
      <c r="B117" s="858">
        <v>0</v>
      </c>
      <c r="C117" s="491" t="s">
        <v>444</v>
      </c>
      <c r="D117" s="1230"/>
    </row>
    <row r="118" spans="1:4" ht="6.75" hidden="1" customHeight="1" outlineLevel="1">
      <c r="A118" s="467"/>
      <c r="B118" s="858"/>
      <c r="C118" s="491"/>
      <c r="D118" s="558"/>
    </row>
    <row r="119" spans="1:4" ht="48.6" hidden="1" outlineLevel="1">
      <c r="A119" s="467">
        <v>5</v>
      </c>
      <c r="B119" s="858"/>
      <c r="C119" s="491" t="s">
        <v>443</v>
      </c>
      <c r="D119" s="558" t="s">
        <v>398</v>
      </c>
    </row>
    <row r="120" spans="1:4" ht="12.75" hidden="1" customHeight="1" outlineLevel="1">
      <c r="A120" s="467"/>
      <c r="B120" s="858"/>
      <c r="C120" s="491"/>
      <c r="D120" s="558"/>
    </row>
    <row r="121" spans="1:4" ht="64.8" hidden="1" outlineLevel="1">
      <c r="A121" s="467"/>
      <c r="B121" s="858"/>
      <c r="C121" s="491" t="s">
        <v>439</v>
      </c>
      <c r="D121" s="558"/>
    </row>
    <row r="122" spans="1:4" ht="12.75" hidden="1" customHeight="1" outlineLevel="1">
      <c r="A122" s="467"/>
      <c r="B122" s="858"/>
      <c r="C122" s="491"/>
      <c r="D122" s="558"/>
    </row>
    <row r="123" spans="1:4" ht="32.4" hidden="1" outlineLevel="1">
      <c r="A123" s="467"/>
      <c r="B123" s="858"/>
      <c r="C123" s="491" t="s">
        <v>444</v>
      </c>
      <c r="D123" s="558"/>
    </row>
    <row r="124" spans="1:4" ht="5.25" hidden="1" customHeight="1" outlineLevel="1">
      <c r="A124" s="693"/>
      <c r="B124" s="860"/>
      <c r="C124" s="577"/>
      <c r="D124" s="558"/>
    </row>
    <row r="125" spans="1:4" ht="13.2" hidden="1" customHeight="1" outlineLevel="1">
      <c r="A125" s="564"/>
      <c r="B125" s="851"/>
      <c r="C125" s="650"/>
      <c r="D125" s="587"/>
    </row>
    <row r="126" spans="1:4" ht="15" hidden="1" customHeight="1" outlineLevel="1">
      <c r="A126" s="567">
        <v>5</v>
      </c>
      <c r="B126" s="852">
        <f>SUM(B109:B123)</f>
        <v>0</v>
      </c>
      <c r="C126" s="568" t="s">
        <v>410</v>
      </c>
      <c r="D126" s="569"/>
    </row>
    <row r="127" spans="1:4" ht="9.9" customHeight="1" collapsed="1">
      <c r="A127" s="570"/>
      <c r="B127" s="853"/>
      <c r="C127" s="571"/>
      <c r="D127" s="572"/>
    </row>
    <row r="128" spans="1:4" ht="18" customHeight="1">
      <c r="A128" s="1234" t="s">
        <v>19</v>
      </c>
      <c r="B128" s="1235"/>
      <c r="C128" s="1272"/>
      <c r="D128" s="599"/>
    </row>
    <row r="129" spans="1:4" ht="50.4" hidden="1" customHeight="1">
      <c r="A129" s="627" t="s">
        <v>302</v>
      </c>
      <c r="B129" s="858">
        <v>0</v>
      </c>
      <c r="C129" s="585" t="s">
        <v>701</v>
      </c>
      <c r="D129" s="685" t="s">
        <v>398</v>
      </c>
    </row>
    <row r="130" spans="1:4" ht="66" hidden="1" customHeight="1">
      <c r="A130" s="627" t="s">
        <v>231</v>
      </c>
      <c r="B130" s="858">
        <v>0</v>
      </c>
      <c r="C130" s="585" t="s">
        <v>415</v>
      </c>
      <c r="D130" s="679"/>
    </row>
    <row r="131" spans="1:4" ht="51" hidden="1" customHeight="1">
      <c r="A131" s="627"/>
      <c r="B131" s="858"/>
      <c r="C131" s="585" t="s">
        <v>415</v>
      </c>
      <c r="D131" s="679"/>
    </row>
    <row r="132" spans="1:4" ht="12.75" hidden="1" customHeight="1">
      <c r="A132" s="627"/>
      <c r="B132" s="858"/>
      <c r="C132" s="491"/>
      <c r="D132" s="679"/>
    </row>
    <row r="133" spans="1:4" ht="49.5" customHeight="1">
      <c r="A133" s="468" t="s">
        <v>307</v>
      </c>
      <c r="B133" s="850">
        <f>SUMIF(' CLASIFICACION DE GASTOS 2025'!$A$18:$A$220,$A133,' CLASIFICACION DE GASTOS 2025'!$F$18:$F$220)</f>
        <v>1200000</v>
      </c>
      <c r="C133" s="491" t="s">
        <v>1468</v>
      </c>
      <c r="D133" s="679" t="s">
        <v>398</v>
      </c>
    </row>
    <row r="134" spans="1:4" ht="8.1" hidden="1" customHeight="1">
      <c r="A134" s="627"/>
      <c r="B134" s="858"/>
      <c r="C134" s="491"/>
      <c r="D134" s="679"/>
    </row>
    <row r="135" spans="1:4" ht="25.5" hidden="1" customHeight="1">
      <c r="A135" s="627"/>
      <c r="B135" s="858"/>
      <c r="C135" s="491" t="s">
        <v>446</v>
      </c>
      <c r="D135" s="679"/>
    </row>
    <row r="136" spans="1:4" ht="13.5" hidden="1" customHeight="1">
      <c r="A136" s="695"/>
      <c r="B136" s="872"/>
      <c r="C136" s="651"/>
      <c r="D136" s="679"/>
    </row>
    <row r="137" spans="1:4" ht="9.9" customHeight="1">
      <c r="A137" s="601"/>
      <c r="B137" s="851"/>
      <c r="C137" s="582"/>
      <c r="D137" s="587"/>
    </row>
    <row r="138" spans="1:4" ht="18" customHeight="1">
      <c r="A138" s="567">
        <v>6</v>
      </c>
      <c r="B138" s="852">
        <f>SUM(B129:B136)</f>
        <v>1200000</v>
      </c>
      <c r="C138" s="568" t="s">
        <v>410</v>
      </c>
      <c r="D138" s="569"/>
    </row>
    <row r="139" spans="1:4" hidden="1">
      <c r="A139" s="601"/>
      <c r="B139" s="851"/>
      <c r="C139" s="602"/>
      <c r="D139" s="587"/>
    </row>
    <row r="140" spans="1:4" hidden="1">
      <c r="A140" s="1237" t="s">
        <v>54</v>
      </c>
      <c r="B140" s="1238"/>
      <c r="C140" s="1238"/>
      <c r="D140" s="599"/>
    </row>
    <row r="141" spans="1:4" ht="21" hidden="1" customHeight="1" outlineLevel="1">
      <c r="A141" s="833" t="str">
        <f>+'[3]PRESUPUESTO 2012'!A195</f>
        <v>9.02.01</v>
      </c>
      <c r="B141" s="877">
        <f>+'[2]CLASIFICACION PRESUPUESTARIA'!AZ212</f>
        <v>0</v>
      </c>
      <c r="C141" s="636"/>
      <c r="D141" s="587"/>
    </row>
    <row r="142" spans="1:4" ht="405" hidden="1" outlineLevel="1">
      <c r="A142" s="839" t="s">
        <v>239</v>
      </c>
      <c r="B142" s="859">
        <v>0</v>
      </c>
      <c r="C142" s="652" t="s">
        <v>717</v>
      </c>
      <c r="D142" s="680" t="s">
        <v>398</v>
      </c>
    </row>
    <row r="143" spans="1:4" ht="13.2" hidden="1" customHeight="1" outlineLevel="1">
      <c r="A143" s="564"/>
      <c r="B143" s="879"/>
      <c r="C143" s="637"/>
      <c r="D143" s="587"/>
    </row>
    <row r="144" spans="1:4" ht="15" hidden="1" customHeight="1" outlineLevel="1">
      <c r="A144" s="567">
        <v>9</v>
      </c>
      <c r="B144" s="852">
        <f>SUM(B141:B142)</f>
        <v>0</v>
      </c>
      <c r="C144" s="568" t="s">
        <v>410</v>
      </c>
      <c r="D144" s="606"/>
    </row>
    <row r="145" spans="1:9" ht="9.9" customHeight="1" outlineLevel="1" thickBot="1">
      <c r="A145" s="530"/>
      <c r="B145" s="523"/>
      <c r="C145" s="607"/>
      <c r="D145" s="608"/>
    </row>
    <row r="146" spans="1:9" ht="18" customHeight="1" thickBot="1">
      <c r="A146" s="609"/>
      <c r="B146" s="869">
        <f>+B106+B81+B34+B138+B126+B144</f>
        <v>651876000</v>
      </c>
      <c r="C146" s="610" t="s">
        <v>416</v>
      </c>
      <c r="D146" s="611"/>
      <c r="I146" s="24"/>
    </row>
    <row r="147" spans="1:9" ht="9.9" customHeight="1" thickBot="1">
      <c r="A147" s="840"/>
      <c r="B147" s="335"/>
      <c r="C147" s="12"/>
    </row>
    <row r="148" spans="1:9" ht="19.95" customHeight="1" thickBot="1">
      <c r="A148" s="612"/>
      <c r="B148" s="870">
        <f>+B138+B126+B106+B81+B34+B144</f>
        <v>651876000</v>
      </c>
      <c r="C148" s="613" t="s">
        <v>422</v>
      </c>
      <c r="D148" s="648"/>
    </row>
    <row r="149" spans="1:9" ht="8.25" customHeight="1" thickBot="1">
      <c r="A149" s="840"/>
      <c r="B149" s="335"/>
      <c r="C149" s="12"/>
    </row>
    <row r="150" spans="1:9" ht="19.95" customHeight="1" thickBot="1">
      <c r="A150" s="653"/>
      <c r="B150" s="895">
        <f>+B148+'JUST. PROG.03'!B177+'JUST. PROG.02'!B136+'JUST. PROG.01'!B175</f>
        <v>17913627699.540001</v>
      </c>
      <c r="C150" s="654" t="s">
        <v>1397</v>
      </c>
      <c r="D150" s="655"/>
    </row>
    <row r="152" spans="1:9" hidden="1"/>
    <row r="153" spans="1:9" hidden="1">
      <c r="B153" s="24">
        <f>+B148-' CLASIFICACION DE GASTOS 2025'!F8</f>
        <v>0</v>
      </c>
    </row>
    <row r="154" spans="1:9" hidden="1"/>
    <row r="155" spans="1:9" hidden="1"/>
  </sheetData>
  <mergeCells count="13">
    <mergeCell ref="E48:I48"/>
    <mergeCell ref="A108:C108"/>
    <mergeCell ref="D111:D117"/>
    <mergeCell ref="A128:C128"/>
    <mergeCell ref="A140:C140"/>
    <mergeCell ref="A83:C83"/>
    <mergeCell ref="D97:D104"/>
    <mergeCell ref="D29:D31"/>
    <mergeCell ref="A2:D2"/>
    <mergeCell ref="A3:D3"/>
    <mergeCell ref="A4:D4"/>
    <mergeCell ref="A6:D6"/>
    <mergeCell ref="A12:C12"/>
  </mergeCells>
  <phoneticPr fontId="2" type="noConversion"/>
  <printOptions horizontalCentered="1"/>
  <pageMargins left="0.78740157480314965" right="0.78740157480314965" top="0.78740157480314965" bottom="0.78740157480314965" header="0.59055118110236227" footer="0.59055118110236227"/>
  <pageSetup scale="71" firstPageNumber="34" orientation="portrait" useFirstPageNumber="1" r:id="rId1"/>
  <headerFooter>
    <oddFooter>&amp;C&amp;P</oddFooter>
  </headerFooter>
  <rowBreaks count="3" manualBreakCount="3">
    <brk id="34" max="3" man="1"/>
    <brk id="58" max="3" man="1"/>
    <brk id="81" max="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tint="-0.499984740745262"/>
  </sheetPr>
  <dimension ref="A2:V61"/>
  <sheetViews>
    <sheetView showGridLines="0" topLeftCell="A4" zoomScaleNormal="100" workbookViewId="0">
      <selection activeCell="O34" sqref="O34"/>
    </sheetView>
  </sheetViews>
  <sheetFormatPr baseColWidth="10" defaultColWidth="11.44140625" defaultRowHeight="16.2" outlineLevelRow="2"/>
  <cols>
    <col min="1" max="1" width="18.5546875" style="3" customWidth="1"/>
    <col min="2" max="2" width="1.44140625" style="3" customWidth="1"/>
    <col min="3" max="3" width="1.33203125" style="3" customWidth="1"/>
    <col min="4" max="4" width="2.109375" style="3" hidden="1" customWidth="1"/>
    <col min="5" max="5" width="43" style="3" customWidth="1"/>
    <col min="6" max="6" width="11.88671875" style="3" customWidth="1"/>
    <col min="7" max="8" width="16.44140625" style="23" bestFit="1" customWidth="1"/>
    <col min="9" max="9" width="13.5546875" style="3" hidden="1" customWidth="1"/>
    <col min="10" max="10" width="15.88671875" style="3" hidden="1" customWidth="1"/>
    <col min="11" max="11" width="18.33203125" style="3" hidden="1" customWidth="1"/>
    <col min="12" max="12" width="14.109375" style="3" bestFit="1" customWidth="1"/>
    <col min="13" max="13" width="12.88671875" style="3" bestFit="1" customWidth="1"/>
    <col min="14" max="14" width="11.44140625" style="3"/>
    <col min="15" max="15" width="13" style="3" bestFit="1" customWidth="1"/>
    <col min="16" max="16" width="11.44140625" style="3"/>
    <col min="17" max="17" width="12.88671875" style="3" bestFit="1" customWidth="1"/>
    <col min="18" max="18" width="11.44140625" style="3"/>
    <col min="19" max="21" width="12.88671875" style="3" bestFit="1" customWidth="1"/>
    <col min="22" max="16384" width="11.44140625" style="3"/>
  </cols>
  <sheetData>
    <row r="2" spans="1:11">
      <c r="A2" s="1"/>
      <c r="B2" s="1"/>
      <c r="C2" s="1"/>
      <c r="D2" s="1"/>
      <c r="E2" s="1173"/>
      <c r="F2" s="1173"/>
      <c r="G2" s="1173"/>
      <c r="H2" s="1173"/>
    </row>
    <row r="3" spans="1:11">
      <c r="A3" s="1174" t="s">
        <v>268</v>
      </c>
      <c r="B3" s="1174"/>
      <c r="C3" s="1174"/>
      <c r="D3" s="1174"/>
      <c r="E3" s="1174"/>
      <c r="F3" s="1174"/>
      <c r="G3" s="1174"/>
      <c r="H3" s="1174"/>
    </row>
    <row r="4" spans="1:11" ht="16.8" thickBot="1">
      <c r="A4" s="1175" t="s">
        <v>250</v>
      </c>
      <c r="B4" s="1175"/>
      <c r="C4" s="1175"/>
      <c r="D4" s="1175"/>
      <c r="E4" s="1175"/>
      <c r="F4" s="1175"/>
      <c r="G4" s="1175"/>
      <c r="H4" s="1175"/>
    </row>
    <row r="5" spans="1:11" ht="16.8" thickTop="1">
      <c r="A5" s="4"/>
      <c r="B5" s="4"/>
      <c r="C5" s="4"/>
      <c r="D5" s="4"/>
      <c r="E5" s="4"/>
      <c r="F5" s="4"/>
      <c r="G5" s="16"/>
      <c r="H5" s="16"/>
    </row>
    <row r="6" spans="1:11">
      <c r="A6" s="1174" t="s">
        <v>251</v>
      </c>
      <c r="B6" s="1174"/>
      <c r="C6" s="1174"/>
      <c r="D6" s="1174"/>
      <c r="E6" s="1174"/>
      <c r="F6" s="1174"/>
      <c r="G6" s="1174"/>
      <c r="H6" s="1174"/>
    </row>
    <row r="7" spans="1:11">
      <c r="A7" s="1173" t="s">
        <v>953</v>
      </c>
      <c r="B7" s="1173"/>
      <c r="C7" s="1173"/>
      <c r="D7" s="1173"/>
      <c r="E7" s="1173"/>
      <c r="F7" s="1173"/>
      <c r="G7" s="1173"/>
      <c r="H7" s="1173"/>
    </row>
    <row r="8" spans="1:11">
      <c r="A8" s="1"/>
      <c r="B8" s="1"/>
      <c r="C8" s="1"/>
      <c r="D8" s="1"/>
      <c r="E8" s="17"/>
      <c r="F8" s="17"/>
      <c r="G8" s="18"/>
      <c r="H8" s="18"/>
    </row>
    <row r="9" spans="1:11" ht="28.5" customHeight="1" thickBot="1">
      <c r="A9" s="19"/>
      <c r="B9" s="19"/>
      <c r="C9" s="19"/>
      <c r="D9" s="19"/>
      <c r="E9" s="20" t="s">
        <v>252</v>
      </c>
      <c r="F9" s="20"/>
      <c r="G9" s="21" t="s">
        <v>292</v>
      </c>
      <c r="H9" s="22">
        <f>+H19+H14+H35</f>
        <v>17913627699.540001</v>
      </c>
      <c r="I9" s="23"/>
      <c r="J9" s="24">
        <v>17913627699.540001</v>
      </c>
      <c r="K9" s="24">
        <f>+H9-J9</f>
        <v>0</v>
      </c>
    </row>
    <row r="10" spans="1:11" ht="16.8" hidden="1" thickTop="1">
      <c r="A10" s="1"/>
      <c r="B10" s="1"/>
      <c r="C10" s="1"/>
      <c r="D10" s="1"/>
      <c r="E10" s="17"/>
      <c r="F10" s="17"/>
      <c r="G10" s="25"/>
      <c r="H10" s="25"/>
    </row>
    <row r="11" spans="1:11" hidden="1">
      <c r="A11" s="1"/>
      <c r="B11" s="1"/>
      <c r="C11" s="1"/>
      <c r="D11" s="1"/>
      <c r="E11" s="17"/>
      <c r="F11" s="17"/>
      <c r="G11" s="25"/>
      <c r="H11" s="25"/>
    </row>
    <row r="12" spans="1:11" hidden="1">
      <c r="A12" s="26" t="s">
        <v>253</v>
      </c>
      <c r="B12" s="27" t="s">
        <v>254</v>
      </c>
      <c r="C12" s="27"/>
      <c r="D12" s="27"/>
      <c r="E12" s="27"/>
      <c r="F12" s="27"/>
      <c r="G12" s="28"/>
      <c r="H12" s="28"/>
    </row>
    <row r="13" spans="1:11" hidden="1">
      <c r="A13" s="29"/>
      <c r="B13" s="29"/>
      <c r="C13" s="30"/>
      <c r="D13" s="30"/>
      <c r="E13" s="30"/>
      <c r="F13" s="30"/>
      <c r="G13" s="31"/>
      <c r="H13" s="31"/>
    </row>
    <row r="14" spans="1:11" hidden="1" outlineLevel="1">
      <c r="A14" s="32" t="s">
        <v>255</v>
      </c>
      <c r="B14" s="32"/>
      <c r="C14" s="33" t="s">
        <v>256</v>
      </c>
      <c r="D14" s="33"/>
      <c r="E14" s="33" t="s">
        <v>256</v>
      </c>
      <c r="F14" s="33"/>
      <c r="G14" s="34"/>
      <c r="H14" s="35">
        <f>+G16</f>
        <v>0</v>
      </c>
    </row>
    <row r="15" spans="1:11" hidden="1" outlineLevel="1">
      <c r="A15" s="29"/>
      <c r="B15" s="29"/>
      <c r="C15" s="36"/>
      <c r="D15" s="36"/>
      <c r="E15" s="36"/>
      <c r="F15" s="36"/>
      <c r="G15" s="31"/>
      <c r="H15" s="37"/>
    </row>
    <row r="16" spans="1:11" hidden="1" outlineLevel="1">
      <c r="A16" s="29" t="s">
        <v>257</v>
      </c>
      <c r="B16" s="29"/>
      <c r="C16" s="38" t="s">
        <v>258</v>
      </c>
      <c r="D16" s="38"/>
      <c r="E16" s="38" t="s">
        <v>258</v>
      </c>
      <c r="F16" s="38"/>
      <c r="G16" s="39">
        <f>SUM(G17)</f>
        <v>0</v>
      </c>
      <c r="H16" s="39"/>
    </row>
    <row r="17" spans="1:22" hidden="1" outlineLevel="1">
      <c r="A17" s="40" t="s">
        <v>259</v>
      </c>
      <c r="B17" s="40"/>
      <c r="C17" s="41" t="s">
        <v>260</v>
      </c>
      <c r="D17" s="41"/>
      <c r="E17" s="42" t="s">
        <v>260</v>
      </c>
      <c r="F17" s="42"/>
      <c r="G17" s="43">
        <v>0</v>
      </c>
      <c r="H17" s="39"/>
    </row>
    <row r="18" spans="1:22" ht="16.8" outlineLevel="1" thickTop="1">
      <c r="A18" s="40"/>
      <c r="B18" s="40"/>
      <c r="C18" s="41"/>
      <c r="D18" s="41"/>
      <c r="E18" s="41"/>
      <c r="F18" s="41"/>
      <c r="G18" s="44"/>
      <c r="H18" s="39"/>
    </row>
    <row r="19" spans="1:22">
      <c r="A19" s="32" t="s">
        <v>261</v>
      </c>
      <c r="B19" s="32"/>
      <c r="C19" s="33"/>
      <c r="D19" s="33"/>
      <c r="E19" s="33" t="s">
        <v>19</v>
      </c>
      <c r="F19" s="33"/>
      <c r="G19" s="45"/>
      <c r="H19" s="46">
        <f>+G21+G29</f>
        <v>13346211869.790001</v>
      </c>
      <c r="L19" s="53"/>
      <c r="M19" s="53"/>
      <c r="N19" s="53"/>
      <c r="O19" s="53"/>
      <c r="P19" s="53"/>
      <c r="Q19" s="53"/>
      <c r="R19" s="53"/>
      <c r="S19" s="53"/>
      <c r="T19" s="53"/>
      <c r="U19" s="53"/>
    </row>
    <row r="20" spans="1:22">
      <c r="A20" s="29"/>
      <c r="B20" s="29"/>
      <c r="C20" s="36"/>
      <c r="D20" s="36"/>
      <c r="E20" s="36"/>
      <c r="F20" s="36"/>
      <c r="G20" s="44"/>
      <c r="H20" s="39"/>
      <c r="L20" s="53"/>
      <c r="M20" s="53"/>
      <c r="N20" s="53"/>
      <c r="O20" s="53"/>
      <c r="P20" s="53"/>
      <c r="Q20" s="53"/>
      <c r="R20" s="53"/>
      <c r="S20" s="53"/>
      <c r="T20" s="53"/>
      <c r="U20" s="53"/>
    </row>
    <row r="21" spans="1:22">
      <c r="A21" s="47" t="s">
        <v>262</v>
      </c>
      <c r="B21" s="47"/>
      <c r="C21" s="48"/>
      <c r="D21" s="48" t="s">
        <v>272</v>
      </c>
      <c r="E21" s="48"/>
      <c r="F21" s="48"/>
      <c r="G21" s="49">
        <f>SUM(G23:G27)</f>
        <v>13346211869.790001</v>
      </c>
      <c r="H21" s="50"/>
      <c r="L21" s="53"/>
      <c r="M21" s="53"/>
      <c r="N21" s="53"/>
      <c r="O21" s="53"/>
      <c r="P21" s="53"/>
      <c r="Q21" s="53"/>
      <c r="R21" s="53"/>
      <c r="S21" s="53"/>
      <c r="T21" s="53"/>
      <c r="U21" s="53"/>
    </row>
    <row r="22" spans="1:22" s="53" customFormat="1">
      <c r="A22" s="51"/>
      <c r="B22" s="51"/>
      <c r="C22" s="51"/>
      <c r="D22" s="51"/>
      <c r="E22" s="36"/>
      <c r="F22" s="36"/>
      <c r="G22" s="37"/>
      <c r="H22" s="52"/>
    </row>
    <row r="23" spans="1:22">
      <c r="A23" s="1" t="s">
        <v>277</v>
      </c>
      <c r="B23" s="1"/>
      <c r="C23" s="1"/>
      <c r="D23" s="1"/>
      <c r="E23" s="42" t="s">
        <v>289</v>
      </c>
      <c r="F23" s="42"/>
      <c r="G23" s="44">
        <v>3600000000</v>
      </c>
      <c r="H23" s="52"/>
      <c r="J23" s="912"/>
      <c r="L23" s="1165"/>
      <c r="M23" s="53"/>
      <c r="N23" s="53"/>
      <c r="O23" s="53"/>
      <c r="P23" s="53"/>
      <c r="Q23" s="1165"/>
      <c r="R23" s="53"/>
      <c r="S23" s="1165"/>
      <c r="T23" s="1165"/>
      <c r="U23" s="1165"/>
      <c r="V23" s="909"/>
    </row>
    <row r="24" spans="1:22">
      <c r="A24" s="1" t="s">
        <v>277</v>
      </c>
      <c r="B24" s="1"/>
      <c r="C24" s="1"/>
      <c r="D24" s="1"/>
      <c r="E24" s="42" t="s">
        <v>673</v>
      </c>
      <c r="F24" s="42"/>
      <c r="G24" s="44">
        <v>3745000000</v>
      </c>
      <c r="H24" s="52"/>
      <c r="J24" s="912"/>
      <c r="L24" s="1165"/>
      <c r="M24" s="1166"/>
      <c r="N24" s="53"/>
      <c r="O24" s="1129"/>
      <c r="P24" s="53"/>
      <c r="Q24" s="1165"/>
      <c r="R24" s="53"/>
      <c r="S24" s="53"/>
      <c r="T24" s="53"/>
      <c r="U24" s="53"/>
    </row>
    <row r="25" spans="1:22" hidden="1">
      <c r="A25" s="1" t="s">
        <v>277</v>
      </c>
      <c r="B25" s="1"/>
      <c r="C25" s="1"/>
      <c r="D25" s="1"/>
      <c r="E25" s="42" t="s">
        <v>689</v>
      </c>
      <c r="F25" s="42"/>
      <c r="G25" s="44">
        <v>0</v>
      </c>
      <c r="H25" s="52"/>
      <c r="J25" s="912"/>
      <c r="L25" s="53"/>
      <c r="M25" s="53"/>
      <c r="N25" s="53"/>
      <c r="O25" s="53"/>
      <c r="P25" s="53"/>
      <c r="Q25" s="53"/>
      <c r="R25" s="53"/>
      <c r="S25" s="53"/>
      <c r="T25" s="53"/>
      <c r="U25" s="53"/>
    </row>
    <row r="26" spans="1:22">
      <c r="A26" s="1" t="s">
        <v>291</v>
      </c>
      <c r="B26" s="1"/>
      <c r="C26" s="1"/>
      <c r="D26" s="1"/>
      <c r="E26" s="42" t="s">
        <v>296</v>
      </c>
      <c r="F26" s="42"/>
      <c r="G26" s="44">
        <v>6001211869.79</v>
      </c>
      <c r="H26" s="52"/>
      <c r="I26" s="24"/>
      <c r="J26" s="909"/>
      <c r="K26" s="909"/>
      <c r="L26" s="1165"/>
      <c r="M26" s="53"/>
      <c r="N26" s="53"/>
      <c r="O26" s="53"/>
      <c r="P26" s="53"/>
      <c r="Q26" s="53"/>
      <c r="R26" s="53"/>
      <c r="S26" s="53"/>
      <c r="T26" s="53"/>
      <c r="U26" s="53"/>
    </row>
    <row r="27" spans="1:22" hidden="1">
      <c r="A27" s="1" t="s">
        <v>459</v>
      </c>
      <c r="B27" s="1"/>
      <c r="C27" s="1"/>
      <c r="D27" s="1"/>
      <c r="E27" s="42" t="s">
        <v>675</v>
      </c>
      <c r="F27" s="42"/>
      <c r="G27" s="44">
        <v>0</v>
      </c>
      <c r="H27" s="52"/>
      <c r="L27" s="53"/>
      <c r="M27" s="53"/>
      <c r="N27" s="53"/>
      <c r="O27" s="53"/>
      <c r="P27" s="53"/>
      <c r="Q27" s="53"/>
      <c r="R27" s="53"/>
      <c r="S27" s="53"/>
      <c r="T27" s="53"/>
      <c r="U27" s="53"/>
    </row>
    <row r="28" spans="1:22" hidden="1" outlineLevel="1">
      <c r="A28" s="1"/>
      <c r="B28" s="1"/>
      <c r="C28" s="1"/>
      <c r="D28" s="1"/>
      <c r="E28" s="42"/>
      <c r="F28" s="42"/>
      <c r="G28" s="52"/>
      <c r="H28" s="52"/>
      <c r="L28" s="53"/>
      <c r="M28" s="53"/>
      <c r="N28" s="53"/>
      <c r="O28" s="53"/>
      <c r="P28" s="53"/>
      <c r="Q28" s="53"/>
      <c r="R28" s="53"/>
      <c r="S28" s="53"/>
      <c r="T28" s="53"/>
      <c r="U28" s="53"/>
    </row>
    <row r="29" spans="1:22" hidden="1" outlineLevel="1">
      <c r="A29" s="32" t="s">
        <v>278</v>
      </c>
      <c r="B29" s="32"/>
      <c r="C29" s="33"/>
      <c r="D29" s="33" t="s">
        <v>290</v>
      </c>
      <c r="E29" s="33"/>
      <c r="F29" s="33"/>
      <c r="G29" s="35">
        <f>SUM(G31:G31)</f>
        <v>0</v>
      </c>
      <c r="H29" s="54"/>
      <c r="L29" s="53"/>
      <c r="M29" s="53"/>
      <c r="N29" s="53"/>
      <c r="O29" s="53"/>
      <c r="P29" s="53"/>
      <c r="Q29" s="53"/>
      <c r="R29" s="53"/>
      <c r="S29" s="53"/>
      <c r="T29" s="53"/>
      <c r="U29" s="53"/>
    </row>
    <row r="30" spans="1:22" s="53" customFormat="1" hidden="1" outlineLevel="1">
      <c r="A30" s="51"/>
      <c r="B30" s="51"/>
      <c r="C30" s="51"/>
      <c r="D30" s="51"/>
      <c r="E30" s="36"/>
      <c r="F30" s="36"/>
      <c r="G30" s="37"/>
      <c r="H30" s="52"/>
    </row>
    <row r="31" spans="1:22" hidden="1" outlineLevel="1">
      <c r="A31" s="1" t="s">
        <v>279</v>
      </c>
      <c r="B31" s="1"/>
      <c r="C31" s="1"/>
      <c r="D31" s="1"/>
      <c r="E31" s="42" t="s">
        <v>281</v>
      </c>
      <c r="F31" s="42"/>
      <c r="G31" s="44">
        <f>+G32+G33</f>
        <v>0</v>
      </c>
      <c r="H31" s="52"/>
      <c r="L31" s="53"/>
      <c r="M31" s="53"/>
      <c r="N31" s="53"/>
      <c r="O31" s="53"/>
      <c r="P31" s="53"/>
      <c r="Q31" s="53"/>
      <c r="R31" s="53"/>
      <c r="S31" s="53"/>
      <c r="T31" s="53"/>
      <c r="U31" s="53"/>
    </row>
    <row r="32" spans="1:22" hidden="1" outlineLevel="1">
      <c r="A32" s="1"/>
      <c r="B32" s="1"/>
      <c r="C32" s="1"/>
      <c r="D32" s="1"/>
      <c r="E32" s="42" t="s">
        <v>447</v>
      </c>
      <c r="F32" s="42"/>
      <c r="G32" s="44">
        <v>0</v>
      </c>
      <c r="H32" s="52"/>
      <c r="L32" s="53"/>
      <c r="M32" s="53"/>
      <c r="N32" s="53"/>
      <c r="O32" s="53"/>
      <c r="P32" s="53"/>
      <c r="Q32" s="53"/>
      <c r="R32" s="53"/>
      <c r="S32" s="53"/>
      <c r="T32" s="53"/>
      <c r="U32" s="53"/>
    </row>
    <row r="33" spans="1:21" hidden="1" outlineLevel="1">
      <c r="A33" s="1"/>
      <c r="B33" s="1"/>
      <c r="C33" s="1"/>
      <c r="D33" s="1"/>
      <c r="E33" s="42" t="s">
        <v>433</v>
      </c>
      <c r="F33" s="42"/>
      <c r="G33" s="44">
        <v>0</v>
      </c>
      <c r="H33" s="52"/>
      <c r="L33" s="53"/>
      <c r="M33" s="53"/>
      <c r="N33" s="53"/>
      <c r="O33" s="53"/>
      <c r="P33" s="53"/>
      <c r="Q33" s="53"/>
      <c r="R33" s="53"/>
      <c r="S33" s="53"/>
      <c r="T33" s="53"/>
      <c r="U33" s="53"/>
    </row>
    <row r="34" spans="1:21" collapsed="1">
      <c r="A34" s="55"/>
      <c r="B34" s="55"/>
      <c r="C34" s="55"/>
      <c r="D34" s="55"/>
      <c r="E34" s="56"/>
      <c r="F34" s="56"/>
      <c r="G34" s="57"/>
      <c r="H34" s="57"/>
      <c r="L34" s="53"/>
      <c r="M34" s="53"/>
      <c r="N34" s="53"/>
      <c r="O34" s="53"/>
      <c r="P34" s="53"/>
      <c r="Q34" s="53"/>
      <c r="R34" s="53"/>
      <c r="S34" s="53"/>
      <c r="T34" s="53"/>
      <c r="U34" s="53"/>
    </row>
    <row r="35" spans="1:21">
      <c r="A35" s="32" t="s">
        <v>263</v>
      </c>
      <c r="B35" s="32"/>
      <c r="C35" s="32"/>
      <c r="D35" s="32"/>
      <c r="E35" s="33" t="s">
        <v>264</v>
      </c>
      <c r="F35" s="33"/>
      <c r="G35" s="54"/>
      <c r="H35" s="46">
        <f>+G37</f>
        <v>4567415829.75</v>
      </c>
      <c r="L35" s="53"/>
      <c r="M35" s="53"/>
      <c r="N35" s="53"/>
      <c r="O35" s="53"/>
      <c r="P35" s="53"/>
      <c r="Q35" s="53"/>
      <c r="R35" s="53"/>
      <c r="S35" s="53"/>
      <c r="T35" s="53"/>
      <c r="U35" s="53"/>
    </row>
    <row r="36" spans="1:21">
      <c r="A36" s="29"/>
      <c r="B36" s="29"/>
      <c r="C36" s="29"/>
      <c r="D36" s="29"/>
      <c r="E36" s="36"/>
      <c r="F36" s="36"/>
      <c r="G36" s="52"/>
      <c r="H36" s="39"/>
      <c r="L36" s="53"/>
      <c r="M36" s="53"/>
      <c r="N36" s="53"/>
      <c r="O36" s="53"/>
      <c r="P36" s="53"/>
      <c r="Q36" s="53"/>
      <c r="R36" s="53"/>
      <c r="S36" s="53"/>
      <c r="T36" s="53"/>
      <c r="U36" s="53"/>
    </row>
    <row r="37" spans="1:21">
      <c r="A37" s="58" t="s">
        <v>265</v>
      </c>
      <c r="B37" s="58"/>
      <c r="C37" s="58"/>
      <c r="D37" s="58"/>
      <c r="E37" s="59" t="s">
        <v>266</v>
      </c>
      <c r="F37" s="59"/>
      <c r="G37" s="60">
        <f>+G39+G44</f>
        <v>4567415829.75</v>
      </c>
      <c r="H37" s="61"/>
      <c r="L37" s="53"/>
      <c r="M37" s="53"/>
      <c r="N37" s="53"/>
      <c r="O37" s="53"/>
      <c r="P37" s="53"/>
      <c r="Q37" s="53"/>
      <c r="R37" s="53"/>
      <c r="S37" s="53"/>
      <c r="T37" s="53"/>
      <c r="U37" s="53"/>
    </row>
    <row r="38" spans="1:21" hidden="1">
      <c r="A38" s="29"/>
      <c r="B38" s="29"/>
      <c r="C38" s="29"/>
      <c r="D38" s="29"/>
      <c r="E38" s="38"/>
      <c r="F38" s="38"/>
      <c r="G38" s="37"/>
      <c r="H38" s="39"/>
      <c r="L38" s="53"/>
      <c r="M38" s="53"/>
      <c r="N38" s="53"/>
      <c r="O38" s="53"/>
      <c r="P38" s="53"/>
      <c r="Q38" s="53"/>
      <c r="R38" s="53"/>
      <c r="S38" s="53"/>
      <c r="T38" s="53"/>
      <c r="U38" s="53"/>
    </row>
    <row r="39" spans="1:21" hidden="1" outlineLevel="2">
      <c r="A39" s="62" t="s">
        <v>267</v>
      </c>
      <c r="B39" s="62"/>
      <c r="C39" s="62"/>
      <c r="D39" s="62"/>
      <c r="E39" s="63" t="s">
        <v>316</v>
      </c>
      <c r="F39" s="63"/>
      <c r="G39" s="52">
        <f>SUM(G40:G42)</f>
        <v>0</v>
      </c>
      <c r="H39" s="52"/>
      <c r="I39" s="23"/>
      <c r="L39" s="53"/>
      <c r="M39" s="53"/>
      <c r="N39" s="53"/>
      <c r="O39" s="53"/>
      <c r="P39" s="53"/>
      <c r="Q39" s="53"/>
      <c r="R39" s="53"/>
      <c r="S39" s="53"/>
      <c r="T39" s="53"/>
      <c r="U39" s="53"/>
    </row>
    <row r="40" spans="1:21" s="65" customFormat="1" hidden="1" outlineLevel="2">
      <c r="A40" s="62"/>
      <c r="B40" s="62"/>
      <c r="C40" s="62"/>
      <c r="D40" s="62"/>
      <c r="E40" s="63" t="s">
        <v>691</v>
      </c>
      <c r="F40" s="63"/>
      <c r="G40" s="64">
        <v>0</v>
      </c>
      <c r="H40" s="52"/>
      <c r="L40" s="53"/>
      <c r="M40" s="53"/>
      <c r="N40" s="53"/>
      <c r="O40" s="53"/>
      <c r="P40" s="53"/>
      <c r="Q40" s="53"/>
      <c r="R40" s="53"/>
      <c r="S40" s="53"/>
      <c r="T40" s="53"/>
      <c r="U40" s="53"/>
    </row>
    <row r="41" spans="1:21" hidden="1" outlineLevel="2">
      <c r="A41" s="62"/>
      <c r="B41" s="62"/>
      <c r="C41" s="62"/>
      <c r="D41" s="62"/>
      <c r="E41" s="63" t="s">
        <v>692</v>
      </c>
      <c r="F41" s="42"/>
      <c r="G41" s="64">
        <v>0</v>
      </c>
      <c r="H41" s="52"/>
      <c r="L41" s="53"/>
      <c r="M41" s="53"/>
      <c r="N41" s="53"/>
      <c r="O41" s="53"/>
      <c r="P41" s="53"/>
      <c r="Q41" s="53"/>
      <c r="R41" s="53"/>
      <c r="S41" s="53"/>
      <c r="T41" s="53"/>
      <c r="U41" s="53"/>
    </row>
    <row r="42" spans="1:21" hidden="1" outlineLevel="2">
      <c r="A42" s="62"/>
      <c r="B42" s="62"/>
      <c r="C42" s="62"/>
      <c r="D42" s="62"/>
      <c r="E42" s="42" t="s">
        <v>690</v>
      </c>
      <c r="F42" s="42"/>
      <c r="G42" s="64">
        <v>0</v>
      </c>
      <c r="H42" s="52"/>
      <c r="L42" s="53"/>
      <c r="M42" s="53"/>
      <c r="N42" s="53"/>
      <c r="O42" s="53"/>
      <c r="P42" s="53"/>
      <c r="Q42" s="53"/>
      <c r="R42" s="53"/>
      <c r="S42" s="53"/>
      <c r="T42" s="53"/>
      <c r="U42" s="53"/>
    </row>
    <row r="43" spans="1:21" outlineLevel="2">
      <c r="A43" s="62"/>
      <c r="B43" s="62"/>
      <c r="C43" s="62"/>
      <c r="D43" s="62"/>
      <c r="E43" s="42"/>
      <c r="F43" s="42"/>
      <c r="G43" s="52"/>
      <c r="H43" s="52"/>
      <c r="L43" s="1167"/>
      <c r="M43" s="53"/>
      <c r="N43" s="53"/>
      <c r="O43" s="53"/>
      <c r="P43" s="53"/>
      <c r="Q43" s="53"/>
      <c r="R43" s="53"/>
      <c r="S43" s="53"/>
      <c r="T43" s="53"/>
      <c r="U43" s="53"/>
    </row>
    <row r="44" spans="1:21">
      <c r="A44" s="62" t="s">
        <v>317</v>
      </c>
      <c r="B44" s="62"/>
      <c r="C44" s="62"/>
      <c r="D44" s="62"/>
      <c r="E44" s="42" t="s">
        <v>318</v>
      </c>
      <c r="F44" s="42"/>
      <c r="G44" s="994">
        <v>4567415829.75</v>
      </c>
      <c r="H44" s="52"/>
      <c r="I44" s="24"/>
      <c r="J44" s="909">
        <v>4567415829.75</v>
      </c>
      <c r="K44" s="1028">
        <f>+G44-J44</f>
        <v>0</v>
      </c>
      <c r="L44" s="1165"/>
      <c r="M44" s="1165"/>
      <c r="N44" s="53"/>
      <c r="O44" s="53"/>
      <c r="P44" s="53"/>
      <c r="Q44" s="53"/>
      <c r="R44" s="53"/>
      <c r="S44" s="53"/>
      <c r="T44" s="53"/>
      <c r="U44" s="53"/>
    </row>
    <row r="45" spans="1:21" hidden="1">
      <c r="A45" s="51"/>
      <c r="B45" s="51"/>
      <c r="C45" s="51"/>
      <c r="D45" s="51"/>
      <c r="E45" s="38"/>
      <c r="F45" s="38"/>
      <c r="G45" s="39"/>
      <c r="H45" s="52"/>
      <c r="L45" s="1167"/>
      <c r="M45" s="53"/>
      <c r="N45" s="53"/>
      <c r="O45" s="53"/>
      <c r="P45" s="53"/>
      <c r="Q45" s="53"/>
      <c r="R45" s="53"/>
      <c r="S45" s="53"/>
      <c r="T45" s="53"/>
      <c r="U45" s="53"/>
    </row>
    <row r="46" spans="1:21" hidden="1">
      <c r="A46" s="51"/>
      <c r="B46" s="51"/>
      <c r="C46" s="51"/>
      <c r="D46" s="51"/>
      <c r="E46" s="38"/>
      <c r="F46" s="38"/>
      <c r="G46" s="39"/>
      <c r="H46" s="52"/>
      <c r="L46" s="1167"/>
      <c r="M46" s="53"/>
      <c r="N46" s="53"/>
      <c r="O46" s="53"/>
      <c r="P46" s="53"/>
      <c r="Q46" s="53"/>
      <c r="R46" s="53"/>
      <c r="S46" s="53"/>
      <c r="T46" s="53"/>
      <c r="U46" s="53"/>
    </row>
    <row r="47" spans="1:21" hidden="1" outlineLevel="1">
      <c r="A47" s="1" t="s">
        <v>325</v>
      </c>
      <c r="B47" s="1"/>
      <c r="C47" s="1"/>
      <c r="D47" s="1"/>
      <c r="E47" s="42" t="s">
        <v>448</v>
      </c>
      <c r="F47" s="66">
        <v>0</v>
      </c>
      <c r="G47" s="52" t="s">
        <v>325</v>
      </c>
      <c r="H47" s="52" t="s">
        <v>325</v>
      </c>
      <c r="L47" s="1167"/>
      <c r="M47" s="53"/>
      <c r="N47" s="53"/>
      <c r="O47" s="53"/>
      <c r="P47" s="53"/>
      <c r="Q47" s="53"/>
      <c r="R47" s="53"/>
      <c r="S47" s="53"/>
      <c r="T47" s="53"/>
      <c r="U47" s="53"/>
    </row>
    <row r="48" spans="1:21" hidden="1" outlineLevel="1">
      <c r="A48" s="1"/>
      <c r="B48" s="1"/>
      <c r="C48" s="1"/>
      <c r="D48" s="1"/>
      <c r="E48" s="42" t="s">
        <v>358</v>
      </c>
      <c r="F48" s="67">
        <v>0</v>
      </c>
      <c r="G48" s="24"/>
      <c r="H48" s="52"/>
      <c r="L48" s="1167"/>
      <c r="M48" s="53"/>
      <c r="N48" s="53"/>
      <c r="O48" s="53"/>
      <c r="P48" s="53"/>
      <c r="Q48" s="53"/>
      <c r="R48" s="53"/>
      <c r="S48" s="53"/>
      <c r="T48" s="53"/>
      <c r="U48" s="53"/>
    </row>
    <row r="49" spans="1:21" hidden="1" outlineLevel="1">
      <c r="A49" s="1"/>
      <c r="B49" s="1"/>
      <c r="C49" s="1"/>
      <c r="D49" s="1"/>
      <c r="E49" s="42" t="s">
        <v>705</v>
      </c>
      <c r="F49" s="67">
        <v>0</v>
      </c>
      <c r="G49" s="24"/>
      <c r="H49" s="52"/>
      <c r="L49" s="1167"/>
      <c r="M49" s="53"/>
      <c r="N49" s="53"/>
      <c r="O49" s="53"/>
      <c r="P49" s="53"/>
      <c r="Q49" s="53"/>
      <c r="R49" s="53"/>
      <c r="S49" s="53"/>
      <c r="T49" s="53"/>
      <c r="U49" s="53"/>
    </row>
    <row r="50" spans="1:21" hidden="1" outlineLevel="1">
      <c r="A50" s="1"/>
      <c r="B50" s="1"/>
      <c r="C50" s="1"/>
      <c r="D50" s="1"/>
      <c r="E50" s="42" t="s">
        <v>693</v>
      </c>
      <c r="F50" s="67">
        <v>0</v>
      </c>
      <c r="G50" s="24"/>
      <c r="H50" s="52"/>
      <c r="L50" s="1167"/>
      <c r="M50" s="53"/>
      <c r="N50" s="53"/>
      <c r="O50" s="53"/>
      <c r="P50" s="53"/>
      <c r="Q50" s="53"/>
      <c r="R50" s="53"/>
      <c r="S50" s="53"/>
      <c r="T50" s="53"/>
      <c r="U50" s="53"/>
    </row>
    <row r="51" spans="1:21" hidden="1" outlineLevel="1">
      <c r="A51" s="1"/>
      <c r="B51" s="1"/>
      <c r="C51" s="1"/>
      <c r="D51" s="1"/>
      <c r="E51" s="42" t="s">
        <v>694</v>
      </c>
      <c r="F51" s="68">
        <v>0</v>
      </c>
      <c r="G51" s="24"/>
      <c r="H51" s="52"/>
      <c r="L51" s="1167"/>
      <c r="M51" s="53"/>
      <c r="N51" s="53"/>
      <c r="O51" s="53"/>
      <c r="P51" s="53"/>
      <c r="Q51" s="53"/>
      <c r="R51" s="53"/>
      <c r="S51" s="53"/>
      <c r="T51" s="53"/>
      <c r="U51" s="53"/>
    </row>
    <row r="52" spans="1:21" hidden="1" outlineLevel="1">
      <c r="A52" s="1"/>
      <c r="B52" s="1"/>
      <c r="C52" s="1"/>
      <c r="D52" s="1"/>
      <c r="E52" s="42" t="s">
        <v>695</v>
      </c>
      <c r="F52" s="68">
        <v>0</v>
      </c>
      <c r="G52" s="24"/>
      <c r="H52" s="52"/>
      <c r="L52" s="1167"/>
      <c r="M52" s="53"/>
      <c r="N52" s="53"/>
      <c r="O52" s="53"/>
      <c r="P52" s="53"/>
      <c r="Q52" s="53"/>
      <c r="R52" s="53"/>
      <c r="S52" s="53"/>
      <c r="T52" s="53"/>
      <c r="U52" s="53"/>
    </row>
    <row r="53" spans="1:21" hidden="1" outlineLevel="1">
      <c r="A53" s="1"/>
      <c r="B53" s="1"/>
      <c r="C53" s="1"/>
      <c r="D53" s="1"/>
      <c r="E53" s="42" t="s">
        <v>696</v>
      </c>
      <c r="F53" s="66">
        <v>0</v>
      </c>
      <c r="G53" s="24"/>
      <c r="H53" s="52"/>
      <c r="L53" s="1167"/>
      <c r="M53" s="53"/>
      <c r="N53" s="53"/>
      <c r="O53" s="53"/>
      <c r="P53" s="53"/>
      <c r="Q53" s="53"/>
      <c r="R53" s="53"/>
      <c r="S53" s="53"/>
      <c r="T53" s="53"/>
      <c r="U53" s="53"/>
    </row>
    <row r="54" spans="1:21" hidden="1" outlineLevel="1">
      <c r="A54" s="1"/>
      <c r="B54" s="1"/>
      <c r="C54" s="1"/>
      <c r="D54" s="1"/>
      <c r="E54" s="42" t="s">
        <v>706</v>
      </c>
      <c r="F54" s="66">
        <v>0</v>
      </c>
      <c r="G54" s="24"/>
      <c r="H54" s="52"/>
      <c r="L54" s="1167"/>
      <c r="M54" s="53"/>
      <c r="N54" s="53"/>
      <c r="O54" s="53"/>
      <c r="P54" s="53"/>
      <c r="Q54" s="53"/>
      <c r="R54" s="53"/>
      <c r="S54" s="53"/>
      <c r="T54" s="53"/>
      <c r="U54" s="53"/>
    </row>
    <row r="55" spans="1:21" ht="8.1" hidden="1" customHeight="1" outlineLevel="1">
      <c r="A55" s="1"/>
      <c r="B55" s="1"/>
      <c r="C55" s="1"/>
      <c r="D55" s="1"/>
      <c r="E55" s="42"/>
      <c r="F55" s="42"/>
      <c r="G55" s="52"/>
      <c r="H55" s="52"/>
      <c r="L55" s="1167"/>
      <c r="M55" s="53"/>
      <c r="N55" s="53"/>
      <c r="O55" s="53"/>
      <c r="P55" s="53"/>
      <c r="Q55" s="53"/>
      <c r="R55" s="53"/>
      <c r="S55" s="53"/>
      <c r="T55" s="53"/>
      <c r="U55" s="53"/>
    </row>
    <row r="56" spans="1:21" ht="18" collapsed="1" thickBot="1">
      <c r="A56" s="69"/>
      <c r="B56" s="69"/>
      <c r="C56" s="69"/>
      <c r="D56" s="69"/>
      <c r="E56" s="70"/>
      <c r="F56" s="70"/>
      <c r="G56" s="71"/>
      <c r="H56" s="71"/>
      <c r="K56" s="6"/>
      <c r="L56" s="1167"/>
      <c r="M56" s="53"/>
      <c r="N56" s="53"/>
      <c r="O56" s="53"/>
      <c r="P56" s="53"/>
      <c r="Q56" s="53"/>
      <c r="R56" s="53"/>
      <c r="S56" s="53"/>
      <c r="T56" s="53"/>
      <c r="U56" s="53"/>
    </row>
    <row r="57" spans="1:21" ht="16.8" thickTop="1">
      <c r="L57" s="1167"/>
      <c r="M57" s="1166"/>
      <c r="N57" s="53"/>
      <c r="O57" s="53"/>
      <c r="P57" s="53"/>
      <c r="Q57" s="53"/>
      <c r="R57" s="53"/>
      <c r="S57" s="53"/>
      <c r="T57" s="53"/>
      <c r="U57" s="53"/>
    </row>
    <row r="58" spans="1:21">
      <c r="J58" s="72" t="s">
        <v>325</v>
      </c>
      <c r="L58" s="1167"/>
      <c r="M58" s="53"/>
      <c r="N58" s="53"/>
      <c r="O58" s="53"/>
      <c r="P58" s="53"/>
      <c r="Q58" s="53"/>
      <c r="R58" s="53"/>
      <c r="S58" s="53"/>
      <c r="T58" s="53"/>
      <c r="U58" s="53"/>
    </row>
    <row r="61" spans="1:21">
      <c r="H61" s="73" t="s">
        <v>325</v>
      </c>
    </row>
  </sheetData>
  <mergeCells count="5">
    <mergeCell ref="A7:H7"/>
    <mergeCell ref="E2:H2"/>
    <mergeCell ref="A3:H3"/>
    <mergeCell ref="A4:H4"/>
    <mergeCell ref="A6:H6"/>
  </mergeCells>
  <phoneticPr fontId="0" type="noConversion"/>
  <printOptions horizontalCentered="1"/>
  <pageMargins left="0.78740157480314965" right="0.78740157480314965" top="0.98425196850393704" bottom="0.98425196850393704" header="0.59055118110236227" footer="0.59055118110236227"/>
  <pageSetup scale="80" orientation="portrait" useFirstPageNumber="1" r:id="rId1"/>
  <headerFooter alignWithMargins="0">
    <oddFooter>&amp;C&amp;"Tw Cen MT,Normal"&amp;P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8"/>
  <dimension ref="A2:J44"/>
  <sheetViews>
    <sheetView showGridLines="0" topLeftCell="A9" workbookViewId="0">
      <selection activeCell="L28" sqref="L28"/>
    </sheetView>
  </sheetViews>
  <sheetFormatPr baseColWidth="10" defaultColWidth="11.44140625" defaultRowHeight="16.2"/>
  <cols>
    <col min="1" max="1" width="10.109375" style="3" customWidth="1"/>
    <col min="2" max="2" width="2.109375" style="3" customWidth="1"/>
    <col min="3" max="3" width="37.88671875" style="3" customWidth="1"/>
    <col min="4" max="4" width="3.109375" style="3" customWidth="1"/>
    <col min="5" max="5" width="17" style="3" customWidth="1"/>
    <col min="6" max="6" width="2" style="3" customWidth="1"/>
    <col min="7" max="7" width="12.33203125" style="3" bestFit="1" customWidth="1"/>
    <col min="8" max="8" width="11.88671875" style="3" bestFit="1" customWidth="1"/>
    <col min="9" max="16384" width="11.44140625" style="3"/>
  </cols>
  <sheetData>
    <row r="2" spans="1:8" ht="16.8" thickBot="1">
      <c r="C2" s="345"/>
      <c r="D2" s="345"/>
      <c r="E2" s="345"/>
      <c r="F2" s="345"/>
      <c r="G2" s="12"/>
    </row>
    <row r="5" spans="1:8">
      <c r="A5" s="1274" t="s">
        <v>0</v>
      </c>
      <c r="B5" s="1274"/>
      <c r="C5" s="1274"/>
      <c r="D5" s="1274"/>
      <c r="E5" s="1274"/>
      <c r="F5" s="1274"/>
      <c r="G5" s="1274"/>
    </row>
    <row r="6" spans="1:8" hidden="1">
      <c r="A6" s="656"/>
      <c r="B6" s="656"/>
      <c r="C6" s="656"/>
      <c r="D6" s="656"/>
      <c r="E6" s="656"/>
      <c r="F6" s="656"/>
      <c r="G6" s="656"/>
    </row>
    <row r="7" spans="1:8" hidden="1">
      <c r="A7" s="656"/>
      <c r="B7" s="656"/>
      <c r="C7" s="656"/>
      <c r="D7" s="656"/>
      <c r="E7" s="656"/>
      <c r="F7" s="656"/>
    </row>
    <row r="8" spans="1:8" hidden="1">
      <c r="A8" s="656"/>
      <c r="B8" s="656"/>
      <c r="C8" s="656"/>
      <c r="D8" s="656"/>
    </row>
    <row r="9" spans="1:8" ht="18.600000000000001">
      <c r="A9" s="1275" t="s">
        <v>39</v>
      </c>
      <c r="B9" s="1275"/>
      <c r="C9" s="1275"/>
      <c r="D9" s="1275"/>
      <c r="E9" s="1275"/>
      <c r="F9" s="1275"/>
      <c r="G9" s="1275"/>
    </row>
    <row r="10" spans="1:8">
      <c r="A10" s="1273" t="s">
        <v>42</v>
      </c>
      <c r="B10" s="1273"/>
      <c r="C10" s="1273"/>
      <c r="D10" s="1273"/>
      <c r="E10" s="1273"/>
      <c r="F10" s="1273"/>
      <c r="G10" s="1273"/>
    </row>
    <row r="11" spans="1:8">
      <c r="A11" s="1273" t="s">
        <v>43</v>
      </c>
      <c r="B11" s="1273"/>
      <c r="C11" s="1273"/>
      <c r="D11" s="1273"/>
      <c r="E11" s="1273"/>
      <c r="F11" s="1273"/>
      <c r="G11" s="1273"/>
    </row>
    <row r="12" spans="1:8">
      <c r="A12" s="1273" t="s">
        <v>37</v>
      </c>
      <c r="B12" s="1273"/>
      <c r="C12" s="1273"/>
      <c r="D12" s="1273"/>
      <c r="E12" s="1273"/>
      <c r="F12" s="1273"/>
      <c r="G12" s="1273"/>
    </row>
    <row r="13" spans="1:8" ht="16.8" thickBot="1">
      <c r="A13" s="657"/>
      <c r="B13" s="657"/>
      <c r="C13" s="657"/>
      <c r="D13" s="657"/>
      <c r="E13" s="657"/>
    </row>
    <row r="14" spans="1:8" ht="25.5" customHeight="1" thickBot="1">
      <c r="A14" s="354"/>
      <c r="B14" s="658"/>
      <c r="C14" s="659" t="s">
        <v>40</v>
      </c>
      <c r="D14" s="659"/>
      <c r="E14" s="659" t="s">
        <v>41</v>
      </c>
      <c r="F14" s="660"/>
    </row>
    <row r="15" spans="1:8" ht="12.75" customHeight="1" thickTop="1">
      <c r="A15" s="354"/>
      <c r="B15" s="661"/>
      <c r="C15" s="662"/>
      <c r="D15" s="662"/>
      <c r="E15" s="662"/>
      <c r="F15" s="663"/>
    </row>
    <row r="16" spans="1:8" ht="9.9" customHeight="1">
      <c r="B16" s="186"/>
      <c r="C16" s="664"/>
      <c r="D16" s="665"/>
      <c r="E16" s="666"/>
      <c r="F16" s="667"/>
      <c r="H16" s="23"/>
    </row>
    <row r="17" spans="2:10" ht="15.9" customHeight="1">
      <c r="B17" s="186"/>
      <c r="C17" s="668" t="s">
        <v>56</v>
      </c>
      <c r="D17" s="669"/>
      <c r="E17" s="670">
        <f>+'RESUMEN 01'!E17+'RESUMEN 02'!E17+'RESUMEN 03'!E17+'RESUMEN 04'!E17</f>
        <v>3003903580.1900001</v>
      </c>
      <c r="F17" s="667"/>
      <c r="G17" s="23"/>
      <c r="H17" s="23"/>
    </row>
    <row r="18" spans="2:10" ht="9.9" customHeight="1">
      <c r="B18" s="186"/>
      <c r="C18" s="668"/>
      <c r="D18" s="669"/>
      <c r="E18" s="670"/>
      <c r="F18" s="667"/>
    </row>
    <row r="19" spans="2:10" ht="15.9" customHeight="1">
      <c r="B19" s="186"/>
      <c r="C19" s="668" t="s">
        <v>21</v>
      </c>
      <c r="D19" s="669"/>
      <c r="E19" s="670">
        <f>+'RESUMEN 01'!E19+'RESUMEN 03'!E19+'RESUMEN 04'!E19</f>
        <v>287559424</v>
      </c>
      <c r="F19" s="667"/>
      <c r="G19" s="23"/>
      <c r="H19" s="23"/>
    </row>
    <row r="20" spans="2:10" ht="9.9" customHeight="1">
      <c r="B20" s="186"/>
      <c r="C20" s="668"/>
      <c r="D20" s="669"/>
      <c r="E20" s="670"/>
      <c r="F20" s="667"/>
    </row>
    <row r="21" spans="2:10" ht="15.9" customHeight="1">
      <c r="B21" s="186"/>
      <c r="C21" s="668" t="s">
        <v>53</v>
      </c>
      <c r="D21" s="669"/>
      <c r="E21" s="670">
        <f>+'RESUMEN 01'!E21+'RESUMEN 02'!E21+'RESUMEN 03'!E21</f>
        <v>1299287233.96</v>
      </c>
      <c r="F21" s="667"/>
      <c r="G21" s="23"/>
      <c r="H21" s="23"/>
      <c r="J21" s="23"/>
    </row>
    <row r="22" spans="2:10" ht="9.9" customHeight="1">
      <c r="B22" s="186"/>
      <c r="C22" s="668"/>
      <c r="D22" s="669"/>
      <c r="E22" s="670"/>
      <c r="F22" s="667"/>
    </row>
    <row r="23" spans="2:10" ht="15.9" customHeight="1">
      <c r="B23" s="186"/>
      <c r="C23" s="668" t="s">
        <v>19</v>
      </c>
      <c r="D23" s="669"/>
      <c r="E23" s="670">
        <f>+'RESUMEN 01'!E23+'RESUMEN 03'!E23+'RESUMEN 04'!E23</f>
        <v>654919272</v>
      </c>
      <c r="F23" s="667"/>
      <c r="G23" s="23"/>
      <c r="H23" s="23"/>
    </row>
    <row r="24" spans="2:10" hidden="1">
      <c r="B24" s="186"/>
      <c r="C24" s="668"/>
      <c r="D24" s="669"/>
      <c r="E24" s="670"/>
      <c r="F24" s="667"/>
    </row>
    <row r="25" spans="2:10" hidden="1">
      <c r="B25" s="186"/>
      <c r="C25" s="668" t="s">
        <v>54</v>
      </c>
      <c r="D25" s="669"/>
      <c r="E25" s="670">
        <v>0</v>
      </c>
      <c r="F25" s="667"/>
    </row>
    <row r="26" spans="2:10" hidden="1">
      <c r="B26" s="186"/>
      <c r="C26" s="668"/>
      <c r="D26" s="669"/>
      <c r="E26" s="670"/>
      <c r="F26" s="667"/>
    </row>
    <row r="27" spans="2:10" ht="9.9" customHeight="1">
      <c r="B27" s="671"/>
      <c r="C27" s="668"/>
      <c r="D27" s="669"/>
      <c r="E27" s="670"/>
      <c r="F27" s="667"/>
    </row>
    <row r="28" spans="2:10" ht="20.25" customHeight="1" thickBot="1">
      <c r="B28" s="672"/>
      <c r="C28" s="673" t="s">
        <v>20</v>
      </c>
      <c r="D28" s="673"/>
      <c r="E28" s="674">
        <f>SUM(E17:E27)</f>
        <v>5245669510.1499996</v>
      </c>
      <c r="F28" s="675"/>
      <c r="G28" s="23"/>
    </row>
    <row r="29" spans="2:10" ht="16.8" thickBot="1">
      <c r="B29" s="676"/>
      <c r="C29" s="677"/>
      <c r="D29" s="677"/>
      <c r="E29" s="677"/>
      <c r="F29" s="676"/>
    </row>
    <row r="30" spans="2:10" ht="16.8" thickTop="1">
      <c r="E30" s="24" t="s">
        <v>325</v>
      </c>
    </row>
    <row r="31" spans="2:10" hidden="1">
      <c r="E31" s="23">
        <f>+' CLASIFICACION DE GASTOS 2025'!G13</f>
        <v>10471326364.08</v>
      </c>
    </row>
    <row r="32" spans="2:10" hidden="1">
      <c r="E32" s="23">
        <f>+E31+E28</f>
        <v>15716995874.23</v>
      </c>
    </row>
    <row r="33" spans="5:5" hidden="1">
      <c r="E33" s="23">
        <v>17945569699.540001</v>
      </c>
    </row>
    <row r="34" spans="5:5" hidden="1">
      <c r="E34" s="23"/>
    </row>
    <row r="35" spans="5:5" hidden="1">
      <c r="E35" s="23">
        <f>+E33-E32</f>
        <v>2228573825.3100014</v>
      </c>
    </row>
    <row r="36" spans="5:5" hidden="1">
      <c r="E36" s="23">
        <v>2196631825.3100014</v>
      </c>
    </row>
    <row r="37" spans="5:5" hidden="1">
      <c r="E37" s="23">
        <f>+E35-E36</f>
        <v>31942000</v>
      </c>
    </row>
    <row r="38" spans="5:5" hidden="1"/>
    <row r="39" spans="5:5" hidden="1"/>
    <row r="40" spans="5:5" hidden="1"/>
    <row r="41" spans="5:5">
      <c r="E41" s="24"/>
    </row>
    <row r="42" spans="5:5">
      <c r="E42" s="24"/>
    </row>
    <row r="43" spans="5:5">
      <c r="E43" s="24"/>
    </row>
    <row r="44" spans="5:5">
      <c r="E44" s="24"/>
    </row>
  </sheetData>
  <mergeCells count="5">
    <mergeCell ref="A12:G12"/>
    <mergeCell ref="A5:G5"/>
    <mergeCell ref="A9:G9"/>
    <mergeCell ref="A10:G10"/>
    <mergeCell ref="A11:G11"/>
  </mergeCells>
  <phoneticPr fontId="0" type="noConversion"/>
  <printOptions horizontalCentered="1"/>
  <pageMargins left="1.1811023622047245" right="0.78740157480314965" top="1.1811023622047245" bottom="1.1811023622047245" header="0.59055118110236227" footer="0.59055118110236227"/>
  <pageSetup firstPageNumber="38" orientation="portrait" useFirstPageNumber="1" r:id="rId1"/>
  <headerFooter alignWithMargins="0">
    <oddFooter>&amp;C&amp;"Tw Cen MT,Normal"&amp;8&amp;P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9"/>
  <dimension ref="A3:J40"/>
  <sheetViews>
    <sheetView showGridLines="0" workbookViewId="0">
      <selection activeCell="L28" sqref="L28"/>
    </sheetView>
  </sheetViews>
  <sheetFormatPr baseColWidth="10" defaultColWidth="11.44140625" defaultRowHeight="16.2"/>
  <cols>
    <col min="1" max="1" width="11.44140625" style="3"/>
    <col min="2" max="2" width="1.88671875" style="3" customWidth="1"/>
    <col min="3" max="3" width="39" style="3" customWidth="1"/>
    <col min="4" max="4" width="3.6640625" style="3" customWidth="1"/>
    <col min="5" max="5" width="16.6640625" style="3" customWidth="1"/>
    <col min="6" max="6" width="1.88671875" style="3" customWidth="1"/>
    <col min="7" max="7" width="11.44140625" style="3"/>
    <col min="8" max="8" width="0" style="3" hidden="1" customWidth="1"/>
    <col min="9" max="9" width="13.33203125" style="3" hidden="1" customWidth="1"/>
    <col min="10" max="12" width="0" style="3" hidden="1" customWidth="1"/>
    <col min="13" max="16384" width="11.44140625" style="3"/>
  </cols>
  <sheetData>
    <row r="3" spans="1:7" ht="16.8" thickBot="1">
      <c r="C3" s="345"/>
      <c r="D3" s="345"/>
      <c r="E3" s="345"/>
      <c r="F3" s="345"/>
      <c r="G3" s="12"/>
    </row>
    <row r="5" spans="1:7">
      <c r="A5" s="1274" t="s">
        <v>0</v>
      </c>
      <c r="B5" s="1274"/>
      <c r="C5" s="1274"/>
      <c r="D5" s="1274"/>
      <c r="E5" s="1274"/>
      <c r="F5" s="1274"/>
      <c r="G5" s="1274"/>
    </row>
    <row r="6" spans="1:7">
      <c r="A6" s="656"/>
      <c r="B6" s="656"/>
      <c r="C6" s="656"/>
      <c r="D6" s="656"/>
      <c r="E6" s="656"/>
      <c r="F6" s="656"/>
      <c r="G6" s="656"/>
    </row>
    <row r="7" spans="1:7">
      <c r="A7" s="1206" t="s">
        <v>795</v>
      </c>
      <c r="B7" s="1206"/>
      <c r="C7" s="1206"/>
      <c r="D7" s="1206"/>
      <c r="E7" s="1206"/>
      <c r="F7" s="1206"/>
      <c r="G7" s="1206"/>
    </row>
    <row r="8" spans="1:7">
      <c r="A8" s="656"/>
      <c r="B8" s="656"/>
      <c r="C8" s="656"/>
      <c r="D8" s="656"/>
    </row>
    <row r="9" spans="1:7" ht="18.600000000000001">
      <c r="A9" s="1275" t="s">
        <v>39</v>
      </c>
      <c r="B9" s="1275"/>
      <c r="C9" s="1275"/>
      <c r="D9" s="1275"/>
      <c r="E9" s="1275"/>
      <c r="F9" s="1275"/>
      <c r="G9" s="1275"/>
    </row>
    <row r="10" spans="1:7">
      <c r="A10" s="1273" t="s">
        <v>42</v>
      </c>
      <c r="B10" s="1273"/>
      <c r="C10" s="1273"/>
      <c r="D10" s="1273"/>
      <c r="E10" s="1273"/>
      <c r="F10" s="1273"/>
      <c r="G10" s="1273"/>
    </row>
    <row r="11" spans="1:7">
      <c r="A11" s="1273" t="s">
        <v>43</v>
      </c>
      <c r="B11" s="1273"/>
      <c r="C11" s="1273"/>
      <c r="D11" s="1273"/>
      <c r="E11" s="1273"/>
      <c r="F11" s="1273"/>
      <c r="G11" s="1273"/>
    </row>
    <row r="12" spans="1:7">
      <c r="A12" s="1273" t="s">
        <v>37</v>
      </c>
      <c r="B12" s="1273"/>
      <c r="C12" s="1273"/>
      <c r="D12" s="1273"/>
      <c r="E12" s="1273"/>
      <c r="F12" s="1273"/>
      <c r="G12" s="1273"/>
    </row>
    <row r="13" spans="1:7" ht="16.8" thickBot="1">
      <c r="A13" s="657"/>
      <c r="B13" s="657"/>
      <c r="C13" s="657"/>
      <c r="D13" s="657"/>
      <c r="E13" s="657"/>
    </row>
    <row r="14" spans="1:7" ht="25.5" customHeight="1" thickBot="1">
      <c r="A14" s="354"/>
      <c r="B14" s="658"/>
      <c r="C14" s="659" t="s">
        <v>40</v>
      </c>
      <c r="D14" s="659"/>
      <c r="E14" s="659" t="s">
        <v>41</v>
      </c>
      <c r="F14" s="660"/>
    </row>
    <row r="15" spans="1:7" ht="16.8" thickTop="1">
      <c r="A15" s="354"/>
      <c r="B15" s="661"/>
      <c r="C15" s="662"/>
      <c r="D15" s="662"/>
      <c r="E15" s="662"/>
      <c r="F15" s="663"/>
    </row>
    <row r="16" spans="1:7" ht="9.9" customHeight="1">
      <c r="B16" s="186"/>
      <c r="C16" s="664"/>
      <c r="D16" s="665"/>
      <c r="E16" s="666"/>
      <c r="F16" s="667"/>
    </row>
    <row r="17" spans="2:10" ht="15.9" customHeight="1">
      <c r="B17" s="186"/>
      <c r="C17" s="668" t="s">
        <v>56</v>
      </c>
      <c r="D17" s="669"/>
      <c r="E17" s="670">
        <f>+' CLASIFICACION DE GASTOS 2025'!C55</f>
        <v>976208764.19000006</v>
      </c>
      <c r="F17" s="667"/>
      <c r="G17" s="23"/>
    </row>
    <row r="18" spans="2:10" ht="9.9" customHeight="1">
      <c r="B18" s="186"/>
      <c r="C18" s="668"/>
      <c r="D18" s="669"/>
      <c r="E18" s="670"/>
      <c r="F18" s="667"/>
    </row>
    <row r="19" spans="2:10" ht="15.9" customHeight="1">
      <c r="B19" s="186"/>
      <c r="C19" s="668" t="s">
        <v>21</v>
      </c>
      <c r="D19" s="669"/>
      <c r="E19" s="670">
        <f>+' CLASIFICACION DE GASTOS 2025'!C129</f>
        <v>79774781</v>
      </c>
      <c r="F19" s="667"/>
      <c r="G19" s="23"/>
    </row>
    <row r="20" spans="2:10" ht="9.9" customHeight="1">
      <c r="B20" s="186"/>
      <c r="C20" s="668"/>
      <c r="D20" s="669"/>
      <c r="E20" s="670"/>
      <c r="F20" s="667"/>
    </row>
    <row r="21" spans="2:10" ht="15.9" customHeight="1">
      <c r="B21" s="186"/>
      <c r="C21" s="668" t="s">
        <v>53</v>
      </c>
      <c r="D21" s="669"/>
      <c r="E21" s="670">
        <f>+' CLASIFICACION DE GASTOS 2025'!C175</f>
        <v>593150598.46000004</v>
      </c>
      <c r="F21" s="667"/>
      <c r="G21" s="23"/>
    </row>
    <row r="22" spans="2:10" ht="9.9" customHeight="1">
      <c r="B22" s="186"/>
      <c r="C22" s="668"/>
      <c r="D22" s="669"/>
      <c r="E22" s="670"/>
      <c r="F22" s="667"/>
    </row>
    <row r="23" spans="2:10" ht="15.9" customHeight="1">
      <c r="B23" s="186"/>
      <c r="C23" s="668" t="s">
        <v>19</v>
      </c>
      <c r="D23" s="669"/>
      <c r="E23" s="670">
        <f>+' CLASIFICACION DE GASTOS 2025'!C198</f>
        <v>137000000</v>
      </c>
      <c r="F23" s="667"/>
      <c r="G23" s="23"/>
    </row>
    <row r="24" spans="2:10" hidden="1">
      <c r="B24" s="186"/>
      <c r="C24" s="668"/>
      <c r="D24" s="669"/>
      <c r="E24" s="670"/>
      <c r="F24" s="667"/>
    </row>
    <row r="25" spans="2:10" hidden="1">
      <c r="B25" s="186"/>
      <c r="C25" s="668" t="s">
        <v>54</v>
      </c>
      <c r="D25" s="669"/>
      <c r="E25" s="670">
        <v>0</v>
      </c>
      <c r="F25" s="667"/>
    </row>
    <row r="26" spans="2:10" hidden="1">
      <c r="B26" s="186"/>
      <c r="C26" s="668"/>
      <c r="D26" s="669"/>
      <c r="E26" s="670"/>
      <c r="F26" s="667"/>
    </row>
    <row r="27" spans="2:10" ht="9.9" customHeight="1">
      <c r="B27" s="671"/>
      <c r="C27" s="668"/>
      <c r="D27" s="669"/>
      <c r="E27" s="670"/>
      <c r="F27" s="667"/>
    </row>
    <row r="28" spans="2:10" ht="18.75" customHeight="1" thickBot="1">
      <c r="B28" s="672"/>
      <c r="C28" s="673" t="s">
        <v>20</v>
      </c>
      <c r="D28" s="673"/>
      <c r="E28" s="674">
        <f>SUM(E16:E25)</f>
        <v>1786134143.6500001</v>
      </c>
      <c r="F28" s="675"/>
      <c r="I28" s="24">
        <f>+' CLASIFICACION DE GASTOS 2025'!C8-' CLASIFICACION DE GASTOS 2025'!C13-' CLASIFICACION DE GASTOS 2025'!C167</f>
        <v>1786134143.6499996</v>
      </c>
      <c r="J28" s="24">
        <f>+E28-I28</f>
        <v>0</v>
      </c>
    </row>
    <row r="29" spans="2:10" ht="16.8" thickBot="1">
      <c r="B29" s="676"/>
      <c r="C29" s="677"/>
      <c r="D29" s="677"/>
      <c r="E29" s="677"/>
      <c r="F29" s="676"/>
    </row>
    <row r="30" spans="2:10" ht="16.8" thickTop="1"/>
    <row r="31" spans="2:10" hidden="1">
      <c r="E31" s="383"/>
    </row>
    <row r="32" spans="2:10" hidden="1">
      <c r="E32" s="23">
        <f>+'JUST. PROG.01'!B34</f>
        <v>2441676180.0799999</v>
      </c>
    </row>
    <row r="33" spans="5:5" hidden="1">
      <c r="E33" s="23">
        <f>+E28+E32+E34</f>
        <v>6424442149.0400009</v>
      </c>
    </row>
    <row r="34" spans="5:5" hidden="1">
      <c r="E34" s="23">
        <f>+'JUST. PROG.01'!B132</f>
        <v>2196631825.3100014</v>
      </c>
    </row>
    <row r="35" spans="5:5" hidden="1">
      <c r="E35" s="23"/>
    </row>
    <row r="36" spans="5:5" hidden="1">
      <c r="E36" s="23"/>
    </row>
    <row r="37" spans="5:5" hidden="1"/>
    <row r="38" spans="5:5" hidden="1"/>
    <row r="39" spans="5:5">
      <c r="E39" s="24"/>
    </row>
    <row r="40" spans="5:5">
      <c r="E40" s="24"/>
    </row>
  </sheetData>
  <mergeCells count="6">
    <mergeCell ref="A12:G12"/>
    <mergeCell ref="A7:G7"/>
    <mergeCell ref="A5:G5"/>
    <mergeCell ref="A9:G9"/>
    <mergeCell ref="A10:G10"/>
    <mergeCell ref="A11:G11"/>
  </mergeCells>
  <phoneticPr fontId="0" type="noConversion"/>
  <printOptions horizontalCentered="1"/>
  <pageMargins left="0.78740157480314965" right="0.78740157480314965" top="1.1811023622047245" bottom="1.1811023622047245" header="0.59055118110236227" footer="0.59055118110236227"/>
  <pageSetup firstPageNumber="39" orientation="portrait" useFirstPageNumber="1" r:id="rId1"/>
  <headerFooter alignWithMargins="0">
    <oddFooter>&amp;C&amp;"Tw Cen MT,Normal"&amp;8&amp;P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0"/>
  <dimension ref="A2:J36"/>
  <sheetViews>
    <sheetView showGridLines="0" workbookViewId="0">
      <selection activeCell="L28" sqref="L28"/>
    </sheetView>
  </sheetViews>
  <sheetFormatPr baseColWidth="10" defaultColWidth="11.44140625" defaultRowHeight="16.2"/>
  <cols>
    <col min="1" max="1" width="11.44140625" style="3"/>
    <col min="2" max="2" width="2.33203125" style="3" customWidth="1"/>
    <col min="3" max="3" width="37" style="3" customWidth="1"/>
    <col min="4" max="4" width="2.33203125" style="3" customWidth="1"/>
    <col min="5" max="5" width="22.6640625" style="3" customWidth="1"/>
    <col min="6" max="6" width="2" style="3" customWidth="1"/>
    <col min="7" max="11" width="0" style="3" hidden="1" customWidth="1"/>
    <col min="12" max="16384" width="11.44140625" style="3"/>
  </cols>
  <sheetData>
    <row r="2" spans="1:7" ht="16.8" thickBot="1">
      <c r="C2" s="345"/>
      <c r="D2" s="345"/>
      <c r="E2" s="345"/>
      <c r="F2" s="345"/>
      <c r="G2" s="12"/>
    </row>
    <row r="5" spans="1:7">
      <c r="A5" s="1274" t="s">
        <v>0</v>
      </c>
      <c r="B5" s="1274"/>
      <c r="C5" s="1274"/>
      <c r="D5" s="1274"/>
      <c r="E5" s="1274"/>
      <c r="F5" s="1274"/>
      <c r="G5" s="1274"/>
    </row>
    <row r="6" spans="1:7">
      <c r="A6" s="656"/>
      <c r="B6" s="656"/>
      <c r="C6" s="656"/>
      <c r="D6" s="656"/>
      <c r="E6" s="656"/>
      <c r="F6" s="656"/>
      <c r="G6" s="656"/>
    </row>
    <row r="7" spans="1:7">
      <c r="A7" s="1206" t="s">
        <v>796</v>
      </c>
      <c r="B7" s="1276"/>
      <c r="C7" s="1276"/>
      <c r="D7" s="1276"/>
      <c r="E7" s="1276"/>
      <c r="F7" s="1276"/>
      <c r="G7" s="1276"/>
    </row>
    <row r="8" spans="1:7">
      <c r="A8" s="656"/>
      <c r="B8" s="656"/>
      <c r="C8" s="656"/>
      <c r="D8" s="656"/>
      <c r="E8" s="656"/>
      <c r="F8" s="656"/>
    </row>
    <row r="9" spans="1:7" ht="18.600000000000001">
      <c r="A9" s="1275" t="s">
        <v>39</v>
      </c>
      <c r="B9" s="1275"/>
      <c r="C9" s="1275"/>
      <c r="D9" s="1275"/>
      <c r="E9" s="1275"/>
      <c r="F9" s="1275"/>
      <c r="G9" s="1275"/>
    </row>
    <row r="10" spans="1:7">
      <c r="A10" s="1273" t="s">
        <v>42</v>
      </c>
      <c r="B10" s="1273"/>
      <c r="C10" s="1273"/>
      <c r="D10" s="1273"/>
      <c r="E10" s="1273"/>
      <c r="F10" s="1273"/>
      <c r="G10" s="1273"/>
    </row>
    <row r="11" spans="1:7">
      <c r="A11" s="1273" t="s">
        <v>43</v>
      </c>
      <c r="B11" s="1273"/>
      <c r="C11" s="1273"/>
      <c r="D11" s="1273"/>
      <c r="E11" s="1273"/>
      <c r="F11" s="1273"/>
      <c r="G11" s="1273"/>
    </row>
    <row r="12" spans="1:7">
      <c r="A12" s="1273" t="s">
        <v>37</v>
      </c>
      <c r="B12" s="1273"/>
      <c r="C12" s="1273"/>
      <c r="D12" s="1273"/>
      <c r="E12" s="1273"/>
      <c r="F12" s="1273"/>
      <c r="G12" s="1273"/>
    </row>
    <row r="13" spans="1:7" ht="16.8" thickBot="1">
      <c r="A13" s="657"/>
      <c r="B13" s="657"/>
      <c r="C13" s="657"/>
      <c r="D13" s="657"/>
      <c r="E13" s="657"/>
    </row>
    <row r="14" spans="1:7" ht="25.5" customHeight="1" thickBot="1">
      <c r="A14" s="354"/>
      <c r="B14" s="658"/>
      <c r="C14" s="659" t="s">
        <v>40</v>
      </c>
      <c r="D14" s="659"/>
      <c r="E14" s="659" t="s">
        <v>41</v>
      </c>
      <c r="F14" s="660"/>
    </row>
    <row r="15" spans="1:7" ht="16.8" thickTop="1">
      <c r="A15" s="354"/>
      <c r="B15" s="661"/>
      <c r="C15" s="662"/>
      <c r="D15" s="662"/>
      <c r="E15" s="662"/>
      <c r="F15" s="663"/>
    </row>
    <row r="16" spans="1:7" ht="9.9" customHeight="1">
      <c r="B16" s="186"/>
      <c r="C16" s="664"/>
      <c r="D16" s="665"/>
      <c r="E16" s="666"/>
      <c r="F16" s="667"/>
    </row>
    <row r="17" spans="2:10" ht="15.9" customHeight="1">
      <c r="B17" s="186"/>
      <c r="C17" s="668" t="s">
        <v>56</v>
      </c>
      <c r="D17" s="669"/>
      <c r="E17" s="670">
        <f>+' CLASIFICACION DE GASTOS 2025'!D55</f>
        <v>67926000</v>
      </c>
      <c r="F17" s="667"/>
    </row>
    <row r="18" spans="2:10">
      <c r="B18" s="186"/>
      <c r="C18" s="668"/>
      <c r="D18" s="669"/>
      <c r="E18" s="670"/>
      <c r="F18" s="667"/>
    </row>
    <row r="19" spans="2:10" hidden="1">
      <c r="B19" s="186"/>
      <c r="C19" s="668" t="s">
        <v>21</v>
      </c>
      <c r="D19" s="669"/>
      <c r="E19" s="670">
        <f>+' CLASIFICACION DE GASTOS 2025'!D129</f>
        <v>0</v>
      </c>
      <c r="F19" s="667"/>
    </row>
    <row r="20" spans="2:10" hidden="1">
      <c r="B20" s="186"/>
      <c r="C20" s="668"/>
      <c r="D20" s="669"/>
      <c r="E20" s="670"/>
      <c r="F20" s="667"/>
    </row>
    <row r="21" spans="2:10">
      <c r="B21" s="186"/>
      <c r="C21" s="668" t="s">
        <v>53</v>
      </c>
      <c r="D21" s="669"/>
      <c r="E21" s="670">
        <f>+' CLASIFICACION DE GASTOS 2025'!D175</f>
        <v>3000000</v>
      </c>
      <c r="F21" s="667"/>
    </row>
    <row r="22" spans="2:10">
      <c r="B22" s="186"/>
      <c r="C22" s="668"/>
      <c r="D22" s="669"/>
      <c r="E22" s="670"/>
      <c r="F22" s="667"/>
    </row>
    <row r="23" spans="2:10" hidden="1">
      <c r="B23" s="186"/>
      <c r="C23" s="668" t="s">
        <v>19</v>
      </c>
      <c r="D23" s="669"/>
      <c r="E23" s="670">
        <f>+' CLASIFICACION DE GASTOS 2025'!D198</f>
        <v>0</v>
      </c>
      <c r="F23" s="667"/>
    </row>
    <row r="24" spans="2:10" hidden="1">
      <c r="B24" s="186"/>
      <c r="C24" s="668"/>
      <c r="D24" s="669"/>
      <c r="E24" s="670"/>
      <c r="F24" s="667"/>
    </row>
    <row r="25" spans="2:10" hidden="1">
      <c r="B25" s="186"/>
      <c r="C25" s="668" t="s">
        <v>54</v>
      </c>
      <c r="D25" s="669"/>
      <c r="E25" s="670">
        <v>0</v>
      </c>
      <c r="F25" s="667"/>
    </row>
    <row r="26" spans="2:10" hidden="1">
      <c r="B26" s="186"/>
      <c r="C26" s="668"/>
      <c r="D26" s="669"/>
      <c r="E26" s="670"/>
      <c r="F26" s="667"/>
    </row>
    <row r="27" spans="2:10" ht="9.9" customHeight="1">
      <c r="B27" s="671"/>
      <c r="C27" s="668"/>
      <c r="D27" s="669"/>
      <c r="E27" s="670"/>
      <c r="F27" s="667"/>
    </row>
    <row r="28" spans="2:10" ht="19.5" customHeight="1" thickBot="1">
      <c r="B28" s="673"/>
      <c r="C28" s="673" t="s">
        <v>20</v>
      </c>
      <c r="D28" s="673"/>
      <c r="E28" s="674">
        <f>SUM(E17:E27)</f>
        <v>70926000</v>
      </c>
      <c r="F28" s="675"/>
      <c r="H28" s="24">
        <f>+' CLASIFICACION DE GASTOS 2025'!D8-' CLASIFICACION DE GASTOS 2025'!D13</f>
        <v>70926000</v>
      </c>
      <c r="J28" s="23">
        <f>+H28-E28</f>
        <v>0</v>
      </c>
    </row>
    <row r="29" spans="2:10" ht="16.8" thickBot="1">
      <c r="B29" s="676"/>
      <c r="C29" s="677"/>
      <c r="D29" s="677"/>
      <c r="E29" s="677"/>
      <c r="F29" s="676"/>
    </row>
    <row r="30" spans="2:10" ht="16.8" thickTop="1"/>
    <row r="31" spans="2:10" hidden="1">
      <c r="E31" s="23">
        <f>+'JUST. PROG.02'!B34</f>
        <v>498199000</v>
      </c>
    </row>
    <row r="32" spans="2:10" hidden="1">
      <c r="E32" s="23">
        <f>+E28+E31</f>
        <v>569125000</v>
      </c>
    </row>
    <row r="33" spans="5:5" hidden="1">
      <c r="E33" s="23"/>
    </row>
    <row r="34" spans="5:5" hidden="1"/>
    <row r="35" spans="5:5">
      <c r="E35" s="23"/>
    </row>
    <row r="36" spans="5:5">
      <c r="E36" s="23"/>
    </row>
  </sheetData>
  <mergeCells count="6">
    <mergeCell ref="A12:G12"/>
    <mergeCell ref="A7:G7"/>
    <mergeCell ref="A5:G5"/>
    <mergeCell ref="A9:G9"/>
    <mergeCell ref="A10:G10"/>
    <mergeCell ref="A11:G11"/>
  </mergeCells>
  <phoneticPr fontId="0" type="noConversion"/>
  <pageMargins left="0.78740157480314965" right="0.78740157480314965" top="1.1811023622047245" bottom="1.1811023622047245" header="0" footer="0.59055118110236227"/>
  <pageSetup firstPageNumber="40" orientation="portrait" useFirstPageNumber="1" r:id="rId1"/>
  <headerFooter alignWithMargins="0">
    <oddFooter>&amp;C&amp;"Tw Cen MT,Normal"&amp;8&amp;P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1"/>
  <dimension ref="A1:H40"/>
  <sheetViews>
    <sheetView showGridLines="0" workbookViewId="0">
      <selection activeCell="L28" sqref="L28"/>
    </sheetView>
  </sheetViews>
  <sheetFormatPr baseColWidth="10" defaultColWidth="11.44140625" defaultRowHeight="16.2"/>
  <cols>
    <col min="1" max="1" width="8.33203125" style="3" customWidth="1"/>
    <col min="2" max="2" width="2.109375" style="3" customWidth="1"/>
    <col min="3" max="3" width="36.44140625" style="3" customWidth="1"/>
    <col min="4" max="4" width="2.5546875" style="3" customWidth="1"/>
    <col min="5" max="5" width="22.88671875" style="3" customWidth="1"/>
    <col min="6" max="6" width="3.6640625" style="3" customWidth="1"/>
    <col min="7" max="7" width="0" style="3" hidden="1" customWidth="1"/>
    <col min="8" max="8" width="13.33203125" style="3" hidden="1" customWidth="1"/>
    <col min="9" max="16384" width="11.44140625" style="3"/>
  </cols>
  <sheetData>
    <row r="1" spans="1:7" ht="14.25" customHeight="1"/>
    <row r="2" spans="1:7" ht="16.8" thickBot="1">
      <c r="C2" s="345"/>
      <c r="D2" s="345"/>
      <c r="E2" s="345"/>
      <c r="F2" s="345"/>
      <c r="G2" s="12"/>
    </row>
    <row r="3" spans="1:7">
      <c r="C3" s="12"/>
      <c r="D3" s="12"/>
      <c r="E3" s="12"/>
      <c r="F3" s="12"/>
      <c r="G3" s="12"/>
    </row>
    <row r="5" spans="1:7">
      <c r="A5" s="1274" t="s">
        <v>0</v>
      </c>
      <c r="B5" s="1274"/>
      <c r="C5" s="1274"/>
      <c r="D5" s="1274"/>
      <c r="E5" s="1274"/>
      <c r="F5" s="1274"/>
      <c r="G5" s="1274"/>
    </row>
    <row r="6" spans="1:7">
      <c r="A6" s="656"/>
      <c r="B6" s="656"/>
      <c r="C6" s="656"/>
      <c r="D6" s="656"/>
      <c r="E6" s="656"/>
      <c r="F6" s="656"/>
      <c r="G6" s="656"/>
    </row>
    <row r="7" spans="1:7">
      <c r="A7" s="1276" t="s">
        <v>797</v>
      </c>
      <c r="B7" s="1276"/>
      <c r="C7" s="1276"/>
      <c r="D7" s="1276"/>
      <c r="E7" s="1276"/>
      <c r="F7" s="1276"/>
      <c r="G7" s="1276"/>
    </row>
    <row r="8" spans="1:7">
      <c r="A8" s="656"/>
      <c r="B8" s="656"/>
      <c r="C8" s="656"/>
      <c r="D8" s="656"/>
    </row>
    <row r="9" spans="1:7" ht="18.600000000000001">
      <c r="A9" s="1275" t="s">
        <v>39</v>
      </c>
      <c r="B9" s="1275"/>
      <c r="C9" s="1275"/>
      <c r="D9" s="1275"/>
      <c r="E9" s="1275"/>
      <c r="F9" s="1275"/>
      <c r="G9" s="1275"/>
    </row>
    <row r="10" spans="1:7">
      <c r="A10" s="1273" t="s">
        <v>42</v>
      </c>
      <c r="B10" s="1273"/>
      <c r="C10" s="1273"/>
      <c r="D10" s="1273"/>
      <c r="E10" s="1273"/>
      <c r="F10" s="1273"/>
      <c r="G10" s="1273"/>
    </row>
    <row r="11" spans="1:7">
      <c r="A11" s="1273" t="s">
        <v>43</v>
      </c>
      <c r="B11" s="1273"/>
      <c r="C11" s="1273"/>
      <c r="D11" s="1273"/>
      <c r="E11" s="1273"/>
      <c r="F11" s="1273"/>
      <c r="G11" s="1273"/>
    </row>
    <row r="12" spans="1:7">
      <c r="A12" s="1273" t="s">
        <v>37</v>
      </c>
      <c r="B12" s="1273"/>
      <c r="C12" s="1273"/>
      <c r="D12" s="1273"/>
      <c r="E12" s="1273"/>
      <c r="F12" s="1273"/>
      <c r="G12" s="1273"/>
    </row>
    <row r="13" spans="1:7" ht="16.8" thickBot="1">
      <c r="A13" s="657"/>
      <c r="B13" s="657"/>
      <c r="C13" s="657"/>
      <c r="D13" s="657"/>
      <c r="E13" s="657"/>
    </row>
    <row r="14" spans="1:7" ht="25.5" customHeight="1" thickBot="1">
      <c r="A14" s="354"/>
      <c r="B14" s="658"/>
      <c r="C14" s="659" t="s">
        <v>40</v>
      </c>
      <c r="D14" s="659"/>
      <c r="E14" s="659" t="s">
        <v>41</v>
      </c>
      <c r="F14" s="660"/>
      <c r="G14" s="12"/>
    </row>
    <row r="15" spans="1:7" ht="16.8" thickTop="1">
      <c r="A15" s="354"/>
      <c r="B15" s="661"/>
      <c r="C15" s="662"/>
      <c r="D15" s="662"/>
      <c r="E15" s="662"/>
      <c r="F15" s="663"/>
      <c r="G15" s="12"/>
    </row>
    <row r="16" spans="1:7" ht="9.9" customHeight="1">
      <c r="B16" s="186"/>
      <c r="C16" s="664"/>
      <c r="D16" s="665"/>
      <c r="E16" s="666"/>
      <c r="F16" s="667"/>
      <c r="G16" s="12"/>
    </row>
    <row r="17" spans="2:8" ht="15.9" customHeight="1">
      <c r="B17" s="186"/>
      <c r="C17" s="668" t="s">
        <v>56</v>
      </c>
      <c r="D17" s="669"/>
      <c r="E17" s="670">
        <f>+' CLASIFICACION DE GASTOS 2025'!E55</f>
        <v>1731878816</v>
      </c>
      <c r="F17" s="667"/>
      <c r="G17" s="12"/>
    </row>
    <row r="18" spans="2:8" ht="9.9" customHeight="1">
      <c r="B18" s="186"/>
      <c r="C18" s="668"/>
      <c r="D18" s="669"/>
      <c r="E18" s="670"/>
      <c r="F18" s="667"/>
      <c r="G18" s="12"/>
    </row>
    <row r="19" spans="2:8" ht="15.9" customHeight="1">
      <c r="B19" s="186"/>
      <c r="C19" s="668" t="s">
        <v>21</v>
      </c>
      <c r="D19" s="669"/>
      <c r="E19" s="670">
        <f>+' CLASIFICACION DE GASTOS 2025'!E129</f>
        <v>206784643</v>
      </c>
      <c r="F19" s="667"/>
      <c r="G19" s="12"/>
    </row>
    <row r="20" spans="2:8" ht="9.9" customHeight="1">
      <c r="B20" s="186"/>
      <c r="C20" s="668"/>
      <c r="D20" s="669"/>
      <c r="E20" s="670"/>
      <c r="F20" s="667"/>
      <c r="G20" s="12"/>
    </row>
    <row r="21" spans="2:8" ht="15.9" customHeight="1">
      <c r="B21" s="186"/>
      <c r="C21" s="668" t="s">
        <v>53</v>
      </c>
      <c r="D21" s="669"/>
      <c r="E21" s="670">
        <f>+' CLASIFICACION DE GASTOS 2025'!E175</f>
        <v>703136635.5</v>
      </c>
      <c r="F21" s="667"/>
      <c r="G21" s="12"/>
    </row>
    <row r="22" spans="2:8" ht="9.9" customHeight="1">
      <c r="B22" s="186"/>
      <c r="C22" s="668"/>
      <c r="D22" s="669"/>
      <c r="E22" s="670"/>
      <c r="F22" s="667"/>
      <c r="G22" s="12"/>
    </row>
    <row r="23" spans="2:8" ht="15.9" customHeight="1">
      <c r="B23" s="186"/>
      <c r="C23" s="668" t="s">
        <v>19</v>
      </c>
      <c r="D23" s="669"/>
      <c r="E23" s="670">
        <f>+' CLASIFICACION DE GASTOS 2025'!E198</f>
        <v>516719272</v>
      </c>
      <c r="F23" s="667"/>
      <c r="G23" s="12"/>
    </row>
    <row r="24" spans="2:8" hidden="1">
      <c r="B24" s="186"/>
      <c r="C24" s="668"/>
      <c r="D24" s="669"/>
      <c r="E24" s="670"/>
      <c r="F24" s="667"/>
      <c r="G24" s="12"/>
    </row>
    <row r="25" spans="2:8" hidden="1">
      <c r="B25" s="186"/>
      <c r="C25" s="668" t="s">
        <v>54</v>
      </c>
      <c r="D25" s="669"/>
      <c r="E25" s="670">
        <v>0</v>
      </c>
      <c r="F25" s="667"/>
      <c r="G25" s="12"/>
    </row>
    <row r="26" spans="2:8" hidden="1">
      <c r="B26" s="186"/>
      <c r="C26" s="668"/>
      <c r="D26" s="669"/>
      <c r="E26" s="670"/>
      <c r="F26" s="667"/>
      <c r="G26" s="12"/>
    </row>
    <row r="27" spans="2:8" ht="9.9" customHeight="1">
      <c r="B27" s="671"/>
      <c r="C27" s="668"/>
      <c r="D27" s="669"/>
      <c r="E27" s="670"/>
      <c r="F27" s="667"/>
      <c r="G27" s="12"/>
    </row>
    <row r="28" spans="2:8" ht="19.5" customHeight="1" thickBot="1">
      <c r="B28" s="673"/>
      <c r="C28" s="673" t="s">
        <v>20</v>
      </c>
      <c r="D28" s="673"/>
      <c r="E28" s="674">
        <f>SUM(E17:E27)</f>
        <v>3158519366.5</v>
      </c>
      <c r="F28" s="675"/>
      <c r="G28" s="12"/>
      <c r="H28" s="24">
        <f>+' CLASIFICACION DE GASTOS 2025'!E8-' CLASIFICACION DE GASTOS 2025'!E13</f>
        <v>3158519366.5</v>
      </c>
    </row>
    <row r="29" spans="2:8" ht="16.8" thickBot="1">
      <c r="B29" s="676"/>
      <c r="C29" s="677"/>
      <c r="D29" s="677"/>
      <c r="E29" s="677"/>
      <c r="F29" s="676"/>
      <c r="G29" s="12"/>
    </row>
    <row r="30" spans="2:8" ht="16.8" hidden="1" thickTop="1">
      <c r="G30" s="12"/>
    </row>
    <row r="31" spans="2:8" ht="16.8" hidden="1" thickTop="1">
      <c r="E31" s="23" t="e">
        <f>+'[1]PRESUPUESTO 2020'!#REF!</f>
        <v>#REF!</v>
      </c>
      <c r="G31" s="12"/>
    </row>
    <row r="32" spans="2:8" ht="16.8" hidden="1" thickTop="1">
      <c r="G32" s="12"/>
    </row>
    <row r="33" spans="5:7" ht="16.8" hidden="1" thickTop="1">
      <c r="E33" s="23" t="e">
        <f>+E31+E28-'[1]PRESUPUESTO 2020'!#REF!</f>
        <v>#REF!</v>
      </c>
      <c r="G33" s="12"/>
    </row>
    <row r="34" spans="5:7" ht="16.8" hidden="1" thickTop="1">
      <c r="G34" s="12"/>
    </row>
    <row r="35" spans="5:7" ht="16.8" thickTop="1">
      <c r="G35" s="12"/>
    </row>
    <row r="36" spans="5:7" hidden="1">
      <c r="E36" s="23">
        <f>+'JUST. PROG.03'!B34</f>
        <v>7109665184</v>
      </c>
      <c r="G36" s="12"/>
    </row>
    <row r="37" spans="5:7" hidden="1">
      <c r="E37" s="23">
        <f>+E36+E28</f>
        <v>10268184550.5</v>
      </c>
      <c r="G37" s="12"/>
    </row>
    <row r="38" spans="5:7" hidden="1">
      <c r="E38" s="23"/>
      <c r="G38" s="12"/>
    </row>
    <row r="39" spans="5:7" hidden="1">
      <c r="G39" s="12"/>
    </row>
    <row r="40" spans="5:7">
      <c r="E40" s="24"/>
    </row>
  </sheetData>
  <mergeCells count="6">
    <mergeCell ref="A12:G12"/>
    <mergeCell ref="A7:G7"/>
    <mergeCell ref="A5:G5"/>
    <mergeCell ref="A9:G9"/>
    <mergeCell ref="A10:G10"/>
    <mergeCell ref="A11:G11"/>
  </mergeCells>
  <phoneticPr fontId="0" type="noConversion"/>
  <printOptions horizontalCentered="1"/>
  <pageMargins left="0.98425196850393704" right="0.78740157480314965" top="1.1811023622047245" bottom="1.1811023622047245" header="0.59055118110236227" footer="0.59055118110236227"/>
  <pageSetup firstPageNumber="41" orientation="portrait" useFirstPageNumber="1" r:id="rId1"/>
  <headerFooter alignWithMargins="0">
    <oddFooter>&amp;C&amp;"Tw Cen MT,Normal"&amp;8&amp;P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2"/>
  <dimension ref="A2:H42"/>
  <sheetViews>
    <sheetView showGridLines="0" topLeftCell="A23" workbookViewId="0">
      <selection activeCell="L28" sqref="L28"/>
    </sheetView>
  </sheetViews>
  <sheetFormatPr baseColWidth="10" defaultColWidth="11.44140625" defaultRowHeight="16.2"/>
  <cols>
    <col min="1" max="1" width="9" style="3" customWidth="1"/>
    <col min="2" max="2" width="2.6640625" style="3" customWidth="1"/>
    <col min="3" max="3" width="29.5546875" style="3" customWidth="1"/>
    <col min="4" max="4" width="2.6640625" style="3" customWidth="1"/>
    <col min="5" max="5" width="22" style="3" customWidth="1"/>
    <col min="6" max="6" width="3.6640625" style="3" customWidth="1"/>
    <col min="7" max="7" width="11.44140625" style="3"/>
    <col min="8" max="8" width="12.6640625" style="3" hidden="1" customWidth="1"/>
    <col min="9" max="16384" width="11.44140625" style="3"/>
  </cols>
  <sheetData>
    <row r="2" spans="1:7" ht="16.8" thickBot="1">
      <c r="C2" s="345"/>
      <c r="D2" s="345"/>
      <c r="E2" s="345"/>
      <c r="F2" s="345"/>
      <c r="G2" s="12"/>
    </row>
    <row r="3" spans="1:7">
      <c r="C3" s="12"/>
      <c r="D3" s="12"/>
      <c r="E3" s="12"/>
      <c r="F3" s="12"/>
      <c r="G3" s="12"/>
    </row>
    <row r="5" spans="1:7">
      <c r="A5" s="1274" t="s">
        <v>0</v>
      </c>
      <c r="B5" s="1274"/>
      <c r="C5" s="1274"/>
      <c r="D5" s="1274"/>
      <c r="E5" s="1274"/>
      <c r="F5" s="1274"/>
      <c r="G5" s="1274"/>
    </row>
    <row r="6" spans="1:7">
      <c r="A6" s="656"/>
      <c r="B6" s="656"/>
      <c r="C6" s="656"/>
      <c r="D6" s="656"/>
      <c r="E6" s="656"/>
      <c r="F6" s="656"/>
      <c r="G6" s="656"/>
    </row>
    <row r="7" spans="1:7">
      <c r="A7" s="1206" t="s">
        <v>798</v>
      </c>
      <c r="B7" s="1276"/>
      <c r="C7" s="1276"/>
      <c r="D7" s="1276"/>
      <c r="E7" s="1276"/>
      <c r="F7" s="1276"/>
      <c r="G7" s="1276"/>
    </row>
    <row r="8" spans="1:7">
      <c r="A8" s="656"/>
      <c r="B8" s="656"/>
      <c r="C8" s="656"/>
      <c r="D8" s="656"/>
    </row>
    <row r="9" spans="1:7" ht="18.600000000000001">
      <c r="A9" s="1275" t="s">
        <v>39</v>
      </c>
      <c r="B9" s="1275"/>
      <c r="C9" s="1275"/>
      <c r="D9" s="1275"/>
      <c r="E9" s="1275"/>
      <c r="F9" s="1275"/>
      <c r="G9" s="1275"/>
    </row>
    <row r="10" spans="1:7">
      <c r="A10" s="1273" t="s">
        <v>42</v>
      </c>
      <c r="B10" s="1273"/>
      <c r="C10" s="1273"/>
      <c r="D10" s="1273"/>
      <c r="E10" s="1273"/>
      <c r="F10" s="1273"/>
      <c r="G10" s="1273"/>
    </row>
    <row r="11" spans="1:7">
      <c r="A11" s="1273" t="s">
        <v>43</v>
      </c>
      <c r="B11" s="1273"/>
      <c r="C11" s="1273"/>
      <c r="D11" s="1273"/>
      <c r="E11" s="1273"/>
      <c r="F11" s="1273"/>
      <c r="G11" s="1273"/>
    </row>
    <row r="12" spans="1:7">
      <c r="A12" s="1273" t="s">
        <v>37</v>
      </c>
      <c r="B12" s="1273"/>
      <c r="C12" s="1273"/>
      <c r="D12" s="1273"/>
      <c r="E12" s="1273"/>
      <c r="F12" s="1273"/>
      <c r="G12" s="1273"/>
    </row>
    <row r="13" spans="1:7" ht="16.8" thickBot="1">
      <c r="A13" s="657"/>
      <c r="B13" s="657"/>
      <c r="C13" s="657"/>
      <c r="D13" s="657"/>
      <c r="E13" s="657"/>
    </row>
    <row r="14" spans="1:7" ht="21" customHeight="1" thickBot="1">
      <c r="A14" s="354"/>
      <c r="B14" s="658"/>
      <c r="C14" s="659" t="s">
        <v>40</v>
      </c>
      <c r="D14" s="659"/>
      <c r="E14" s="659" t="s">
        <v>41</v>
      </c>
      <c r="F14" s="660"/>
      <c r="G14" s="12"/>
    </row>
    <row r="15" spans="1:7" ht="16.8" thickTop="1">
      <c r="A15" s="354"/>
      <c r="B15" s="661"/>
      <c r="C15" s="662"/>
      <c r="D15" s="662"/>
      <c r="E15" s="662"/>
      <c r="F15" s="663"/>
      <c r="G15" s="12"/>
    </row>
    <row r="16" spans="1:7" ht="9.9" customHeight="1">
      <c r="B16" s="186"/>
      <c r="C16" s="664"/>
      <c r="D16" s="665"/>
      <c r="E16" s="666"/>
      <c r="F16" s="667"/>
      <c r="G16" s="12"/>
    </row>
    <row r="17" spans="2:8" ht="15.9" customHeight="1">
      <c r="B17" s="186"/>
      <c r="C17" s="668" t="s">
        <v>56</v>
      </c>
      <c r="D17" s="669"/>
      <c r="E17" s="670">
        <f>+' CLASIFICACION DE GASTOS 2025'!F55</f>
        <v>227890000</v>
      </c>
      <c r="F17" s="667"/>
      <c r="G17" s="12"/>
    </row>
    <row r="18" spans="2:8" ht="9.9" customHeight="1">
      <c r="B18" s="186"/>
      <c r="C18" s="668"/>
      <c r="D18" s="669"/>
      <c r="E18" s="670"/>
      <c r="F18" s="667"/>
      <c r="G18" s="12"/>
    </row>
    <row r="19" spans="2:8">
      <c r="B19" s="186"/>
      <c r="C19" s="668" t="s">
        <v>21</v>
      </c>
      <c r="D19" s="669"/>
      <c r="E19" s="670">
        <f>+' CLASIFICACION DE GASTOS 2025'!F129</f>
        <v>1000000</v>
      </c>
      <c r="F19" s="667"/>
      <c r="G19" s="12"/>
    </row>
    <row r="20" spans="2:8" ht="9.9" customHeight="1">
      <c r="B20" s="186"/>
      <c r="C20" s="668"/>
      <c r="D20" s="669"/>
      <c r="E20" s="670"/>
      <c r="F20" s="667"/>
      <c r="G20" s="12"/>
    </row>
    <row r="21" spans="2:8" hidden="1">
      <c r="B21" s="186"/>
      <c r="C21" s="668" t="s">
        <v>53</v>
      </c>
      <c r="D21" s="669"/>
      <c r="E21" s="670">
        <v>0</v>
      </c>
      <c r="F21" s="667"/>
      <c r="G21" s="12"/>
    </row>
    <row r="22" spans="2:8" ht="7.95" hidden="1" customHeight="1">
      <c r="B22" s="186"/>
      <c r="C22" s="668"/>
      <c r="D22" s="669"/>
      <c r="E22" s="670"/>
      <c r="F22" s="667"/>
      <c r="G22" s="12"/>
    </row>
    <row r="23" spans="2:8" ht="15.9" customHeight="1">
      <c r="B23" s="186"/>
      <c r="C23" s="668" t="s">
        <v>19</v>
      </c>
      <c r="D23" s="669"/>
      <c r="E23" s="670">
        <f>+' CLASIFICACION DE GASTOS 2025'!F198</f>
        <v>1200000</v>
      </c>
      <c r="F23" s="667"/>
      <c r="G23" s="12"/>
    </row>
    <row r="24" spans="2:8" hidden="1">
      <c r="B24" s="186"/>
      <c r="C24" s="668"/>
      <c r="D24" s="669"/>
      <c r="E24" s="670"/>
      <c r="F24" s="667"/>
      <c r="G24" s="12"/>
    </row>
    <row r="25" spans="2:8" hidden="1">
      <c r="B25" s="186"/>
      <c r="C25" s="668" t="s">
        <v>54</v>
      </c>
      <c r="D25" s="669"/>
      <c r="E25" s="1109">
        <v>0</v>
      </c>
      <c r="F25" s="667"/>
      <c r="G25" s="12"/>
    </row>
    <row r="26" spans="2:8" hidden="1">
      <c r="B26" s="186"/>
      <c r="C26" s="668"/>
      <c r="D26" s="669"/>
      <c r="E26" s="670"/>
      <c r="F26" s="667"/>
      <c r="G26" s="12"/>
    </row>
    <row r="27" spans="2:8" ht="9.9" customHeight="1">
      <c r="B27" s="671"/>
      <c r="C27" s="668"/>
      <c r="D27" s="669"/>
      <c r="E27" s="670"/>
      <c r="F27" s="667"/>
      <c r="G27" s="12"/>
      <c r="H27" s="23"/>
    </row>
    <row r="28" spans="2:8" ht="20.399999999999999" customHeight="1" thickBot="1">
      <c r="B28" s="672"/>
      <c r="C28" s="673" t="s">
        <v>20</v>
      </c>
      <c r="D28" s="673"/>
      <c r="E28" s="674">
        <f>SUM(E17:E27)</f>
        <v>230090000</v>
      </c>
      <c r="F28" s="675"/>
      <c r="G28" s="12"/>
      <c r="H28" s="23">
        <f>+' CLASIFICACION DE GASTOS 2025'!F8-' CLASIFICACION DE GASTOS 2025'!F13</f>
        <v>230090000</v>
      </c>
    </row>
    <row r="29" spans="2:8" ht="16.8" thickBot="1">
      <c r="B29" s="676"/>
      <c r="C29" s="677"/>
      <c r="D29" s="677"/>
      <c r="E29" s="677"/>
      <c r="F29" s="676"/>
      <c r="G29" s="12"/>
    </row>
    <row r="30" spans="2:8" ht="16.8" thickTop="1">
      <c r="G30" s="12"/>
      <c r="H30" s="23"/>
    </row>
    <row r="31" spans="2:8" hidden="1">
      <c r="E31" s="23" t="e">
        <f>+'[1]PRESUPUESTO 2020'!#REF!</f>
        <v>#REF!</v>
      </c>
    </row>
    <row r="32" spans="2:8" hidden="1">
      <c r="E32" s="23" t="e">
        <f>+E31+E28-'[1]PRESUPUESTO 2020'!#REF!</f>
        <v>#REF!</v>
      </c>
    </row>
    <row r="33" spans="5:5" hidden="1"/>
    <row r="34" spans="5:5" hidden="1"/>
    <row r="35" spans="5:5" hidden="1">
      <c r="E35" s="23"/>
    </row>
    <row r="36" spans="5:5" hidden="1">
      <c r="E36" s="23">
        <f>+'JUST. PROG.04'!B34</f>
        <v>421786000</v>
      </c>
    </row>
    <row r="37" spans="5:5" hidden="1">
      <c r="E37" s="23">
        <f>+E28+E36</f>
        <v>651876000</v>
      </c>
    </row>
    <row r="38" spans="5:5" hidden="1">
      <c r="E38" s="3">
        <v>651876000</v>
      </c>
    </row>
    <row r="39" spans="5:5" hidden="1">
      <c r="E39" s="23">
        <f>+E37-E38</f>
        <v>0</v>
      </c>
    </row>
    <row r="40" spans="5:5" hidden="1"/>
    <row r="41" spans="5:5" hidden="1"/>
    <row r="42" spans="5:5">
      <c r="E42" s="24" t="s">
        <v>325</v>
      </c>
    </row>
  </sheetData>
  <mergeCells count="6">
    <mergeCell ref="A12:G12"/>
    <mergeCell ref="A5:G5"/>
    <mergeCell ref="A7:G7"/>
    <mergeCell ref="A9:G9"/>
    <mergeCell ref="A10:G10"/>
    <mergeCell ref="A11:G11"/>
  </mergeCells>
  <printOptions horizontalCentered="1"/>
  <pageMargins left="0.70866141732283472" right="0.70866141732283472" top="0.74803149606299213" bottom="0.74803149606299213" header="0.31496062992125984" footer="0.59055118110236227"/>
  <pageSetup firstPageNumber="42" orientation="portrait" useFirstPageNumber="1" r:id="rId1"/>
  <headerFooter>
    <oddFooter>&amp;C&amp;"Tw Cen MT,Normal"&amp;8&amp;P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F138B-260D-458B-8A14-C55725C978EE}">
  <sheetPr>
    <tabColor theme="9" tint="-0.499984740745262"/>
  </sheetPr>
  <dimension ref="A1"/>
  <sheetViews>
    <sheetView workbookViewId="0"/>
  </sheetViews>
  <sheetFormatPr baseColWidth="10" defaultRowHeight="13.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499984740745262"/>
  </sheetPr>
  <dimension ref="A2:J37"/>
  <sheetViews>
    <sheetView showGridLines="0" topLeftCell="B1" workbookViewId="0">
      <selection activeCell="L28" sqref="L28"/>
    </sheetView>
  </sheetViews>
  <sheetFormatPr baseColWidth="10" defaultColWidth="11.44140625" defaultRowHeight="16.2" outlineLevelRow="1"/>
  <cols>
    <col min="1" max="1" width="4.109375" style="74" hidden="1" customWidth="1"/>
    <col min="2" max="2" width="74.109375" style="74" bestFit="1" customWidth="1"/>
    <col min="3" max="3" width="18" style="76" customWidth="1"/>
    <col min="4" max="4" width="10.5546875" style="74" customWidth="1"/>
    <col min="5" max="5" width="11.44140625" style="74" customWidth="1"/>
    <col min="6" max="6" width="11.44140625" style="3" customWidth="1"/>
    <col min="7" max="7" width="14.109375" style="3" hidden="1" customWidth="1"/>
    <col min="8" max="8" width="11.88671875" style="3" hidden="1" customWidth="1"/>
    <col min="9" max="10" width="11.44140625" style="3" hidden="1" customWidth="1"/>
    <col min="11" max="16384" width="11.44140625" style="3"/>
  </cols>
  <sheetData>
    <row r="2" spans="2:4" ht="15" customHeight="1">
      <c r="B2" s="1178" t="s">
        <v>268</v>
      </c>
      <c r="C2" s="1178"/>
      <c r="D2" s="1178"/>
    </row>
    <row r="3" spans="2:4" ht="16.8" thickBot="1">
      <c r="B3" s="1180" t="s">
        <v>250</v>
      </c>
      <c r="C3" s="1180"/>
      <c r="D3" s="1180"/>
    </row>
    <row r="4" spans="2:4" ht="8.25" customHeight="1" thickTop="1"/>
    <row r="5" spans="2:4">
      <c r="B5" s="1178" t="s">
        <v>955</v>
      </c>
      <c r="C5" s="1178"/>
      <c r="D5" s="1178"/>
    </row>
    <row r="6" spans="2:4">
      <c r="B6" s="1179" t="s">
        <v>37</v>
      </c>
      <c r="C6" s="1179"/>
      <c r="D6" s="1179"/>
    </row>
    <row r="7" spans="2:4" ht="4.5" customHeight="1"/>
    <row r="8" spans="2:4" ht="16.95" customHeight="1">
      <c r="B8" s="1173" t="s">
        <v>954</v>
      </c>
      <c r="C8" s="1173"/>
      <c r="D8" s="1173"/>
    </row>
    <row r="9" spans="2:4" hidden="1"/>
    <row r="10" spans="2:4" ht="16.8" thickBot="1"/>
    <row r="11" spans="2:4" ht="25.5" customHeight="1" thickBot="1">
      <c r="B11" s="77" t="s">
        <v>1</v>
      </c>
      <c r="C11" s="78" t="s">
        <v>47</v>
      </c>
      <c r="D11" s="77" t="s">
        <v>5</v>
      </c>
    </row>
    <row r="12" spans="2:4">
      <c r="B12" s="79"/>
      <c r="C12" s="80"/>
      <c r="D12" s="81"/>
    </row>
    <row r="13" spans="2:4">
      <c r="B13" s="82" t="s">
        <v>2</v>
      </c>
      <c r="C13" s="903">
        <f>SUM(C15:C21)</f>
        <v>13346211869.790001</v>
      </c>
      <c r="D13" s="83">
        <f>C13/C34</f>
        <v>0.74503121833511787</v>
      </c>
    </row>
    <row r="14" spans="2:4" ht="7.95" customHeight="1">
      <c r="B14" s="79"/>
      <c r="C14" s="335"/>
      <c r="D14" s="81"/>
    </row>
    <row r="15" spans="2:4" ht="15.6" hidden="1" customHeight="1">
      <c r="B15" s="84" t="s">
        <v>308</v>
      </c>
      <c r="C15" s="904">
        <v>0</v>
      </c>
      <c r="D15" s="86">
        <f>+C15/C34</f>
        <v>0</v>
      </c>
    </row>
    <row r="16" spans="2:4" hidden="1">
      <c r="B16" s="79"/>
      <c r="C16" s="335"/>
      <c r="D16" s="81"/>
    </row>
    <row r="17" spans="2:9" ht="20.100000000000001" customHeight="1">
      <c r="B17" s="87" t="s">
        <v>677</v>
      </c>
      <c r="C17" s="336">
        <f>+'CLASIFICACION DE INGRESOS 2025'!G23</f>
        <v>3600000000</v>
      </c>
      <c r="D17" s="86">
        <f>+C17/C34</f>
        <v>0.20096431947686641</v>
      </c>
      <c r="I17" s="3">
        <v>54767.69</v>
      </c>
    </row>
    <row r="18" spans="2:9" ht="20.100000000000001" customHeight="1">
      <c r="B18" s="87" t="s">
        <v>715</v>
      </c>
      <c r="C18" s="336">
        <f>+'CLASIFICACION DE INGRESOS 2025'!G24</f>
        <v>3745000000</v>
      </c>
      <c r="D18" s="86">
        <f>+C18/C34</f>
        <v>0.20905871567801795</v>
      </c>
    </row>
    <row r="19" spans="2:9" ht="20.100000000000001" hidden="1" customHeight="1">
      <c r="B19" s="87" t="s">
        <v>704</v>
      </c>
      <c r="C19" s="336">
        <f>+'CLASIFICACION DE INGRESOS 2025'!G25</f>
        <v>0</v>
      </c>
      <c r="D19" s="86">
        <f>+C19/C34</f>
        <v>0</v>
      </c>
    </row>
    <row r="20" spans="2:9" ht="20.100000000000001" hidden="1" customHeight="1">
      <c r="B20" s="88" t="s">
        <v>675</v>
      </c>
      <c r="C20" s="336"/>
      <c r="D20" s="86">
        <f>+C20/C34</f>
        <v>0</v>
      </c>
    </row>
    <row r="21" spans="2:9" ht="20.100000000000001" customHeight="1">
      <c r="B21" s="87" t="s">
        <v>716</v>
      </c>
      <c r="C21" s="336">
        <f>+'CLASIFICACION DE INGRESOS 2025'!G26</f>
        <v>6001211869.79</v>
      </c>
      <c r="D21" s="86">
        <f>+C21/C34</f>
        <v>0.3350081831802334</v>
      </c>
    </row>
    <row r="22" spans="2:9" hidden="1">
      <c r="B22" s="87"/>
      <c r="C22" s="336"/>
      <c r="D22" s="81"/>
      <c r="F22" s="89"/>
    </row>
    <row r="23" spans="2:9" hidden="1">
      <c r="B23" s="90" t="s">
        <v>280</v>
      </c>
      <c r="C23" s="905">
        <f>SUM(C25)</f>
        <v>0</v>
      </c>
      <c r="D23" s="91">
        <f>+C23/C34</f>
        <v>0</v>
      </c>
    </row>
    <row r="24" spans="2:9" hidden="1">
      <c r="B24" s="79"/>
      <c r="C24" s="335"/>
      <c r="D24" s="81"/>
    </row>
    <row r="25" spans="2:9" ht="27" hidden="1" customHeight="1">
      <c r="B25" s="92" t="s">
        <v>281</v>
      </c>
      <c r="C25" s="904">
        <v>0</v>
      </c>
      <c r="D25" s="86">
        <f>+C25/C34</f>
        <v>0</v>
      </c>
    </row>
    <row r="26" spans="2:9" hidden="1">
      <c r="B26" s="87"/>
      <c r="C26" s="336"/>
      <c r="D26" s="86"/>
    </row>
    <row r="27" spans="2:9" hidden="1" outlineLevel="1">
      <c r="B27" s="87" t="s">
        <v>60</v>
      </c>
      <c r="C27" s="336"/>
      <c r="D27" s="86">
        <f>+C27/C34</f>
        <v>0</v>
      </c>
    </row>
    <row r="28" spans="2:9" ht="7.95" customHeight="1" outlineLevel="1">
      <c r="B28" s="87"/>
      <c r="C28" s="336"/>
      <c r="D28" s="81"/>
    </row>
    <row r="29" spans="2:9">
      <c r="B29" s="93" t="s">
        <v>240</v>
      </c>
      <c r="C29" s="906">
        <f>SUM(C31:C32)</f>
        <v>4567415829.75</v>
      </c>
      <c r="D29" s="94">
        <f>+C29/C34</f>
        <v>0.25496878166488218</v>
      </c>
    </row>
    <row r="30" spans="2:9" ht="7.95" customHeight="1">
      <c r="B30" s="87"/>
      <c r="C30" s="336"/>
      <c r="D30" s="81"/>
      <c r="F30" s="23"/>
    </row>
    <row r="31" spans="2:9" hidden="1">
      <c r="B31" s="87" t="s">
        <v>321</v>
      </c>
      <c r="C31" s="336">
        <v>0</v>
      </c>
      <c r="D31" s="86">
        <f>+C31/C34</f>
        <v>0</v>
      </c>
    </row>
    <row r="32" spans="2:9" outlineLevel="1">
      <c r="B32" s="87" t="s">
        <v>58</v>
      </c>
      <c r="C32" s="336">
        <f>+'CLASIFICACION DE INGRESOS 2025'!G44</f>
        <v>4567415829.75</v>
      </c>
      <c r="D32" s="86">
        <f>+C32/C34</f>
        <v>0.25496878166488218</v>
      </c>
      <c r="G32" s="3">
        <v>4527430829.75</v>
      </c>
      <c r="H32" s="24">
        <f>+C32-G32</f>
        <v>39985000</v>
      </c>
    </row>
    <row r="33" spans="2:8" ht="7.95" customHeight="1">
      <c r="B33" s="87"/>
      <c r="C33" s="336"/>
      <c r="D33" s="81"/>
    </row>
    <row r="34" spans="2:8" ht="18.75" customHeight="1">
      <c r="B34" s="95" t="s">
        <v>3</v>
      </c>
      <c r="C34" s="907">
        <f>+C23+C13+C29</f>
        <v>17913627699.540001</v>
      </c>
      <c r="D34" s="96">
        <f>SUM(D23+D13+D29)</f>
        <v>1</v>
      </c>
      <c r="G34" s="24">
        <f>+'CLASIFICACION DE INGRESOS 2025'!J9</f>
        <v>17913627699.540001</v>
      </c>
      <c r="H34" s="24">
        <f>+C34-G34</f>
        <v>0</v>
      </c>
    </row>
    <row r="35" spans="2:8" ht="18" thickBot="1">
      <c r="B35" s="97"/>
      <c r="C35" s="98"/>
      <c r="D35" s="99"/>
    </row>
    <row r="36" spans="2:8" ht="16.8" thickBot="1"/>
    <row r="37" spans="2:8" ht="16.8" thickTop="1">
      <c r="B37" s="100"/>
      <c r="C37" s="101"/>
      <c r="D37" s="100"/>
    </row>
  </sheetData>
  <mergeCells count="5">
    <mergeCell ref="B2:D2"/>
    <mergeCell ref="B5:D5"/>
    <mergeCell ref="B6:D6"/>
    <mergeCell ref="B8:D8"/>
    <mergeCell ref="B3:D3"/>
  </mergeCells>
  <phoneticPr fontId="0" type="noConversion"/>
  <printOptions horizontalCentered="1"/>
  <pageMargins left="0.78740157480314965" right="0.78740157480314965" top="1.1811023622047245" bottom="1.1811023622047245" header="0.59055118110236227" footer="0.59055118110236227"/>
  <pageSetup scale="85" firstPageNumber="2" orientation="portrait" useFirstPageNumber="1" r:id="rId1"/>
  <headerFooter alignWithMargins="0">
    <oddFooter>&amp;C&amp;"Tw Cen MT,Normal"&amp;P</oddFooter>
  </headerFooter>
  <ignoredErrors>
    <ignoredError sqref="D13:D17 D20:D32"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9" tint="-0.499984740745262"/>
  </sheetPr>
  <dimension ref="A1:H39"/>
  <sheetViews>
    <sheetView showGridLines="0" topLeftCell="A13" zoomScaleNormal="100" workbookViewId="0">
      <selection activeCell="L28" sqref="L28"/>
    </sheetView>
  </sheetViews>
  <sheetFormatPr baseColWidth="10" defaultColWidth="11.44140625" defaultRowHeight="16.2" outlineLevelRow="1"/>
  <cols>
    <col min="1" max="1" width="20.88671875" style="3" customWidth="1"/>
    <col min="2" max="2" width="16" style="23" customWidth="1"/>
    <col min="3" max="3" width="49.44140625" style="3" customWidth="1"/>
    <col min="4" max="4" width="11.44140625" style="3"/>
    <col min="5" max="6" width="11.44140625" style="3" hidden="1" customWidth="1"/>
    <col min="7" max="7" width="15.33203125" style="3" hidden="1" customWidth="1"/>
    <col min="8" max="8" width="11.44140625" style="3" hidden="1" customWidth="1"/>
    <col min="9" max="16384" width="11.44140625" style="3"/>
  </cols>
  <sheetData>
    <row r="1" spans="1:3">
      <c r="A1" s="1173"/>
      <c r="B1" s="1173"/>
    </row>
    <row r="2" spans="1:3">
      <c r="A2" s="1173" t="s">
        <v>268</v>
      </c>
      <c r="B2" s="1173"/>
      <c r="C2" s="1173"/>
    </row>
    <row r="3" spans="1:3" ht="16.8" thickBot="1">
      <c r="A3" s="1175" t="s">
        <v>250</v>
      </c>
      <c r="B3" s="1175"/>
      <c r="C3" s="1175"/>
    </row>
    <row r="4" spans="1:3" ht="6.75" customHeight="1" thickTop="1">
      <c r="A4" s="4"/>
      <c r="B4" s="16"/>
      <c r="C4" s="4"/>
    </row>
    <row r="5" spans="1:3">
      <c r="A5" s="1173" t="s">
        <v>783</v>
      </c>
      <c r="B5" s="1173"/>
      <c r="C5" s="1173"/>
    </row>
    <row r="6" spans="1:3">
      <c r="A6" s="1174" t="str">
        <f>+'CLASIFICACION DE INGRESOS 2025'!A7</f>
        <v>AÑO 2025</v>
      </c>
      <c r="B6" s="1174"/>
      <c r="C6" s="1174"/>
    </row>
    <row r="7" spans="1:3" ht="16.8" thickBot="1">
      <c r="A7" s="4"/>
      <c r="B7" s="16"/>
      <c r="C7" s="4"/>
    </row>
    <row r="8" spans="1:3" ht="33" thickBot="1">
      <c r="A8" s="102" t="s">
        <v>311</v>
      </c>
      <c r="B8" s="103" t="s">
        <v>794</v>
      </c>
      <c r="C8" s="104" t="s">
        <v>312</v>
      </c>
    </row>
    <row r="9" spans="1:3" hidden="1" outlineLevel="1">
      <c r="A9" s="105"/>
      <c r="B9" s="80"/>
      <c r="C9" s="106"/>
    </row>
    <row r="10" spans="1:3" hidden="1" outlineLevel="1">
      <c r="A10" s="1181" t="s">
        <v>258</v>
      </c>
      <c r="B10" s="1182"/>
      <c r="C10" s="1183"/>
    </row>
    <row r="11" spans="1:3" hidden="1" outlineLevel="1">
      <c r="A11" s="107"/>
      <c r="B11" s="108"/>
      <c r="C11" s="109"/>
    </row>
    <row r="12" spans="1:3" ht="99.75" hidden="1" customHeight="1" outlineLevel="1">
      <c r="A12" s="110" t="s">
        <v>259</v>
      </c>
      <c r="B12" s="111">
        <v>0</v>
      </c>
      <c r="C12" s="112" t="s">
        <v>682</v>
      </c>
    </row>
    <row r="13" spans="1:3" collapsed="1">
      <c r="A13" s="105"/>
      <c r="B13" s="80"/>
      <c r="C13" s="106"/>
    </row>
    <row r="14" spans="1:3">
      <c r="A14" s="1181" t="s">
        <v>289</v>
      </c>
      <c r="B14" s="1182"/>
      <c r="C14" s="1183"/>
    </row>
    <row r="15" spans="1:3">
      <c r="A15" s="107"/>
      <c r="B15" s="108"/>
      <c r="C15" s="109"/>
    </row>
    <row r="16" spans="1:3" ht="145.80000000000001">
      <c r="A16" s="110" t="s">
        <v>277</v>
      </c>
      <c r="B16" s="113">
        <f>+'INGRESOS 2025'!C17+'INGRESOS 2025'!C18</f>
        <v>7345000000</v>
      </c>
      <c r="C16" s="112" t="s">
        <v>1350</v>
      </c>
    </row>
    <row r="17" spans="1:3" ht="104.4" hidden="1" customHeight="1">
      <c r="A17" s="110" t="s">
        <v>277</v>
      </c>
      <c r="B17" s="111">
        <v>0</v>
      </c>
      <c r="C17" s="114" t="s">
        <v>330</v>
      </c>
    </row>
    <row r="18" spans="1:3">
      <c r="A18" s="92"/>
      <c r="B18" s="85"/>
      <c r="C18" s="115"/>
    </row>
    <row r="19" spans="1:3">
      <c r="A19" s="1181" t="s">
        <v>296</v>
      </c>
      <c r="B19" s="1182"/>
      <c r="C19" s="1183"/>
    </row>
    <row r="20" spans="1:3">
      <c r="A20" s="107"/>
      <c r="B20" s="108"/>
      <c r="C20" s="109"/>
    </row>
    <row r="21" spans="1:3" ht="102" customHeight="1">
      <c r="A21" s="110" t="s">
        <v>291</v>
      </c>
      <c r="B21" s="113">
        <f>+'CLASIFICACION DE INGRESOS 2025'!G26</f>
        <v>6001211869.79</v>
      </c>
      <c r="C21" s="116" t="s">
        <v>784</v>
      </c>
    </row>
    <row r="22" spans="1:3" hidden="1">
      <c r="A22" s="84"/>
      <c r="B22" s="85"/>
      <c r="C22" s="117"/>
    </row>
    <row r="23" spans="1:3" hidden="1">
      <c r="A23" s="1181" t="s">
        <v>675</v>
      </c>
      <c r="B23" s="1182"/>
      <c r="C23" s="1183"/>
    </row>
    <row r="24" spans="1:3" hidden="1">
      <c r="A24" s="107"/>
      <c r="B24" s="108"/>
      <c r="C24" s="109"/>
    </row>
    <row r="25" spans="1:3" ht="58.5" hidden="1" customHeight="1">
      <c r="A25" s="110" t="s">
        <v>459</v>
      </c>
      <c r="B25" s="111">
        <v>0</v>
      </c>
      <c r="C25" s="116" t="s">
        <v>678</v>
      </c>
    </row>
    <row r="26" spans="1:3" hidden="1" outlineLevel="1">
      <c r="A26" s="1181" t="s">
        <v>281</v>
      </c>
      <c r="B26" s="1182"/>
      <c r="C26" s="1183"/>
    </row>
    <row r="27" spans="1:3" hidden="1" outlineLevel="1">
      <c r="A27" s="118"/>
      <c r="B27" s="119"/>
      <c r="C27" s="120"/>
    </row>
    <row r="28" spans="1:3" ht="53.25" hidden="1" customHeight="1" outlineLevel="1">
      <c r="A28" s="121" t="s">
        <v>279</v>
      </c>
      <c r="B28" s="122">
        <v>0</v>
      </c>
      <c r="C28" s="116" t="s">
        <v>676</v>
      </c>
    </row>
    <row r="29" spans="1:3" ht="12" customHeight="1" outlineLevel="1">
      <c r="A29" s="123"/>
      <c r="B29" s="85"/>
      <c r="C29" s="115"/>
    </row>
    <row r="30" spans="1:3" ht="11.25" customHeight="1">
      <c r="A30" s="1181" t="s">
        <v>266</v>
      </c>
      <c r="B30" s="1182"/>
      <c r="C30" s="1183"/>
    </row>
    <row r="31" spans="1:3" ht="10.5" customHeight="1">
      <c r="A31" s="118"/>
      <c r="B31" s="119"/>
      <c r="C31" s="120"/>
    </row>
    <row r="32" spans="1:3" hidden="1">
      <c r="A32" s="110" t="s">
        <v>265</v>
      </c>
      <c r="B32" s="124">
        <v>0</v>
      </c>
      <c r="C32" s="125" t="s">
        <v>325</v>
      </c>
    </row>
    <row r="33" spans="1:7" ht="81">
      <c r="A33" s="126" t="s">
        <v>317</v>
      </c>
      <c r="B33" s="127">
        <f>+'CLASIFICACION DE INGRESOS 2025'!G44</f>
        <v>4567415829.75</v>
      </c>
      <c r="C33" s="128" t="s">
        <v>1349</v>
      </c>
    </row>
    <row r="34" spans="1:7" ht="13.5" hidden="1" customHeight="1">
      <c r="A34" s="129"/>
      <c r="B34" s="130"/>
      <c r="C34" s="128"/>
    </row>
    <row r="35" spans="1:7" ht="11.25" hidden="1" customHeight="1">
      <c r="A35" s="129"/>
      <c r="B35" s="130"/>
      <c r="C35" s="128"/>
    </row>
    <row r="36" spans="1:7" ht="13.5" hidden="1" customHeight="1">
      <c r="A36" s="131"/>
      <c r="B36" s="132"/>
      <c r="C36" s="128"/>
    </row>
    <row r="37" spans="1:7" ht="16.8" thickBot="1">
      <c r="A37" s="79"/>
      <c r="B37" s="80"/>
      <c r="C37" s="106"/>
    </row>
    <row r="38" spans="1:7" ht="17.399999999999999" customHeight="1" thickBot="1">
      <c r="A38" s="133"/>
      <c r="B38" s="134">
        <f>+B33+B21+B32+B16+B12+B28+B25</f>
        <v>17913627699.540001</v>
      </c>
      <c r="C38" s="104" t="s">
        <v>313</v>
      </c>
      <c r="F38" s="3">
        <f>+'Distribución OyA Detalle'!G1056</f>
        <v>0</v>
      </c>
      <c r="G38" s="24">
        <f>+F38-B38</f>
        <v>-17913627699.540001</v>
      </c>
    </row>
    <row r="39" spans="1:7" ht="16.8" thickBot="1">
      <c r="A39" s="135"/>
      <c r="B39" s="136"/>
      <c r="C39" s="137"/>
    </row>
  </sheetData>
  <mergeCells count="11">
    <mergeCell ref="A30:C30"/>
    <mergeCell ref="A23:C23"/>
    <mergeCell ref="A14:C14"/>
    <mergeCell ref="A19:C19"/>
    <mergeCell ref="A26:C26"/>
    <mergeCell ref="A10:C10"/>
    <mergeCell ref="A1:B1"/>
    <mergeCell ref="A2:C2"/>
    <mergeCell ref="A3:C3"/>
    <mergeCell ref="A5:C5"/>
    <mergeCell ref="A6:C6"/>
  </mergeCells>
  <printOptions horizontalCentered="1"/>
  <pageMargins left="0.70866141732283472" right="0.70866141732283472" top="0.74803149606299213" bottom="0.74803149606299213" header="0.31496062992125984" footer="0.59055118110236227"/>
  <pageSetup scale="95" firstPageNumber="3" orientation="portrait" useFirstPageNumber="1" r:id="rId1"/>
  <headerFooter>
    <oddFooter>&amp;C&amp;"Tw Cen MT,Normal"&amp;9&amp;P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3:AL52"/>
  <sheetViews>
    <sheetView showGridLines="0" topLeftCell="A4" zoomScale="70" zoomScaleNormal="70" workbookViewId="0">
      <selection activeCell="L28" sqref="L28"/>
    </sheetView>
  </sheetViews>
  <sheetFormatPr baseColWidth="10" defaultColWidth="11.44140625" defaultRowHeight="16.2" outlineLevelRow="1" outlineLevelCol="2"/>
  <cols>
    <col min="1" max="1" width="2.44140625" style="74" customWidth="1"/>
    <col min="2" max="2" width="38.6640625" style="74" customWidth="1"/>
    <col min="3" max="5" width="20.44140625" style="74" bestFit="1" customWidth="1"/>
    <col min="6" max="6" width="20.5546875" style="74" bestFit="1" customWidth="1"/>
    <col min="7" max="7" width="20.44140625" style="74" bestFit="1" customWidth="1"/>
    <col min="8" max="8" width="18.5546875" style="74" customWidth="1"/>
    <col min="9" max="15" width="18.6640625" style="74" hidden="1" customWidth="1" outlineLevel="1"/>
    <col min="16" max="20" width="17.6640625" style="74" hidden="1" customWidth="1" outlineLevel="1"/>
    <col min="21" max="21" width="18.5546875" style="234" hidden="1" customWidth="1" outlineLevel="1"/>
    <col min="22" max="22" width="18.5546875" style="74" hidden="1" customWidth="1" outlineLevel="1"/>
    <col min="23" max="23" width="16.6640625" style="74" hidden="1" customWidth="1" outlineLevel="1"/>
    <col min="24" max="24" width="18.6640625" style="74" hidden="1" customWidth="1" outlineLevel="1"/>
    <col min="25" max="25" width="18.5546875" style="74" hidden="1" customWidth="1" outlineLevel="1"/>
    <col min="26" max="26" width="17.6640625" style="74" hidden="1" customWidth="1" outlineLevel="1"/>
    <col min="27" max="27" width="18.6640625" style="74" hidden="1" customWidth="1" outlineLevel="1"/>
    <col min="28" max="29" width="18.6640625" style="74" hidden="1" customWidth="1" outlineLevel="2"/>
    <col min="30" max="30" width="2" style="233" customWidth="1" collapsed="1"/>
    <col min="31" max="31" width="11.44140625" style="3"/>
    <col min="32" max="32" width="13.44140625" style="3" hidden="1" customWidth="1"/>
    <col min="33" max="34" width="0" style="3" hidden="1" customWidth="1"/>
    <col min="35" max="16384" width="11.44140625" style="3"/>
  </cols>
  <sheetData>
    <row r="3" spans="1:30" ht="15.75" customHeight="1">
      <c r="B3" s="1186" t="s">
        <v>38</v>
      </c>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row>
    <row r="4" spans="1:30" ht="18" thickBot="1">
      <c r="A4" s="138"/>
      <c r="B4" s="1187"/>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c r="AD4" s="1187"/>
    </row>
    <row r="5" spans="1:30" ht="9.75" customHeight="1" thickTop="1">
      <c r="B5" s="8"/>
      <c r="C5" s="8"/>
      <c r="D5" s="8"/>
      <c r="E5" s="8"/>
      <c r="F5" s="8"/>
      <c r="G5" s="8"/>
      <c r="H5" s="8"/>
      <c r="I5" s="8"/>
      <c r="J5" s="8"/>
      <c r="K5" s="8"/>
      <c r="L5" s="8"/>
      <c r="M5" s="8"/>
      <c r="N5" s="8"/>
      <c r="O5" s="8"/>
      <c r="P5" s="8"/>
      <c r="Q5" s="8"/>
      <c r="R5" s="8"/>
      <c r="S5" s="8"/>
      <c r="T5" s="8"/>
      <c r="U5" s="139"/>
      <c r="V5" s="8"/>
      <c r="W5" s="8"/>
      <c r="X5" s="8"/>
      <c r="Y5" s="8"/>
      <c r="Z5" s="8"/>
      <c r="AA5" s="8"/>
      <c r="AB5" s="8"/>
      <c r="AC5" s="8"/>
      <c r="AD5" s="140"/>
    </row>
    <row r="6" spans="1:30" ht="17.399999999999999">
      <c r="B6" s="1177" t="s">
        <v>4</v>
      </c>
      <c r="C6" s="1177"/>
      <c r="D6" s="1177"/>
      <c r="E6" s="1177"/>
      <c r="F6" s="1177"/>
      <c r="G6" s="1177"/>
      <c r="H6" s="1177"/>
      <c r="I6" s="1177"/>
      <c r="J6" s="1177"/>
      <c r="K6" s="1177"/>
      <c r="L6" s="1177"/>
      <c r="M6" s="1177"/>
      <c r="N6" s="1177"/>
      <c r="O6" s="1177"/>
      <c r="P6" s="1177"/>
      <c r="Q6" s="1177"/>
      <c r="R6" s="1177"/>
      <c r="S6" s="1177"/>
      <c r="T6" s="1177"/>
      <c r="U6" s="1177"/>
      <c r="V6" s="1177"/>
      <c r="W6" s="1177"/>
      <c r="X6" s="1177"/>
      <c r="Y6" s="1177"/>
      <c r="Z6" s="1177"/>
      <c r="AA6" s="1177"/>
      <c r="AB6" s="1177"/>
      <c r="AC6" s="1177"/>
      <c r="AD6" s="1177"/>
    </row>
    <row r="7" spans="1:30" ht="17.399999999999999">
      <c r="B7" s="1188" t="s">
        <v>956</v>
      </c>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row>
    <row r="8" spans="1:30" ht="17.399999999999999">
      <c r="B8" s="1184" t="s">
        <v>37</v>
      </c>
      <c r="C8" s="1184"/>
      <c r="D8" s="1184"/>
      <c r="E8" s="1184"/>
      <c r="F8" s="1184"/>
      <c r="G8" s="1184"/>
      <c r="H8" s="1184"/>
      <c r="I8" s="1184"/>
      <c r="J8" s="1184"/>
      <c r="K8" s="1184"/>
      <c r="L8" s="1184"/>
      <c r="M8" s="1184"/>
      <c r="N8" s="1184"/>
      <c r="O8" s="1184"/>
      <c r="P8" s="1184"/>
      <c r="Q8" s="1184"/>
      <c r="R8" s="1184"/>
      <c r="S8" s="1184"/>
      <c r="T8" s="1184"/>
      <c r="U8" s="1184"/>
      <c r="V8" s="1184"/>
      <c r="W8" s="1184"/>
      <c r="X8" s="1184"/>
      <c r="Y8" s="1184"/>
      <c r="Z8" s="1184"/>
      <c r="AA8" s="1184"/>
      <c r="AB8" s="1184"/>
      <c r="AC8" s="1184"/>
      <c r="AD8" s="1184"/>
    </row>
    <row r="9" spans="1:30" ht="9.75" customHeight="1" thickBot="1">
      <c r="B9" s="6"/>
      <c r="C9" s="6"/>
      <c r="D9" s="6"/>
      <c r="E9" s="6"/>
      <c r="F9" s="6"/>
      <c r="G9" s="6"/>
      <c r="H9" s="6"/>
      <c r="I9" s="6"/>
      <c r="J9" s="6"/>
      <c r="K9" s="6"/>
      <c r="L9" s="6"/>
      <c r="M9" s="6"/>
      <c r="N9" s="6"/>
      <c r="O9" s="6"/>
      <c r="P9" s="6"/>
      <c r="Q9" s="6"/>
      <c r="R9" s="6"/>
      <c r="S9" s="6"/>
      <c r="T9" s="6"/>
      <c r="U9" s="7"/>
      <c r="V9" s="6"/>
      <c r="W9" s="6"/>
      <c r="X9" s="6"/>
      <c r="Y9" s="6"/>
      <c r="Z9" s="6"/>
      <c r="AA9" s="6"/>
      <c r="AB9" s="6"/>
      <c r="AC9" s="6"/>
      <c r="AD9" s="140"/>
    </row>
    <row r="10" spans="1:30" ht="23.4" customHeight="1">
      <c r="A10" s="141"/>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42"/>
    </row>
    <row r="11" spans="1:30" ht="10.5" customHeight="1">
      <c r="A11" s="143"/>
      <c r="B11" s="144"/>
      <c r="C11" s="144"/>
      <c r="D11" s="144"/>
      <c r="E11" s="144"/>
      <c r="F11" s="144"/>
      <c r="G11" s="144"/>
      <c r="H11" s="144"/>
      <c r="I11" s="144"/>
      <c r="J11" s="144"/>
      <c r="K11" s="144"/>
      <c r="L11" s="144"/>
      <c r="M11" s="144"/>
      <c r="N11" s="144"/>
      <c r="O11" s="144"/>
      <c r="P11" s="144"/>
      <c r="Q11" s="144"/>
      <c r="R11" s="144"/>
      <c r="S11" s="144"/>
      <c r="T11" s="144"/>
      <c r="U11" s="145"/>
      <c r="V11" s="144"/>
      <c r="W11" s="144"/>
      <c r="X11" s="144"/>
      <c r="Y11" s="144"/>
      <c r="Z11" s="144"/>
      <c r="AA11" s="144"/>
      <c r="AB11" s="144"/>
      <c r="AC11" s="144"/>
      <c r="AD11" s="146"/>
    </row>
    <row r="12" spans="1:30" ht="21.75" customHeight="1">
      <c r="A12" s="147"/>
      <c r="B12" s="148" t="s">
        <v>45</v>
      </c>
      <c r="C12" s="148">
        <v>2025</v>
      </c>
      <c r="D12" s="148">
        <v>2024</v>
      </c>
      <c r="E12" s="148">
        <v>2023</v>
      </c>
      <c r="F12" s="148">
        <v>2022</v>
      </c>
      <c r="G12" s="148">
        <v>2021</v>
      </c>
      <c r="H12" s="148">
        <v>2020</v>
      </c>
      <c r="I12" s="148">
        <v>2019</v>
      </c>
      <c r="J12" s="148">
        <v>2018</v>
      </c>
      <c r="K12" s="149">
        <v>2017</v>
      </c>
      <c r="L12" s="149">
        <v>2016</v>
      </c>
      <c r="M12" s="149">
        <v>2015</v>
      </c>
      <c r="N12" s="149">
        <v>2014</v>
      </c>
      <c r="O12" s="149">
        <v>2013</v>
      </c>
      <c r="P12" s="149">
        <v>2012</v>
      </c>
      <c r="Q12" s="149">
        <v>2011</v>
      </c>
      <c r="R12" s="149">
        <v>2010</v>
      </c>
      <c r="S12" s="149">
        <v>2009</v>
      </c>
      <c r="T12" s="149">
        <v>2008</v>
      </c>
      <c r="U12" s="149">
        <v>2007</v>
      </c>
      <c r="V12" s="149">
        <v>2006</v>
      </c>
      <c r="W12" s="149">
        <v>2005</v>
      </c>
      <c r="X12" s="149">
        <v>2004</v>
      </c>
      <c r="Y12" s="149">
        <v>2003</v>
      </c>
      <c r="Z12" s="149">
        <v>2002</v>
      </c>
      <c r="AA12" s="149">
        <v>2001</v>
      </c>
      <c r="AB12" s="149">
        <v>2000</v>
      </c>
      <c r="AC12" s="149">
        <v>1999</v>
      </c>
      <c r="AD12" s="150"/>
    </row>
    <row r="13" spans="1:30" ht="9.75" customHeight="1">
      <c r="A13" s="143"/>
      <c r="B13" s="151"/>
      <c r="C13" s="151"/>
      <c r="D13" s="151"/>
      <c r="E13" s="151"/>
      <c r="F13" s="151"/>
      <c r="G13" s="151"/>
      <c r="H13" s="151"/>
      <c r="I13" s="151"/>
      <c r="J13" s="151"/>
      <c r="K13" s="151"/>
      <c r="L13" s="151"/>
      <c r="M13" s="151"/>
      <c r="N13" s="151"/>
      <c r="O13" s="151"/>
      <c r="P13" s="151"/>
      <c r="Q13" s="151"/>
      <c r="R13" s="151"/>
      <c r="S13" s="13"/>
      <c r="T13" s="13"/>
      <c r="U13" s="13"/>
      <c r="V13" s="151"/>
      <c r="W13" s="151"/>
      <c r="X13" s="151"/>
      <c r="Y13" s="151"/>
      <c r="Z13" s="151"/>
      <c r="AA13" s="151"/>
      <c r="AB13" s="151"/>
      <c r="AC13" s="152"/>
      <c r="AD13" s="146"/>
    </row>
    <row r="14" spans="1:30" ht="21.75" customHeight="1">
      <c r="A14" s="153"/>
      <c r="B14" s="154" t="s">
        <v>2</v>
      </c>
      <c r="C14" s="155">
        <f>SUM(C17+C19+C21+C23+C27+C25)</f>
        <v>13346211869.790001</v>
      </c>
      <c r="D14" s="155">
        <f t="shared" ref="D14:I14" si="0">SUM(D17+D19+D21+D23+D27+D25)</f>
        <v>13889553357.394663</v>
      </c>
      <c r="E14" s="155">
        <f t="shared" si="0"/>
        <v>13983238442.700001</v>
      </c>
      <c r="F14" s="155">
        <f t="shared" si="0"/>
        <v>12927645570.360001</v>
      </c>
      <c r="G14" s="155">
        <f t="shared" si="0"/>
        <v>13824566159.003056</v>
      </c>
      <c r="H14" s="155">
        <f t="shared" si="0"/>
        <v>12423088684</v>
      </c>
      <c r="I14" s="155">
        <f t="shared" si="0"/>
        <v>10520682698.029999</v>
      </c>
      <c r="J14" s="155">
        <f>SUM(J17+J19+J21+J23+J27)</f>
        <v>10032395044.99</v>
      </c>
      <c r="K14" s="155">
        <f>SUM(K17+K19+K21+K23+K27)</f>
        <v>7967332007</v>
      </c>
      <c r="L14" s="155">
        <f>SUM(L17+L19+L21+L23+L27)</f>
        <v>6986188988</v>
      </c>
      <c r="M14" s="155">
        <f t="shared" ref="M14:T14" si="1">SUM(M17+M19+M21+M23+M27)</f>
        <v>6060810755</v>
      </c>
      <c r="N14" s="155">
        <f t="shared" si="1"/>
        <v>10984041242</v>
      </c>
      <c r="O14" s="155">
        <f t="shared" si="1"/>
        <v>7111354443</v>
      </c>
      <c r="P14" s="155">
        <f t="shared" si="1"/>
        <v>7380143270.1999998</v>
      </c>
      <c r="Q14" s="155">
        <f t="shared" si="1"/>
        <v>6613084961</v>
      </c>
      <c r="R14" s="155">
        <f t="shared" si="1"/>
        <v>8747229093</v>
      </c>
      <c r="S14" s="155">
        <f t="shared" si="1"/>
        <v>4346819458</v>
      </c>
      <c r="T14" s="155">
        <f t="shared" si="1"/>
        <v>2328443021</v>
      </c>
      <c r="U14" s="155">
        <f>SUM(U17+U19+U21+U23)</f>
        <v>1669439500</v>
      </c>
      <c r="V14" s="155">
        <f>SUM(V17+V19+V21+V23)</f>
        <v>1485468500</v>
      </c>
      <c r="W14" s="155">
        <f>SUM(W17+W19+W21)</f>
        <v>1489448260</v>
      </c>
      <c r="X14" s="155">
        <f t="shared" ref="X14:AC14" si="2">SUM(X17)</f>
        <v>0</v>
      </c>
      <c r="Y14" s="155">
        <f t="shared" si="2"/>
        <v>0</v>
      </c>
      <c r="Z14" s="155">
        <f t="shared" si="2"/>
        <v>863900000</v>
      </c>
      <c r="AA14" s="155">
        <f t="shared" si="2"/>
        <v>1214419550</v>
      </c>
      <c r="AB14" s="155">
        <f t="shared" si="2"/>
        <v>2200000000</v>
      </c>
      <c r="AC14" s="155">
        <f t="shared" si="2"/>
        <v>100000000</v>
      </c>
      <c r="AD14" s="156"/>
    </row>
    <row r="15" spans="1:30" ht="17.399999999999999" hidden="1">
      <c r="A15" s="143"/>
      <c r="B15" s="151"/>
      <c r="C15" s="151"/>
      <c r="D15" s="151"/>
      <c r="E15" s="151"/>
      <c r="F15" s="151"/>
      <c r="G15" s="151"/>
      <c r="H15" s="151"/>
      <c r="I15" s="151"/>
      <c r="J15" s="151"/>
      <c r="K15" s="151"/>
      <c r="L15" s="151"/>
      <c r="M15" s="151"/>
      <c r="N15" s="151"/>
      <c r="O15" s="151"/>
      <c r="P15" s="151"/>
      <c r="Q15" s="151"/>
      <c r="R15" s="13"/>
      <c r="S15" s="13"/>
      <c r="T15" s="13"/>
      <c r="U15" s="13"/>
      <c r="V15" s="151"/>
      <c r="W15" s="151"/>
      <c r="X15" s="151"/>
      <c r="Y15" s="151"/>
      <c r="Z15" s="151"/>
      <c r="AA15" s="151"/>
      <c r="AB15" s="151"/>
      <c r="AC15" s="152"/>
      <c r="AD15" s="146"/>
    </row>
    <row r="16" spans="1:30" ht="17.399999999999999">
      <c r="A16" s="143"/>
      <c r="B16" s="151"/>
      <c r="C16" s="151"/>
      <c r="D16" s="151"/>
      <c r="E16" s="151"/>
      <c r="F16" s="151"/>
      <c r="G16" s="151"/>
      <c r="H16" s="151"/>
      <c r="I16" s="151"/>
      <c r="J16" s="151"/>
      <c r="K16" s="151"/>
      <c r="L16" s="151"/>
      <c r="M16" s="151"/>
      <c r="N16" s="151"/>
      <c r="O16" s="151"/>
      <c r="P16" s="151"/>
      <c r="Q16" s="151"/>
      <c r="R16" s="13"/>
      <c r="S16" s="13"/>
      <c r="T16" s="13"/>
      <c r="U16" s="13"/>
      <c r="V16" s="151"/>
      <c r="W16" s="151"/>
      <c r="X16" s="151"/>
      <c r="Y16" s="151"/>
      <c r="Z16" s="151"/>
      <c r="AA16" s="151"/>
      <c r="AB16" s="151"/>
      <c r="AC16" s="152"/>
      <c r="AD16" s="146"/>
    </row>
    <row r="17" spans="1:38" ht="52.2">
      <c r="A17" s="157"/>
      <c r="B17" s="158" t="s">
        <v>49</v>
      </c>
      <c r="C17" s="1050">
        <v>0</v>
      </c>
      <c r="D17" s="1050">
        <f>624157328.744663+50000000</f>
        <v>674157328.744663</v>
      </c>
      <c r="E17" s="188">
        <f>45394449.74+737580598.26</f>
        <v>782975048</v>
      </c>
      <c r="F17" s="159">
        <v>36702490.359999999</v>
      </c>
      <c r="G17" s="160">
        <v>90506159</v>
      </c>
      <c r="H17" s="160">
        <v>262459241</v>
      </c>
      <c r="I17" s="160">
        <v>258048382.97999999</v>
      </c>
      <c r="J17" s="160">
        <v>315004020</v>
      </c>
      <c r="K17" s="161">
        <f>40000000+14645093</f>
        <v>54645093</v>
      </c>
      <c r="L17" s="162">
        <v>100000000</v>
      </c>
      <c r="M17" s="162">
        <v>49120520</v>
      </c>
      <c r="N17" s="162">
        <v>31688822</v>
      </c>
      <c r="O17" s="162">
        <v>101784747</v>
      </c>
      <c r="P17" s="162">
        <v>111874522</v>
      </c>
      <c r="Q17" s="162">
        <v>129277865</v>
      </c>
      <c r="R17" s="162">
        <v>25864840</v>
      </c>
      <c r="S17" s="162">
        <v>0</v>
      </c>
      <c r="T17" s="162">
        <v>0</v>
      </c>
      <c r="U17" s="162">
        <f>11800000+7500000</f>
        <v>19300000</v>
      </c>
      <c r="V17" s="163">
        <v>45192500</v>
      </c>
      <c r="W17" s="163">
        <v>45158904</v>
      </c>
      <c r="X17" s="163"/>
      <c r="Y17" s="163"/>
      <c r="Z17" s="163">
        <v>863900000</v>
      </c>
      <c r="AA17" s="161">
        <v>1214419550</v>
      </c>
      <c r="AB17" s="161">
        <v>2200000000</v>
      </c>
      <c r="AC17" s="161">
        <v>100000000</v>
      </c>
      <c r="AD17" s="164"/>
    </row>
    <row r="18" spans="1:38" ht="12.75" customHeight="1">
      <c r="A18" s="143"/>
      <c r="B18" s="165"/>
      <c r="C18" s="1051"/>
      <c r="D18" s="1051"/>
      <c r="E18" s="166"/>
      <c r="F18" s="167"/>
      <c r="G18" s="166"/>
      <c r="H18" s="166"/>
      <c r="I18" s="166"/>
      <c r="J18" s="166"/>
      <c r="K18" s="168" t="s">
        <v>455</v>
      </c>
      <c r="L18" s="165"/>
      <c r="M18" s="165"/>
      <c r="N18" s="165"/>
      <c r="O18" s="165"/>
      <c r="P18" s="165"/>
      <c r="Q18" s="165"/>
      <c r="R18" s="169"/>
      <c r="S18" s="169"/>
      <c r="T18" s="169"/>
      <c r="U18" s="169"/>
      <c r="V18" s="170"/>
      <c r="W18" s="170"/>
      <c r="X18" s="170"/>
      <c r="Y18" s="170"/>
      <c r="Z18" s="170"/>
      <c r="AA18" s="170"/>
      <c r="AB18" s="170"/>
      <c r="AC18" s="170"/>
      <c r="AD18" s="146"/>
    </row>
    <row r="19" spans="1:38" ht="34.799999999999997">
      <c r="A19" s="157"/>
      <c r="B19" s="158" t="s">
        <v>703</v>
      </c>
      <c r="C19" s="1050">
        <f>+'CLASIFICACION DE INGRESOS 2025'!G23+'CLASIFICACION DE INGRESOS 2025'!G24</f>
        <v>7345000000</v>
      </c>
      <c r="D19" s="1050">
        <v>7445000000</v>
      </c>
      <c r="E19" s="159">
        <v>7487000000</v>
      </c>
      <c r="F19" s="159">
        <f>3600000000+3995000000</f>
        <v>7595000000</v>
      </c>
      <c r="G19" s="160">
        <v>8607300000.0030556</v>
      </c>
      <c r="H19" s="160">
        <v>7042011097</v>
      </c>
      <c r="I19" s="160">
        <v>5197800000</v>
      </c>
      <c r="J19" s="160">
        <v>3628000000</v>
      </c>
      <c r="K19" s="161">
        <v>3628000000</v>
      </c>
      <c r="L19" s="162">
        <v>3721907558</v>
      </c>
      <c r="M19" s="162">
        <v>3864051442</v>
      </c>
      <c r="N19" s="162">
        <v>8088200000</v>
      </c>
      <c r="O19" s="162">
        <v>3354000000</v>
      </c>
      <c r="P19" s="162">
        <v>4327390196</v>
      </c>
      <c r="Q19" s="162">
        <v>5673900000</v>
      </c>
      <c r="R19" s="162">
        <v>8104200000</v>
      </c>
      <c r="S19" s="162">
        <v>3912628800</v>
      </c>
      <c r="T19" s="162">
        <v>2030400000</v>
      </c>
      <c r="U19" s="162">
        <v>1650139500</v>
      </c>
      <c r="V19" s="163">
        <v>1340800000</v>
      </c>
      <c r="W19" s="163">
        <v>1129500000</v>
      </c>
      <c r="X19" s="163">
        <f>1055200000</f>
        <v>1055200000</v>
      </c>
      <c r="Y19" s="163">
        <v>923559000</v>
      </c>
      <c r="Z19" s="163"/>
      <c r="AA19" s="161"/>
      <c r="AB19" s="161"/>
      <c r="AC19" s="161"/>
      <c r="AD19" s="164"/>
      <c r="AF19" s="165"/>
      <c r="AG19" s="169"/>
      <c r="AH19" s="169"/>
      <c r="AI19" s="171"/>
      <c r="AJ19" s="171"/>
      <c r="AK19" s="171"/>
      <c r="AL19" s="171"/>
    </row>
    <row r="20" spans="1:38" ht="12.75" customHeight="1">
      <c r="A20" s="143"/>
      <c r="B20" s="165"/>
      <c r="C20" s="1051"/>
      <c r="D20" s="1051"/>
      <c r="E20" s="166"/>
      <c r="F20" s="167"/>
      <c r="G20" s="166"/>
      <c r="H20" s="166"/>
      <c r="I20" s="166"/>
      <c r="J20" s="166"/>
      <c r="K20" s="170"/>
      <c r="L20" s="165"/>
      <c r="M20" s="165"/>
      <c r="N20" s="165"/>
      <c r="O20" s="165"/>
      <c r="P20" s="165"/>
      <c r="Q20" s="165"/>
      <c r="R20" s="169"/>
      <c r="S20" s="169"/>
      <c r="T20" s="169"/>
      <c r="U20" s="169"/>
      <c r="V20" s="171"/>
      <c r="W20" s="171"/>
      <c r="X20" s="171"/>
      <c r="Y20" s="171"/>
      <c r="Z20" s="171"/>
      <c r="AA20" s="170"/>
      <c r="AB20" s="170"/>
      <c r="AC20" s="170"/>
      <c r="AD20" s="146"/>
    </row>
    <row r="21" spans="1:38" ht="52.2">
      <c r="A21" s="157"/>
      <c r="B21" s="158" t="s">
        <v>776</v>
      </c>
      <c r="C21" s="1050">
        <f>+'CLASIFICACION DE INGRESOS 2025'!G26</f>
        <v>6001211869.79</v>
      </c>
      <c r="D21" s="1050">
        <v>5770396028.6499996</v>
      </c>
      <c r="E21" s="159">
        <v>5713263394.6999998</v>
      </c>
      <c r="F21" s="159">
        <v>5295943080</v>
      </c>
      <c r="G21" s="160">
        <v>5126760000</v>
      </c>
      <c r="H21" s="160">
        <v>5076000000</v>
      </c>
      <c r="I21" s="160">
        <v>5000000000</v>
      </c>
      <c r="J21" s="160">
        <v>5081241519.3699999</v>
      </c>
      <c r="K21" s="161">
        <v>3805079000</v>
      </c>
      <c r="L21" s="162">
        <v>3131281430</v>
      </c>
      <c r="M21" s="162">
        <v>2147638793</v>
      </c>
      <c r="N21" s="162">
        <v>2859628881</v>
      </c>
      <c r="O21" s="162">
        <v>3655569696</v>
      </c>
      <c r="P21" s="162">
        <v>2932630793</v>
      </c>
      <c r="Q21" s="162">
        <v>784019600</v>
      </c>
      <c r="R21" s="162">
        <v>572139712</v>
      </c>
      <c r="S21" s="162">
        <v>408595329</v>
      </c>
      <c r="T21" s="162">
        <v>263575060</v>
      </c>
      <c r="U21" s="162">
        <v>0</v>
      </c>
      <c r="V21" s="163">
        <v>16476000</v>
      </c>
      <c r="W21" s="163">
        <v>314789356</v>
      </c>
      <c r="X21" s="162"/>
      <c r="Y21" s="162"/>
      <c r="Z21" s="163"/>
      <c r="AA21" s="161"/>
      <c r="AB21" s="161"/>
      <c r="AC21" s="161"/>
      <c r="AD21" s="164"/>
    </row>
    <row r="22" spans="1:38" ht="12.75" hidden="1" customHeight="1">
      <c r="A22" s="143"/>
      <c r="B22" s="165"/>
      <c r="C22" s="166"/>
      <c r="D22" s="166"/>
      <c r="E22" s="166"/>
      <c r="F22" s="167"/>
      <c r="G22" s="166"/>
      <c r="H22" s="166"/>
      <c r="I22" s="166"/>
      <c r="J22" s="166"/>
      <c r="K22" s="170"/>
      <c r="L22" s="165"/>
      <c r="M22" s="165"/>
      <c r="N22" s="165"/>
      <c r="O22" s="165"/>
      <c r="P22" s="165"/>
      <c r="Q22" s="165"/>
      <c r="R22" s="169"/>
      <c r="S22" s="169"/>
      <c r="T22" s="169"/>
      <c r="U22" s="169"/>
      <c r="V22" s="169"/>
      <c r="W22" s="169"/>
      <c r="X22" s="169"/>
      <c r="Y22" s="169"/>
      <c r="Z22" s="171"/>
      <c r="AA22" s="170"/>
      <c r="AB22" s="170"/>
      <c r="AC22" s="170"/>
      <c r="AD22" s="146"/>
    </row>
    <row r="23" spans="1:38" ht="34.799999999999997" hidden="1">
      <c r="A23" s="157"/>
      <c r="B23" s="158" t="s">
        <v>297</v>
      </c>
      <c r="C23" s="159"/>
      <c r="D23" s="159"/>
      <c r="E23" s="159"/>
      <c r="F23" s="159"/>
      <c r="G23" s="172"/>
      <c r="H23" s="172"/>
      <c r="I23" s="160"/>
      <c r="J23" s="160">
        <v>745394943</v>
      </c>
      <c r="K23" s="161">
        <f>375000000+58893200</f>
        <v>433893200</v>
      </c>
      <c r="L23" s="173">
        <v>0</v>
      </c>
      <c r="M23" s="173">
        <v>0</v>
      </c>
      <c r="N23" s="173">
        <v>0</v>
      </c>
      <c r="O23" s="173">
        <v>0</v>
      </c>
      <c r="P23" s="173">
        <v>0</v>
      </c>
      <c r="Q23" s="158"/>
      <c r="R23" s="162">
        <v>0</v>
      </c>
      <c r="S23" s="162">
        <v>0</v>
      </c>
      <c r="T23" s="162">
        <v>16160000</v>
      </c>
      <c r="U23" s="162">
        <v>0</v>
      </c>
      <c r="V23" s="163">
        <v>83000000</v>
      </c>
      <c r="W23" s="163">
        <v>314789356</v>
      </c>
      <c r="X23" s="162"/>
      <c r="Y23" s="162"/>
      <c r="Z23" s="163"/>
      <c r="AA23" s="161"/>
      <c r="AB23" s="161"/>
      <c r="AC23" s="161"/>
      <c r="AD23" s="164"/>
    </row>
    <row r="24" spans="1:38" ht="12.75" hidden="1" customHeight="1">
      <c r="A24" s="143"/>
      <c r="B24" s="165"/>
      <c r="C24" s="166"/>
      <c r="D24" s="166"/>
      <c r="E24" s="166"/>
      <c r="F24" s="167"/>
      <c r="G24" s="166"/>
      <c r="H24" s="166"/>
      <c r="I24" s="166"/>
      <c r="J24" s="166"/>
      <c r="K24" s="170"/>
      <c r="L24" s="165"/>
      <c r="M24" s="165"/>
      <c r="N24" s="165"/>
      <c r="O24" s="165"/>
      <c r="P24" s="165"/>
      <c r="Q24" s="165"/>
      <c r="R24" s="169"/>
      <c r="S24" s="169"/>
      <c r="T24" s="169"/>
      <c r="U24" s="169"/>
      <c r="V24" s="169"/>
      <c r="W24" s="169"/>
      <c r="X24" s="169"/>
      <c r="Y24" s="169"/>
      <c r="Z24" s="171"/>
      <c r="AA24" s="170"/>
      <c r="AB24" s="170"/>
      <c r="AC24" s="170"/>
      <c r="AD24" s="146"/>
    </row>
    <row r="25" spans="1:38" ht="34.799999999999997" hidden="1">
      <c r="A25" s="157"/>
      <c r="B25" s="158" t="s">
        <v>681</v>
      </c>
      <c r="C25" s="172"/>
      <c r="D25" s="172"/>
      <c r="E25" s="172"/>
      <c r="F25" s="159"/>
      <c r="G25" s="172"/>
      <c r="H25" s="172"/>
      <c r="I25" s="160">
        <v>0</v>
      </c>
      <c r="J25" s="160"/>
      <c r="K25" s="161"/>
      <c r="L25" s="173"/>
      <c r="M25" s="173"/>
      <c r="N25" s="173"/>
      <c r="O25" s="173"/>
      <c r="P25" s="173"/>
      <c r="Q25" s="158"/>
      <c r="R25" s="162"/>
      <c r="S25" s="162"/>
      <c r="T25" s="162"/>
      <c r="U25" s="162"/>
      <c r="V25" s="163"/>
      <c r="W25" s="163"/>
      <c r="X25" s="162"/>
      <c r="Y25" s="162"/>
      <c r="Z25" s="163"/>
      <c r="AA25" s="161"/>
      <c r="AB25" s="161"/>
      <c r="AC25" s="161"/>
      <c r="AD25" s="164"/>
    </row>
    <row r="26" spans="1:38" ht="13.5" customHeight="1">
      <c r="A26" s="143"/>
      <c r="B26" s="165"/>
      <c r="C26" s="166"/>
      <c r="D26" s="166"/>
      <c r="E26" s="166"/>
      <c r="F26" s="167"/>
      <c r="G26" s="166"/>
      <c r="H26" s="166"/>
      <c r="I26" s="166"/>
      <c r="J26" s="166"/>
      <c r="K26" s="170"/>
      <c r="L26" s="165"/>
      <c r="M26" s="165"/>
      <c r="N26" s="165"/>
      <c r="O26" s="165"/>
      <c r="P26" s="165"/>
      <c r="Q26" s="165"/>
      <c r="R26" s="169"/>
      <c r="S26" s="169"/>
      <c r="T26" s="169"/>
      <c r="U26" s="169"/>
      <c r="V26" s="171"/>
      <c r="W26" s="171"/>
      <c r="X26" s="169"/>
      <c r="Y26" s="169"/>
      <c r="Z26" s="171"/>
      <c r="AA26" s="170"/>
      <c r="AB26" s="170"/>
      <c r="AC26" s="170"/>
      <c r="AD26" s="146"/>
    </row>
    <row r="27" spans="1:38" ht="33.75" customHeight="1">
      <c r="A27" s="157"/>
      <c r="B27" s="158" t="s">
        <v>284</v>
      </c>
      <c r="C27" s="159">
        <v>0</v>
      </c>
      <c r="D27" s="159">
        <v>0</v>
      </c>
      <c r="E27" s="159">
        <v>0</v>
      </c>
      <c r="F27" s="159">
        <v>0</v>
      </c>
      <c r="G27" s="1158">
        <v>0</v>
      </c>
      <c r="H27" s="160">
        <v>42618346</v>
      </c>
      <c r="I27" s="160">
        <v>64834315.049999997</v>
      </c>
      <c r="J27" s="160">
        <v>262754562.62</v>
      </c>
      <c r="K27" s="161">
        <v>45714714</v>
      </c>
      <c r="L27" s="162">
        <v>33000000</v>
      </c>
      <c r="M27" s="173">
        <v>0</v>
      </c>
      <c r="N27" s="162">
        <v>4523539</v>
      </c>
      <c r="O27" s="158"/>
      <c r="P27" s="162">
        <v>8247759.2000000002</v>
      </c>
      <c r="Q27" s="162">
        <v>25887496</v>
      </c>
      <c r="R27" s="162">
        <v>45024541</v>
      </c>
      <c r="S27" s="162">
        <v>25595329</v>
      </c>
      <c r="T27" s="162">
        <v>18307961</v>
      </c>
      <c r="U27" s="162">
        <v>0</v>
      </c>
      <c r="V27" s="163">
        <v>0</v>
      </c>
      <c r="W27" s="163">
        <v>0</v>
      </c>
      <c r="X27" s="162">
        <v>0</v>
      </c>
      <c r="Y27" s="162">
        <v>0</v>
      </c>
      <c r="Z27" s="163"/>
      <c r="AA27" s="161"/>
      <c r="AB27" s="161"/>
      <c r="AC27" s="161"/>
      <c r="AD27" s="164"/>
    </row>
    <row r="28" spans="1:38" ht="13.5" hidden="1" customHeight="1">
      <c r="A28" s="143"/>
      <c r="B28" s="165"/>
      <c r="C28" s="166"/>
      <c r="D28" s="166"/>
      <c r="E28" s="166"/>
      <c r="F28" s="167"/>
      <c r="G28" s="166"/>
      <c r="H28" s="166"/>
      <c r="I28" s="166"/>
      <c r="J28" s="166"/>
      <c r="K28" s="170"/>
      <c r="L28" s="165"/>
      <c r="M28" s="165"/>
      <c r="N28" s="165"/>
      <c r="O28" s="165"/>
      <c r="P28" s="165"/>
      <c r="Q28" s="165"/>
      <c r="R28" s="169"/>
      <c r="S28" s="169"/>
      <c r="T28" s="169"/>
      <c r="U28" s="169"/>
      <c r="V28" s="171"/>
      <c r="W28" s="171"/>
      <c r="X28" s="169"/>
      <c r="Y28" s="169"/>
      <c r="Z28" s="171"/>
      <c r="AA28" s="170"/>
      <c r="AB28" s="170"/>
      <c r="AC28" s="170"/>
      <c r="AD28" s="146"/>
    </row>
    <row r="29" spans="1:38" ht="13.5" hidden="1" customHeight="1">
      <c r="A29" s="143"/>
      <c r="B29" s="165"/>
      <c r="C29" s="166"/>
      <c r="D29" s="166"/>
      <c r="E29" s="166"/>
      <c r="F29" s="167"/>
      <c r="G29" s="166"/>
      <c r="H29" s="166"/>
      <c r="I29" s="166"/>
      <c r="J29" s="166"/>
      <c r="K29" s="170"/>
      <c r="L29" s="165"/>
      <c r="M29" s="165"/>
      <c r="N29" s="165"/>
      <c r="O29" s="165"/>
      <c r="P29" s="165"/>
      <c r="Q29" s="165"/>
      <c r="R29" s="169"/>
      <c r="S29" s="169"/>
      <c r="T29" s="169"/>
      <c r="U29" s="169"/>
      <c r="V29" s="171"/>
      <c r="W29" s="171"/>
      <c r="X29" s="169"/>
      <c r="Y29" s="169"/>
      <c r="Z29" s="171"/>
      <c r="AA29" s="170"/>
      <c r="AB29" s="170"/>
      <c r="AC29" s="170"/>
      <c r="AD29" s="146"/>
    </row>
    <row r="30" spans="1:38" ht="12.75" customHeight="1">
      <c r="A30" s="143"/>
      <c r="B30" s="165"/>
      <c r="C30" s="166"/>
      <c r="D30" s="166"/>
      <c r="E30" s="166"/>
      <c r="F30" s="167"/>
      <c r="G30" s="166"/>
      <c r="H30" s="166"/>
      <c r="I30" s="166"/>
      <c r="J30" s="166"/>
      <c r="K30" s="170"/>
      <c r="L30" s="165"/>
      <c r="M30" s="165"/>
      <c r="N30" s="165"/>
      <c r="O30" s="165"/>
      <c r="P30" s="165"/>
      <c r="Q30" s="165"/>
      <c r="R30" s="169"/>
      <c r="S30" s="169"/>
      <c r="T30" s="169"/>
      <c r="U30" s="169"/>
      <c r="V30" s="169"/>
      <c r="W30" s="169"/>
      <c r="X30" s="169"/>
      <c r="Y30" s="169"/>
      <c r="Z30" s="171"/>
      <c r="AA30" s="170"/>
      <c r="AB30" s="170"/>
      <c r="AC30" s="170"/>
      <c r="AD30" s="146"/>
    </row>
    <row r="31" spans="1:38" ht="18.75" customHeight="1">
      <c r="A31" s="174"/>
      <c r="B31" s="175" t="s">
        <v>282</v>
      </c>
      <c r="C31" s="176">
        <f>+C34</f>
        <v>4567415829.75</v>
      </c>
      <c r="D31" s="176">
        <f>+D34</f>
        <v>1615245020.96</v>
      </c>
      <c r="E31" s="176">
        <f>+E34</f>
        <v>1310956540</v>
      </c>
      <c r="F31" s="176">
        <f>+F34</f>
        <v>10020170036</v>
      </c>
      <c r="G31" s="177">
        <f>+G33+G34</f>
        <v>189997048.92000002</v>
      </c>
      <c r="H31" s="177">
        <f t="shared" ref="H31:U31" si="3">SUM(H33+H34)</f>
        <v>73164073</v>
      </c>
      <c r="I31" s="177">
        <f t="shared" si="3"/>
        <v>2078667861</v>
      </c>
      <c r="J31" s="177">
        <f t="shared" si="3"/>
        <v>1613181679</v>
      </c>
      <c r="K31" s="178">
        <f t="shared" si="3"/>
        <v>510015206</v>
      </c>
      <c r="L31" s="179">
        <f t="shared" si="3"/>
        <v>755476989</v>
      </c>
      <c r="M31" s="179">
        <f t="shared" si="3"/>
        <v>1514050131</v>
      </c>
      <c r="N31" s="179">
        <f t="shared" si="3"/>
        <v>683046830</v>
      </c>
      <c r="O31" s="179">
        <f t="shared" si="3"/>
        <v>2384179947</v>
      </c>
      <c r="P31" s="179">
        <f t="shared" si="3"/>
        <v>587186678</v>
      </c>
      <c r="Q31" s="179">
        <f t="shared" si="3"/>
        <v>3508787272</v>
      </c>
      <c r="R31" s="179">
        <f t="shared" si="3"/>
        <v>653472120</v>
      </c>
      <c r="S31" s="179">
        <f t="shared" si="3"/>
        <v>89697872</v>
      </c>
      <c r="T31" s="179">
        <f t="shared" si="3"/>
        <v>54886142</v>
      </c>
      <c r="U31" s="179">
        <f t="shared" si="3"/>
        <v>64608479</v>
      </c>
      <c r="V31" s="180">
        <f t="shared" ref="V31:AA31" si="4">+V33</f>
        <v>0</v>
      </c>
      <c r="W31" s="180">
        <f t="shared" si="4"/>
        <v>0</v>
      </c>
      <c r="X31" s="180">
        <f t="shared" si="4"/>
        <v>737884410.26999998</v>
      </c>
      <c r="Y31" s="180">
        <f t="shared" si="4"/>
        <v>452443259</v>
      </c>
      <c r="Z31" s="180">
        <f t="shared" si="4"/>
        <v>314809847</v>
      </c>
      <c r="AA31" s="181">
        <f t="shared" si="4"/>
        <v>185085500</v>
      </c>
      <c r="AB31" s="181">
        <f>SUM(AB36)</f>
        <v>16714961</v>
      </c>
      <c r="AC31" s="181">
        <f>SUM(AC37)</f>
        <v>0</v>
      </c>
      <c r="AD31" s="182"/>
    </row>
    <row r="32" spans="1:38" ht="12.75" customHeight="1">
      <c r="A32" s="143"/>
      <c r="B32" s="151"/>
      <c r="C32" s="183"/>
      <c r="D32" s="183"/>
      <c r="E32" s="183"/>
      <c r="F32" s="184"/>
      <c r="G32" s="183"/>
      <c r="H32" s="183"/>
      <c r="I32" s="183"/>
      <c r="J32" s="183"/>
      <c r="K32" s="185"/>
      <c r="L32" s="151"/>
      <c r="M32" s="151"/>
      <c r="N32" s="151"/>
      <c r="O32" s="151"/>
      <c r="P32" s="151"/>
      <c r="Q32" s="151"/>
      <c r="R32" s="13"/>
      <c r="S32" s="13"/>
      <c r="T32" s="13"/>
      <c r="U32" s="13"/>
      <c r="V32" s="13"/>
      <c r="W32" s="13"/>
      <c r="X32" s="13"/>
      <c r="Y32" s="13"/>
      <c r="Z32" s="13"/>
      <c r="AA32" s="151"/>
      <c r="AB32" s="151"/>
      <c r="AC32" s="152"/>
      <c r="AD32" s="146"/>
    </row>
    <row r="33" spans="1:33" ht="19.95" hidden="1" customHeight="1">
      <c r="A33" s="186"/>
      <c r="B33" s="187" t="s">
        <v>57</v>
      </c>
      <c r="C33" s="188"/>
      <c r="D33" s="188"/>
      <c r="E33" s="188"/>
      <c r="F33" s="188"/>
      <c r="G33" s="189"/>
      <c r="H33" s="189"/>
      <c r="I33" s="190">
        <v>471310308</v>
      </c>
      <c r="J33" s="190">
        <v>974120728</v>
      </c>
      <c r="K33" s="191">
        <v>171677000</v>
      </c>
      <c r="L33" s="162">
        <f>40011742+47000000</f>
        <v>87011742</v>
      </c>
      <c r="M33" s="162">
        <v>200482546</v>
      </c>
      <c r="N33" s="162">
        <v>7500000</v>
      </c>
      <c r="O33" s="162">
        <v>198259385</v>
      </c>
      <c r="P33" s="162">
        <v>131617076</v>
      </c>
      <c r="Q33" s="162">
        <v>108688252</v>
      </c>
      <c r="R33" s="192">
        <v>267205635</v>
      </c>
      <c r="S33" s="192">
        <v>0</v>
      </c>
      <c r="T33" s="192">
        <v>0</v>
      </c>
      <c r="U33" s="192">
        <v>0</v>
      </c>
      <c r="V33" s="163">
        <v>0</v>
      </c>
      <c r="W33" s="163">
        <v>0</v>
      </c>
      <c r="X33" s="163">
        <f>60000000+533820145.27+6000000+127623991+10440274</f>
        <v>737884410.26999998</v>
      </c>
      <c r="Y33" s="193">
        <f>163438941+175754318+113250000</f>
        <v>452443259</v>
      </c>
      <c r="Z33" s="193">
        <v>314809847</v>
      </c>
      <c r="AA33" s="191">
        <v>185085500</v>
      </c>
      <c r="AB33" s="191">
        <v>16714961</v>
      </c>
      <c r="AC33" s="191">
        <v>0</v>
      </c>
      <c r="AD33" s="194"/>
    </row>
    <row r="34" spans="1:33" ht="18" customHeight="1">
      <c r="A34" s="186"/>
      <c r="B34" s="187" t="s">
        <v>58</v>
      </c>
      <c r="C34" s="1050">
        <f>+'CLASIFICACION DE INGRESOS 2025'!G44</f>
        <v>4567415829.75</v>
      </c>
      <c r="D34" s="1050">
        <v>1615245020.96</v>
      </c>
      <c r="E34" s="188">
        <v>1310956540</v>
      </c>
      <c r="F34" s="188">
        <v>10020170036</v>
      </c>
      <c r="G34" s="190">
        <v>189997048.92000002</v>
      </c>
      <c r="H34" s="190">
        <v>73164073</v>
      </c>
      <c r="I34" s="190">
        <v>1607357553</v>
      </c>
      <c r="J34" s="190">
        <v>639060951</v>
      </c>
      <c r="K34" s="191">
        <f>337992046+346160</f>
        <v>338338206</v>
      </c>
      <c r="L34" s="162">
        <f>604345247+64120000</f>
        <v>668465247</v>
      </c>
      <c r="M34" s="162">
        <v>1313567585</v>
      </c>
      <c r="N34" s="162">
        <v>675546830</v>
      </c>
      <c r="O34" s="162">
        <v>2185920562</v>
      </c>
      <c r="P34" s="162">
        <v>455569602</v>
      </c>
      <c r="Q34" s="162">
        <v>3400099020</v>
      </c>
      <c r="R34" s="192">
        <v>386266485</v>
      </c>
      <c r="S34" s="192">
        <v>89697872</v>
      </c>
      <c r="T34" s="192">
        <v>54886142</v>
      </c>
      <c r="U34" s="192">
        <v>64608479</v>
      </c>
      <c r="V34" s="163">
        <v>50777596</v>
      </c>
      <c r="W34" s="163">
        <v>109150700</v>
      </c>
      <c r="X34" s="163">
        <f>60000000+533820145.27+6000000+127623991+10440274</f>
        <v>737884410.26999998</v>
      </c>
      <c r="Y34" s="193">
        <f>163438941+175754318+113250000</f>
        <v>452443259</v>
      </c>
      <c r="Z34" s="193">
        <v>314809848</v>
      </c>
      <c r="AA34" s="191">
        <v>185085500</v>
      </c>
      <c r="AB34" s="191">
        <v>16714961</v>
      </c>
      <c r="AC34" s="191">
        <v>0</v>
      </c>
      <c r="AD34" s="194"/>
      <c r="AF34" s="24">
        <f>+'INGRESOS 2025'!C32</f>
        <v>4567415829.75</v>
      </c>
      <c r="AG34" s="24">
        <f>+AF34-C34</f>
        <v>0</v>
      </c>
    </row>
    <row r="35" spans="1:33" ht="17.399999999999999">
      <c r="A35" s="79"/>
      <c r="B35" s="6"/>
      <c r="C35" s="140"/>
      <c r="D35" s="140"/>
      <c r="E35" s="140"/>
      <c r="F35" s="195"/>
      <c r="G35" s="140"/>
      <c r="H35" s="140"/>
      <c r="I35" s="140"/>
      <c r="J35" s="140"/>
      <c r="K35" s="196"/>
      <c r="L35" s="6"/>
      <c r="M35" s="6"/>
      <c r="N35" s="6"/>
      <c r="O35" s="6"/>
      <c r="P35" s="6"/>
      <c r="Q35" s="6"/>
      <c r="R35" s="7"/>
      <c r="S35" s="7"/>
      <c r="T35" s="7"/>
      <c r="U35" s="7"/>
      <c r="V35" s="6"/>
      <c r="W35" s="6"/>
      <c r="X35" s="6"/>
      <c r="Y35" s="6"/>
      <c r="Z35" s="6"/>
      <c r="AA35" s="6"/>
      <c r="AB35" s="6"/>
      <c r="AC35" s="6"/>
      <c r="AD35" s="197"/>
    </row>
    <row r="36" spans="1:33" ht="22.5" hidden="1" customHeight="1" outlineLevel="1">
      <c r="A36" s="198"/>
      <c r="B36" s="187" t="s">
        <v>46</v>
      </c>
      <c r="C36" s="189"/>
      <c r="D36" s="189"/>
      <c r="E36" s="189"/>
      <c r="F36" s="188"/>
      <c r="G36" s="189"/>
      <c r="H36" s="189"/>
      <c r="I36" s="189"/>
      <c r="J36" s="189"/>
      <c r="K36" s="199"/>
      <c r="L36" s="187"/>
      <c r="M36" s="187"/>
      <c r="N36" s="187"/>
      <c r="O36" s="187"/>
      <c r="P36" s="187"/>
      <c r="Q36" s="187"/>
      <c r="R36" s="192"/>
      <c r="S36" s="192"/>
      <c r="T36" s="192"/>
      <c r="U36" s="192"/>
      <c r="V36" s="161">
        <v>50777596</v>
      </c>
      <c r="W36" s="161">
        <v>109150700</v>
      </c>
      <c r="X36" s="161">
        <f>60000000+533820145.27+6000000+127623991+10440274</f>
        <v>737884410.26999998</v>
      </c>
      <c r="Y36" s="191">
        <f>163438941+175754318+113250000</f>
        <v>452443259</v>
      </c>
      <c r="Z36" s="191">
        <v>314809847</v>
      </c>
      <c r="AA36" s="191">
        <v>185085500</v>
      </c>
      <c r="AB36" s="191">
        <v>16714961</v>
      </c>
      <c r="AC36" s="191">
        <v>0</v>
      </c>
      <c r="AD36" s="194"/>
    </row>
    <row r="37" spans="1:33" ht="17.399999999999999" hidden="1" outlineLevel="1">
      <c r="A37" s="143"/>
      <c r="B37" s="151"/>
      <c r="C37" s="183"/>
      <c r="D37" s="183"/>
      <c r="E37" s="183"/>
      <c r="F37" s="184"/>
      <c r="G37" s="183"/>
      <c r="H37" s="183"/>
      <c r="I37" s="183"/>
      <c r="J37" s="183"/>
      <c r="K37" s="152"/>
      <c r="L37" s="151"/>
      <c r="M37" s="151"/>
      <c r="N37" s="151"/>
      <c r="O37" s="151"/>
      <c r="P37" s="151"/>
      <c r="Q37" s="151"/>
      <c r="R37" s="13"/>
      <c r="S37" s="13"/>
      <c r="T37" s="13"/>
      <c r="U37" s="13"/>
      <c r="V37" s="151"/>
      <c r="W37" s="151"/>
      <c r="X37" s="151"/>
      <c r="Y37" s="151"/>
      <c r="Z37" s="151"/>
      <c r="AA37" s="151"/>
      <c r="AB37" s="151"/>
      <c r="AC37" s="152"/>
      <c r="AD37" s="146"/>
    </row>
    <row r="38" spans="1:33" ht="17.399999999999999" hidden="1" outlineLevel="1">
      <c r="A38" s="143"/>
      <c r="B38" s="151"/>
      <c r="C38" s="183"/>
      <c r="D38" s="183"/>
      <c r="E38" s="183"/>
      <c r="F38" s="184"/>
      <c r="G38" s="183"/>
      <c r="H38" s="183"/>
      <c r="I38" s="183"/>
      <c r="J38" s="183"/>
      <c r="K38" s="152"/>
      <c r="L38" s="151"/>
      <c r="M38" s="151"/>
      <c r="N38" s="151"/>
      <c r="O38" s="151"/>
      <c r="P38" s="151"/>
      <c r="Q38" s="151"/>
      <c r="R38" s="13"/>
      <c r="S38" s="13"/>
      <c r="T38" s="13"/>
      <c r="U38" s="13"/>
      <c r="V38" s="151"/>
      <c r="W38" s="151"/>
      <c r="X38" s="151"/>
      <c r="Y38" s="151"/>
      <c r="Z38" s="151"/>
      <c r="AA38" s="151"/>
      <c r="AB38" s="151"/>
      <c r="AC38" s="152"/>
      <c r="AD38" s="146"/>
    </row>
    <row r="39" spans="1:33" ht="18.75" hidden="1" customHeight="1" outlineLevel="1">
      <c r="A39" s="200"/>
      <c r="B39" s="201" t="s">
        <v>23</v>
      </c>
      <c r="C39" s="202"/>
      <c r="D39" s="202"/>
      <c r="E39" s="202"/>
      <c r="F39" s="203"/>
      <c r="G39" s="202"/>
      <c r="H39" s="202"/>
      <c r="I39" s="202"/>
      <c r="J39" s="202"/>
      <c r="K39" s="204"/>
      <c r="L39" s="201"/>
      <c r="M39" s="201"/>
      <c r="N39" s="201"/>
      <c r="O39" s="201"/>
      <c r="P39" s="201"/>
      <c r="Q39" s="201"/>
      <c r="R39" s="205"/>
      <c r="S39" s="205"/>
      <c r="T39" s="205"/>
      <c r="U39" s="205"/>
      <c r="V39" s="206">
        <f>SUM(V41:V42)</f>
        <v>0</v>
      </c>
      <c r="W39" s="206">
        <f t="shared" ref="W39:AB39" si="5">SUM(W41:W42)</f>
        <v>0</v>
      </c>
      <c r="X39" s="206">
        <f t="shared" si="5"/>
        <v>0</v>
      </c>
      <c r="Y39" s="206">
        <f t="shared" si="5"/>
        <v>0</v>
      </c>
      <c r="Z39" s="206">
        <f t="shared" si="5"/>
        <v>0</v>
      </c>
      <c r="AA39" s="206">
        <f t="shared" si="5"/>
        <v>0</v>
      </c>
      <c r="AB39" s="206">
        <f t="shared" si="5"/>
        <v>0</v>
      </c>
      <c r="AC39" s="206">
        <f>SUM(AC43)</f>
        <v>0</v>
      </c>
      <c r="AD39" s="207"/>
    </row>
    <row r="40" spans="1:33" ht="17.399999999999999" hidden="1" outlineLevel="1">
      <c r="A40" s="143"/>
      <c r="B40" s="151"/>
      <c r="C40" s="183"/>
      <c r="D40" s="183"/>
      <c r="E40" s="183"/>
      <c r="F40" s="184"/>
      <c r="G40" s="183"/>
      <c r="H40" s="183"/>
      <c r="I40" s="183"/>
      <c r="J40" s="183"/>
      <c r="K40" s="152"/>
      <c r="L40" s="151"/>
      <c r="M40" s="151"/>
      <c r="N40" s="151"/>
      <c r="O40" s="151"/>
      <c r="P40" s="151"/>
      <c r="Q40" s="151"/>
      <c r="R40" s="13"/>
      <c r="S40" s="13"/>
      <c r="T40" s="13"/>
      <c r="U40" s="13"/>
      <c r="V40" s="151"/>
      <c r="W40" s="151"/>
      <c r="X40" s="151"/>
      <c r="Y40" s="151"/>
      <c r="Z40" s="151"/>
      <c r="AA40" s="151"/>
      <c r="AB40" s="151"/>
      <c r="AC40" s="152"/>
      <c r="AD40" s="146"/>
    </row>
    <row r="41" spans="1:33" ht="17.399999999999999" hidden="1" outlineLevel="1">
      <c r="A41" s="208"/>
      <c r="B41" s="209" t="s">
        <v>57</v>
      </c>
      <c r="C41" s="210"/>
      <c r="D41" s="210"/>
      <c r="E41" s="210"/>
      <c r="F41" s="211"/>
      <c r="G41" s="210"/>
      <c r="H41" s="210"/>
      <c r="I41" s="210"/>
      <c r="J41" s="210"/>
      <c r="K41" s="212"/>
      <c r="L41" s="209"/>
      <c r="M41" s="209"/>
      <c r="N41" s="209"/>
      <c r="O41" s="209"/>
      <c r="P41" s="209"/>
      <c r="Q41" s="209"/>
      <c r="R41" s="213"/>
      <c r="S41" s="213"/>
      <c r="T41" s="213"/>
      <c r="U41" s="213"/>
      <c r="V41" s="214"/>
      <c r="W41" s="214"/>
      <c r="X41" s="214"/>
      <c r="Y41" s="214"/>
      <c r="Z41" s="214"/>
      <c r="AA41" s="214"/>
      <c r="AB41" s="214"/>
      <c r="AC41" s="215"/>
      <c r="AD41" s="216"/>
    </row>
    <row r="42" spans="1:33" ht="17.399999999999999" hidden="1" outlineLevel="1">
      <c r="A42" s="217"/>
      <c r="B42" s="218" t="s">
        <v>58</v>
      </c>
      <c r="C42" s="219"/>
      <c r="D42" s="219"/>
      <c r="E42" s="219"/>
      <c r="F42" s="220"/>
      <c r="G42" s="219"/>
      <c r="H42" s="219"/>
      <c r="I42" s="219"/>
      <c r="J42" s="219"/>
      <c r="K42" s="221"/>
      <c r="L42" s="218"/>
      <c r="M42" s="218"/>
      <c r="N42" s="218"/>
      <c r="O42" s="218"/>
      <c r="P42" s="218"/>
      <c r="Q42" s="218"/>
      <c r="R42" s="222"/>
      <c r="S42" s="222"/>
      <c r="T42" s="222"/>
      <c r="U42" s="222"/>
      <c r="V42" s="223"/>
      <c r="W42" s="223"/>
      <c r="X42" s="223"/>
      <c r="Y42" s="224"/>
      <c r="Z42" s="224"/>
      <c r="AA42" s="224"/>
      <c r="AB42" s="224"/>
      <c r="AC42" s="225"/>
      <c r="AD42" s="197"/>
    </row>
    <row r="43" spans="1:33" ht="17.399999999999999" hidden="1" outlineLevel="1">
      <c r="A43" s="143"/>
      <c r="B43" s="151"/>
      <c r="C43" s="183"/>
      <c r="D43" s="183"/>
      <c r="E43" s="183"/>
      <c r="F43" s="184"/>
      <c r="G43" s="183"/>
      <c r="H43" s="183"/>
      <c r="I43" s="183"/>
      <c r="J43" s="183"/>
      <c r="K43" s="152"/>
      <c r="L43" s="151"/>
      <c r="M43" s="151"/>
      <c r="N43" s="151"/>
      <c r="O43" s="151"/>
      <c r="P43" s="151"/>
      <c r="Q43" s="151"/>
      <c r="R43" s="13"/>
      <c r="S43" s="13"/>
      <c r="T43" s="13"/>
      <c r="U43" s="13"/>
      <c r="V43" s="151"/>
      <c r="W43" s="151"/>
      <c r="X43" s="151"/>
      <c r="Y43" s="151"/>
      <c r="Z43" s="151"/>
      <c r="AA43" s="151"/>
      <c r="AB43" s="151"/>
      <c r="AC43" s="152"/>
      <c r="AD43" s="146"/>
    </row>
    <row r="44" spans="1:33" ht="21.75" customHeight="1" collapsed="1">
      <c r="A44" s="153"/>
      <c r="B44" s="226" t="s">
        <v>3</v>
      </c>
      <c r="C44" s="227">
        <f>SUM(C31+C14)</f>
        <v>17913627699.540001</v>
      </c>
      <c r="D44" s="227">
        <f>SUM(D31+D14)</f>
        <v>15504798378.354664</v>
      </c>
      <c r="E44" s="227">
        <f t="shared" ref="E44:J44" si="6">SUM(E31+E14)</f>
        <v>15294194982.700001</v>
      </c>
      <c r="F44" s="227">
        <f t="shared" si="6"/>
        <v>22947815606.360001</v>
      </c>
      <c r="G44" s="227">
        <f t="shared" si="6"/>
        <v>14014563207.923056</v>
      </c>
      <c r="H44" s="227">
        <f t="shared" si="6"/>
        <v>12496252757</v>
      </c>
      <c r="I44" s="227">
        <f t="shared" si="6"/>
        <v>12599350559.029999</v>
      </c>
      <c r="J44" s="227">
        <f t="shared" si="6"/>
        <v>11645576723.99</v>
      </c>
      <c r="K44" s="228">
        <f t="shared" ref="K44:AB44" si="7">SUM(K31+K14)</f>
        <v>8477347213</v>
      </c>
      <c r="L44" s="228">
        <f t="shared" si="7"/>
        <v>7741665977</v>
      </c>
      <c r="M44" s="228">
        <f t="shared" si="7"/>
        <v>7574860886</v>
      </c>
      <c r="N44" s="228">
        <f t="shared" si="7"/>
        <v>11667088072</v>
      </c>
      <c r="O44" s="228">
        <f t="shared" si="7"/>
        <v>9495534390</v>
      </c>
      <c r="P44" s="228">
        <f t="shared" si="7"/>
        <v>7967329948.1999998</v>
      </c>
      <c r="Q44" s="228">
        <f t="shared" si="7"/>
        <v>10121872233</v>
      </c>
      <c r="R44" s="228">
        <f t="shared" si="7"/>
        <v>9400701213</v>
      </c>
      <c r="S44" s="228">
        <f t="shared" si="7"/>
        <v>4436517330</v>
      </c>
      <c r="T44" s="228">
        <f t="shared" si="7"/>
        <v>2383329163</v>
      </c>
      <c r="U44" s="228">
        <f t="shared" si="7"/>
        <v>1734047979</v>
      </c>
      <c r="V44" s="228">
        <f t="shared" si="7"/>
        <v>1485468500</v>
      </c>
      <c r="W44" s="228">
        <f t="shared" si="7"/>
        <v>1489448260</v>
      </c>
      <c r="X44" s="228">
        <f t="shared" si="7"/>
        <v>737884410.26999998</v>
      </c>
      <c r="Y44" s="228">
        <f t="shared" si="7"/>
        <v>452443259</v>
      </c>
      <c r="Z44" s="228">
        <f t="shared" si="7"/>
        <v>1178709847</v>
      </c>
      <c r="AA44" s="228">
        <f t="shared" si="7"/>
        <v>1399505050</v>
      </c>
      <c r="AB44" s="228">
        <f t="shared" si="7"/>
        <v>2216714961</v>
      </c>
      <c r="AC44" s="155">
        <f>SUM(AC17:AC37)</f>
        <v>100000000</v>
      </c>
      <c r="AD44" s="156"/>
    </row>
    <row r="45" spans="1:33" ht="18" thickBot="1">
      <c r="A45" s="229"/>
      <c r="B45" s="230"/>
      <c r="C45" s="230"/>
      <c r="D45" s="230"/>
      <c r="E45" s="230"/>
      <c r="F45" s="230"/>
      <c r="G45" s="230"/>
      <c r="H45" s="230"/>
      <c r="I45" s="230"/>
      <c r="J45" s="230"/>
      <c r="K45" s="230"/>
      <c r="L45" s="230"/>
      <c r="M45" s="230"/>
      <c r="N45" s="230"/>
      <c r="O45" s="230"/>
      <c r="P45" s="230"/>
      <c r="Q45" s="230"/>
      <c r="R45" s="230"/>
      <c r="S45" s="230"/>
      <c r="T45" s="230"/>
      <c r="U45" s="231"/>
      <c r="V45" s="230"/>
      <c r="W45" s="230"/>
      <c r="X45" s="230"/>
      <c r="Y45" s="230"/>
      <c r="Z45" s="230"/>
      <c r="AA45" s="230"/>
      <c r="AB45" s="230"/>
      <c r="AC45" s="98"/>
      <c r="AD45" s="232"/>
    </row>
    <row r="47" spans="1:33" hidden="1">
      <c r="C47" s="74">
        <f>+'Distribución OyA Detalle'!G1059</f>
        <v>0</v>
      </c>
    </row>
    <row r="48" spans="1:33" hidden="1">
      <c r="C48" s="233" t="s">
        <v>325</v>
      </c>
      <c r="D48" s="233" t="s">
        <v>325</v>
      </c>
      <c r="E48" s="233" t="s">
        <v>325</v>
      </c>
    </row>
    <row r="49" spans="3:5" hidden="1">
      <c r="C49" s="233">
        <f>+C44-C47</f>
        <v>17913627699.540001</v>
      </c>
    </row>
    <row r="50" spans="3:5">
      <c r="E50" s="233"/>
    </row>
    <row r="51" spans="3:5">
      <c r="E51" s="999"/>
    </row>
    <row r="52" spans="3:5">
      <c r="E52" s="999"/>
    </row>
  </sheetData>
  <mergeCells count="6">
    <mergeCell ref="B8:AD8"/>
    <mergeCell ref="B10:AC10"/>
    <mergeCell ref="B3:AD3"/>
    <mergeCell ref="B4:AD4"/>
    <mergeCell ref="B6:AD6"/>
    <mergeCell ref="B7:AD7"/>
  </mergeCells>
  <phoneticPr fontId="0" type="noConversion"/>
  <printOptions horizontalCentered="1"/>
  <pageMargins left="0.78740157480314965" right="0.78740157480314965" top="0.98425196850393704" bottom="0.59055118110236227" header="0.59055118110236227" footer="0.59055118110236227"/>
  <pageSetup scale="74" firstPageNumber="4" orientation="landscape" useFirstPageNumber="1" r:id="rId1"/>
  <headerFooter alignWithMargins="0">
    <oddFooter>&amp;C&amp;"Tw Cen MT,Normal"&amp;P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K35"/>
  <sheetViews>
    <sheetView showGridLines="0" topLeftCell="A6" zoomScaleNormal="100" workbookViewId="0">
      <selection activeCell="L28" sqref="L28"/>
    </sheetView>
  </sheetViews>
  <sheetFormatPr baseColWidth="10" defaultColWidth="11.44140625" defaultRowHeight="15" outlineLevelRow="1"/>
  <cols>
    <col min="1" max="1" width="27.88671875" style="235" customWidth="1"/>
    <col min="2" max="2" width="20.44140625" style="233" bestFit="1" customWidth="1"/>
    <col min="3" max="3" width="11.33203125" style="236" customWidth="1"/>
    <col min="4" max="4" width="25.5546875" style="233" customWidth="1"/>
    <col min="5" max="5" width="11.6640625" style="74" bestFit="1" customWidth="1"/>
    <col min="6" max="6" width="12.5546875" style="74" customWidth="1"/>
    <col min="7" max="7" width="20.44140625" style="233" bestFit="1" customWidth="1"/>
    <col min="8" max="8" width="9.5546875" style="74" customWidth="1"/>
    <col min="9" max="9" width="11.109375" style="233" customWidth="1"/>
    <col min="10" max="10" width="11.44140625" style="74"/>
    <col min="11" max="11" width="11.6640625" style="74" bestFit="1" customWidth="1"/>
    <col min="12" max="16384" width="11.44140625" style="74"/>
  </cols>
  <sheetData>
    <row r="2" spans="1:11" ht="15.75" customHeight="1">
      <c r="A2" s="1191" t="s">
        <v>0</v>
      </c>
      <c r="B2" s="1191"/>
      <c r="C2" s="1191"/>
      <c r="D2" s="1191"/>
      <c r="E2" s="1191"/>
      <c r="F2" s="1191"/>
      <c r="G2" s="1191"/>
      <c r="H2" s="1191"/>
      <c r="I2" s="1191"/>
    </row>
    <row r="3" spans="1:11" ht="8.4" customHeight="1" thickBot="1">
      <c r="A3" s="1196"/>
      <c r="B3" s="1196"/>
      <c r="C3" s="1196"/>
      <c r="D3" s="1196"/>
      <c r="E3" s="1196"/>
      <c r="F3" s="1196"/>
      <c r="G3" s="1196"/>
      <c r="H3" s="1196"/>
      <c r="I3" s="1196"/>
    </row>
    <row r="4" spans="1:11" ht="18" thickTop="1">
      <c r="A4" s="1191" t="s">
        <v>13</v>
      </c>
      <c r="B4" s="1191"/>
      <c r="C4" s="1191"/>
      <c r="D4" s="1191"/>
      <c r="E4" s="1191"/>
      <c r="F4" s="1191"/>
      <c r="G4" s="1191"/>
      <c r="H4" s="1191"/>
      <c r="I4" s="1191"/>
    </row>
    <row r="5" spans="1:11" ht="20.25" customHeight="1">
      <c r="A5" s="1192" t="s">
        <v>37</v>
      </c>
      <c r="B5" s="1192"/>
      <c r="C5" s="1192"/>
      <c r="D5" s="1192"/>
      <c r="E5" s="1192"/>
      <c r="F5" s="1192"/>
      <c r="G5" s="1192"/>
      <c r="H5" s="1192"/>
      <c r="I5" s="1192"/>
    </row>
    <row r="6" spans="1:11" ht="6.9" customHeight="1" thickBot="1">
      <c r="A6" s="151"/>
      <c r="B6" s="140"/>
      <c r="C6" s="238"/>
      <c r="D6" s="140"/>
      <c r="E6" s="6"/>
      <c r="F6" s="6"/>
      <c r="G6" s="140"/>
      <c r="H6" s="6"/>
      <c r="I6" s="140"/>
    </row>
    <row r="7" spans="1:11" ht="17.399999999999999">
      <c r="A7" s="239"/>
      <c r="B7" s="240" t="s">
        <v>6</v>
      </c>
      <c r="C7" s="241"/>
      <c r="D7" s="240" t="s">
        <v>960</v>
      </c>
      <c r="E7" s="242"/>
      <c r="F7" s="242" t="s">
        <v>5</v>
      </c>
      <c r="G7" s="240" t="s">
        <v>24</v>
      </c>
      <c r="H7" s="242"/>
      <c r="I7" s="240" t="s">
        <v>10</v>
      </c>
    </row>
    <row r="8" spans="1:11" ht="17.399999999999999">
      <c r="A8" s="243"/>
      <c r="B8" s="244" t="s">
        <v>957</v>
      </c>
      <c r="C8" s="245" t="s">
        <v>5</v>
      </c>
      <c r="D8" s="244" t="s">
        <v>958</v>
      </c>
      <c r="E8" s="245" t="s">
        <v>5</v>
      </c>
      <c r="F8" s="246" t="s">
        <v>11</v>
      </c>
      <c r="G8" s="244" t="s">
        <v>959</v>
      </c>
      <c r="H8" s="245" t="s">
        <v>5</v>
      </c>
      <c r="I8" s="244" t="s">
        <v>11</v>
      </c>
    </row>
    <row r="9" spans="1:11" ht="18" thickBot="1">
      <c r="A9" s="247"/>
      <c r="B9" s="248" t="s">
        <v>7</v>
      </c>
      <c r="C9" s="249"/>
      <c r="D9" s="248" t="s">
        <v>9</v>
      </c>
      <c r="E9" s="247"/>
      <c r="F9" s="250" t="s">
        <v>8</v>
      </c>
      <c r="G9" s="250" t="s">
        <v>25</v>
      </c>
      <c r="H9" s="251"/>
      <c r="I9" s="248" t="s">
        <v>12</v>
      </c>
    </row>
    <row r="10" spans="1:11" ht="8.4" customHeight="1">
      <c r="A10" s="1193"/>
      <c r="B10" s="1194"/>
      <c r="C10" s="1194"/>
      <c r="D10" s="1194"/>
      <c r="E10" s="1194"/>
      <c r="F10" s="1194"/>
      <c r="G10" s="1194"/>
      <c r="H10" s="1194"/>
      <c r="I10" s="1195"/>
    </row>
    <row r="11" spans="1:11" ht="18" customHeight="1">
      <c r="A11" s="1189" t="s">
        <v>1</v>
      </c>
      <c r="B11" s="1190"/>
      <c r="C11" s="252"/>
      <c r="D11" s="252"/>
      <c r="E11" s="252"/>
      <c r="F11" s="252"/>
      <c r="G11" s="252"/>
      <c r="H11" s="252"/>
      <c r="I11" s="253"/>
    </row>
    <row r="12" spans="1:11" ht="8.1" customHeight="1" thickBot="1">
      <c r="A12" s="254"/>
      <c r="B12" s="152"/>
      <c r="C12" s="237"/>
      <c r="D12" s="152"/>
      <c r="E12" s="152"/>
      <c r="F12" s="152"/>
      <c r="G12" s="183"/>
      <c r="H12" s="151"/>
      <c r="I12" s="255"/>
    </row>
    <row r="13" spans="1:11" s="261" customFormat="1" ht="18" customHeight="1" thickBot="1">
      <c r="A13" s="256" t="s">
        <v>2</v>
      </c>
      <c r="B13" s="257">
        <f>SUM(B15:B20)</f>
        <v>13346211869.790001</v>
      </c>
      <c r="C13" s="258">
        <f>B13/B27</f>
        <v>0.74503121833511787</v>
      </c>
      <c r="D13" s="257">
        <f>SUM(D15:D20)</f>
        <v>13889553357.394663</v>
      </c>
      <c r="E13" s="258">
        <f>D13/D27</f>
        <v>0.89582289420706374</v>
      </c>
      <c r="F13" s="259">
        <f>+C13-E13</f>
        <v>-0.15079167587194586</v>
      </c>
      <c r="G13" s="257">
        <f>SUM(G15:G20)</f>
        <v>13983238442.700001</v>
      </c>
      <c r="H13" s="259">
        <f>G13/G27</f>
        <v>0.9142840442741258</v>
      </c>
      <c r="I13" s="260">
        <f>E13-H13</f>
        <v>-1.846115006706206E-2</v>
      </c>
    </row>
    <row r="14" spans="1:11" ht="6.75" customHeight="1">
      <c r="A14" s="254"/>
      <c r="B14" s="183"/>
      <c r="C14" s="262"/>
      <c r="D14" s="183"/>
      <c r="E14" s="263"/>
      <c r="F14" s="263"/>
      <c r="G14" s="183"/>
      <c r="H14" s="263"/>
      <c r="I14" s="264"/>
    </row>
    <row r="15" spans="1:11" ht="90.6" customHeight="1">
      <c r="A15" s="920" t="s">
        <v>328</v>
      </c>
      <c r="B15" s="921">
        <f>+'INGRESOS 2020-2025'!C17</f>
        <v>0</v>
      </c>
      <c r="C15" s="922">
        <f t="shared" ref="C15:C20" si="0">+B15/$B$27</f>
        <v>0</v>
      </c>
      <c r="D15" s="921">
        <f>+'INGRESOS 2020-2025'!D17</f>
        <v>674157328.744663</v>
      </c>
      <c r="E15" s="922">
        <f t="shared" ref="E15:E20" si="1">+D15/$D$27</f>
        <v>4.3480560810504595E-2</v>
      </c>
      <c r="F15" s="922">
        <f>+C15-E15</f>
        <v>-4.3480560810504595E-2</v>
      </c>
      <c r="G15" s="921">
        <f>+'INGRESOS 2020-2025'!E17</f>
        <v>782975048</v>
      </c>
      <c r="H15" s="923">
        <f>+G15/G27</f>
        <v>5.1194263502306644E-2</v>
      </c>
      <c r="I15" s="924">
        <f t="shared" ref="I15:I20" si="2">+E15-H15</f>
        <v>-7.713702691802049E-3</v>
      </c>
      <c r="K15" s="985"/>
    </row>
    <row r="16" spans="1:11" ht="57" customHeight="1">
      <c r="A16" s="920" t="s">
        <v>702</v>
      </c>
      <c r="B16" s="921">
        <f>+'INGRESOS 2020-2025'!C19</f>
        <v>7345000000</v>
      </c>
      <c r="C16" s="922">
        <f t="shared" si="0"/>
        <v>0.41002303515488436</v>
      </c>
      <c r="D16" s="921">
        <f>+'INGRESOS 2020-2025'!D19</f>
        <v>7445000000</v>
      </c>
      <c r="E16" s="922">
        <f t="shared" si="1"/>
        <v>0.48017393185799345</v>
      </c>
      <c r="F16" s="922">
        <f>+C16-E16</f>
        <v>-7.0150896703109089E-2</v>
      </c>
      <c r="G16" s="921">
        <v>7487000000</v>
      </c>
      <c r="H16" s="923">
        <f>+G16/G27</f>
        <v>0.48953214003541251</v>
      </c>
      <c r="I16" s="924">
        <f t="shared" si="2"/>
        <v>-9.3582081774190584E-3</v>
      </c>
      <c r="K16" s="985"/>
    </row>
    <row r="17" spans="1:11" ht="107.25" hidden="1" customHeight="1">
      <c r="A17" s="920" t="s">
        <v>707</v>
      </c>
      <c r="B17" s="921">
        <v>0</v>
      </c>
      <c r="C17" s="922">
        <f t="shared" si="0"/>
        <v>0</v>
      </c>
      <c r="D17" s="921">
        <v>0</v>
      </c>
      <c r="E17" s="922">
        <f t="shared" si="1"/>
        <v>0</v>
      </c>
      <c r="F17" s="922">
        <f>+C17-E17</f>
        <v>0</v>
      </c>
      <c r="G17" s="921">
        <v>0</v>
      </c>
      <c r="H17" s="923"/>
      <c r="I17" s="924">
        <f t="shared" si="2"/>
        <v>0</v>
      </c>
      <c r="K17" s="985"/>
    </row>
    <row r="18" spans="1:11" ht="51" customHeight="1">
      <c r="A18" s="920" t="s">
        <v>295</v>
      </c>
      <c r="B18" s="921">
        <f>+'INGRESOS 2020-2025'!C21</f>
        <v>6001211869.79</v>
      </c>
      <c r="C18" s="922">
        <f t="shared" si="0"/>
        <v>0.3350081831802334</v>
      </c>
      <c r="D18" s="1046">
        <f>+'INGRESOS 2020-2025'!D21</f>
        <v>5770396028.6499996</v>
      </c>
      <c r="E18" s="922">
        <f t="shared" si="1"/>
        <v>0.37216840153856562</v>
      </c>
      <c r="F18" s="922">
        <f>+C18-E18</f>
        <v>-3.716021835833222E-2</v>
      </c>
      <c r="G18" s="921">
        <v>5713263394.6999998</v>
      </c>
      <c r="H18" s="923">
        <f>+G18/G27</f>
        <v>0.37355764073640663</v>
      </c>
      <c r="I18" s="924">
        <f t="shared" si="2"/>
        <v>-1.3892391978410079E-3</v>
      </c>
      <c r="K18" s="1160"/>
    </row>
    <row r="19" spans="1:11" ht="52.2" hidden="1" outlineLevel="1">
      <c r="A19" s="265" t="str">
        <f>+'[1]INGRESOS 2020'!B19</f>
        <v>Transferencias Ctes de Instituciones  Descentralizadas No Empresariales</v>
      </c>
      <c r="B19" s="269">
        <v>0</v>
      </c>
      <c r="C19" s="267">
        <f t="shared" si="0"/>
        <v>0</v>
      </c>
      <c r="D19" s="270">
        <v>0</v>
      </c>
      <c r="E19" s="267">
        <f t="shared" si="1"/>
        <v>0</v>
      </c>
      <c r="F19" s="267">
        <f>+E19-C19</f>
        <v>0</v>
      </c>
      <c r="G19" s="269">
        <v>0</v>
      </c>
      <c r="H19" s="267">
        <f>+G19/G27</f>
        <v>0</v>
      </c>
      <c r="I19" s="268">
        <f t="shared" si="2"/>
        <v>0</v>
      </c>
      <c r="K19" s="985"/>
    </row>
    <row r="20" spans="1:11" ht="45" hidden="1" customHeight="1" collapsed="1">
      <c r="A20" s="265" t="s">
        <v>329</v>
      </c>
      <c r="B20" s="269">
        <v>0</v>
      </c>
      <c r="C20" s="267">
        <f t="shared" si="0"/>
        <v>0</v>
      </c>
      <c r="D20" s="270">
        <v>0</v>
      </c>
      <c r="E20" s="267">
        <f t="shared" si="1"/>
        <v>0</v>
      </c>
      <c r="F20" s="267">
        <f>+C20-E20</f>
        <v>0</v>
      </c>
      <c r="G20" s="269">
        <v>0</v>
      </c>
      <c r="H20" s="267">
        <f>+G20/G27</f>
        <v>0</v>
      </c>
      <c r="I20" s="268">
        <f t="shared" si="2"/>
        <v>0</v>
      </c>
      <c r="K20" s="985"/>
    </row>
    <row r="21" spans="1:11" ht="8.4" customHeight="1">
      <c r="A21" s="271"/>
      <c r="B21" s="272"/>
      <c r="C21" s="273"/>
      <c r="D21" s="274"/>
      <c r="E21" s="275"/>
      <c r="F21" s="275"/>
      <c r="G21" s="272"/>
      <c r="H21" s="273"/>
      <c r="I21" s="276"/>
      <c r="K21" s="985"/>
    </row>
    <row r="22" spans="1:11" s="261" customFormat="1" ht="18" customHeight="1">
      <c r="A22" s="277" t="s">
        <v>283</v>
      </c>
      <c r="B22" s="278">
        <f>SUM(B24:B25)</f>
        <v>4567415829.75</v>
      </c>
      <c r="C22" s="279">
        <f>B22/B27</f>
        <v>0.25496878166488218</v>
      </c>
      <c r="D22" s="280">
        <f>SUM(D24:D25)</f>
        <v>1615245020.96</v>
      </c>
      <c r="E22" s="279">
        <f>D22/D27</f>
        <v>0.10417710579293624</v>
      </c>
      <c r="F22" s="279">
        <f>C22-E22</f>
        <v>0.15079167587194595</v>
      </c>
      <c r="G22" s="280">
        <f>SUM(G24:G25)</f>
        <v>1310956540</v>
      </c>
      <c r="H22" s="279">
        <f>+G22/G27</f>
        <v>8.5715955725874163E-2</v>
      </c>
      <c r="I22" s="281">
        <f>E22-H22</f>
        <v>1.8461150067062074E-2</v>
      </c>
      <c r="K22" s="1159"/>
    </row>
    <row r="23" spans="1:11" ht="8.1" customHeight="1">
      <c r="A23" s="254"/>
      <c r="B23" s="183"/>
      <c r="C23" s="262"/>
      <c r="D23" s="282"/>
      <c r="E23" s="263"/>
      <c r="F23" s="263"/>
      <c r="G23" s="183"/>
      <c r="H23" s="263"/>
      <c r="I23" s="264"/>
      <c r="K23" s="985"/>
    </row>
    <row r="24" spans="1:11" ht="17.399999999999999" hidden="1">
      <c r="A24" s="254" t="s">
        <v>57</v>
      </c>
      <c r="B24" s="183">
        <v>0</v>
      </c>
      <c r="C24" s="267">
        <f>+B24/B27</f>
        <v>0</v>
      </c>
      <c r="D24" s="282">
        <v>0</v>
      </c>
      <c r="E24" s="267">
        <f>+D24/D27</f>
        <v>0</v>
      </c>
      <c r="F24" s="267">
        <f>+E24-C24</f>
        <v>0</v>
      </c>
      <c r="G24" s="183">
        <v>0</v>
      </c>
      <c r="H24" s="263">
        <f>+G24/G27</f>
        <v>0</v>
      </c>
      <c r="I24" s="268">
        <f>+E24-H24</f>
        <v>0</v>
      </c>
      <c r="K24" s="985"/>
    </row>
    <row r="25" spans="1:11" ht="17.399999999999999" outlineLevel="1">
      <c r="A25" s="254" t="s">
        <v>58</v>
      </c>
      <c r="B25" s="283">
        <f>+'INGRESOS 2020-2025'!C34</f>
        <v>4567415829.75</v>
      </c>
      <c r="C25" s="266">
        <f>+B25/B27</f>
        <v>0.25496878166488218</v>
      </c>
      <c r="D25" s="283">
        <f>+'INGRESOS 2020-2025'!D34</f>
        <v>1615245020.96</v>
      </c>
      <c r="E25" s="266">
        <f>+D25/D27</f>
        <v>0.10417710579293624</v>
      </c>
      <c r="F25" s="266">
        <f>+E25-C25</f>
        <v>-0.15079167587194595</v>
      </c>
      <c r="G25" s="283">
        <f>+'INGRESOS 2020-2025'!E34</f>
        <v>1310956540</v>
      </c>
      <c r="H25" s="267">
        <f>+G25/G27</f>
        <v>8.5715955725874163E-2</v>
      </c>
      <c r="I25" s="268">
        <f>+E25-H25</f>
        <v>1.8461150067062074E-2</v>
      </c>
      <c r="K25" s="1160"/>
    </row>
    <row r="26" spans="1:11" ht="8.1" customHeight="1">
      <c r="A26" s="265"/>
      <c r="B26" s="269"/>
      <c r="C26" s="267"/>
      <c r="D26" s="269"/>
      <c r="E26" s="267"/>
      <c r="F26" s="267"/>
      <c r="G26" s="269"/>
      <c r="H26" s="267"/>
      <c r="I26" s="268"/>
    </row>
    <row r="27" spans="1:11" ht="21" customHeight="1">
      <c r="A27" s="284" t="s">
        <v>3</v>
      </c>
      <c r="B27" s="285">
        <f>+B13+B22</f>
        <v>17913627699.540001</v>
      </c>
      <c r="C27" s="286">
        <f t="shared" ref="C27:H27" si="3">+C22+C13</f>
        <v>1</v>
      </c>
      <c r="D27" s="285">
        <f>+D22+D13</f>
        <v>15504798378.354664</v>
      </c>
      <c r="E27" s="286">
        <f t="shared" si="3"/>
        <v>1</v>
      </c>
      <c r="F27" s="286">
        <f>+C27-E27</f>
        <v>0</v>
      </c>
      <c r="G27" s="285">
        <f t="shared" si="3"/>
        <v>15294194982.700001</v>
      </c>
      <c r="H27" s="286">
        <f t="shared" si="3"/>
        <v>1</v>
      </c>
      <c r="I27" s="287">
        <f>+E27-H27</f>
        <v>0</v>
      </c>
    </row>
    <row r="28" spans="1:11" ht="6.75" customHeight="1" thickBot="1">
      <c r="A28" s="97"/>
      <c r="B28" s="288"/>
      <c r="C28" s="289"/>
      <c r="D28" s="288"/>
      <c r="E28" s="230"/>
      <c r="F28" s="290"/>
      <c r="G28" s="288"/>
      <c r="H28" s="230"/>
      <c r="I28" s="291"/>
    </row>
    <row r="29" spans="1:11" ht="17.399999999999999">
      <c r="A29" s="151"/>
      <c r="B29" s="140"/>
      <c r="C29" s="238"/>
      <c r="D29" s="140"/>
      <c r="E29" s="6"/>
      <c r="F29" s="6"/>
      <c r="G29" s="140"/>
      <c r="H29" s="6"/>
      <c r="I29" s="140"/>
    </row>
    <row r="30" spans="1:11" ht="17.399999999999999" hidden="1">
      <c r="A30" s="151" t="s">
        <v>948</v>
      </c>
      <c r="B30" s="140">
        <v>25</v>
      </c>
      <c r="C30" s="238"/>
      <c r="D30" s="140">
        <v>24</v>
      </c>
      <c r="E30" s="6"/>
      <c r="F30" s="6"/>
      <c r="G30" s="140">
        <v>23</v>
      </c>
      <c r="H30" s="6"/>
      <c r="I30" s="140"/>
    </row>
    <row r="31" spans="1:11" ht="17.399999999999999" hidden="1">
      <c r="A31" s="151"/>
      <c r="B31" s="140">
        <f>+'Distribución OyA Detalle'!G1059</f>
        <v>0</v>
      </c>
      <c r="C31" s="238"/>
      <c r="D31" s="140"/>
      <c r="E31" s="6"/>
      <c r="F31" s="6"/>
      <c r="G31" s="140"/>
      <c r="H31" s="6"/>
      <c r="I31" s="140"/>
    </row>
    <row r="32" spans="1:11" ht="17.399999999999999" hidden="1">
      <c r="A32" s="151"/>
      <c r="B32" s="140">
        <f>+B31-B27</f>
        <v>-17913627699.540001</v>
      </c>
      <c r="C32" s="238"/>
      <c r="D32" s="140"/>
      <c r="E32" s="6"/>
      <c r="F32" s="6"/>
      <c r="G32" s="140"/>
      <c r="H32" s="6"/>
      <c r="I32" s="140"/>
    </row>
    <row r="33" spans="7:7" hidden="1"/>
    <row r="34" spans="7:7" hidden="1"/>
    <row r="35" spans="7:7">
      <c r="G35" s="233" t="s">
        <v>325</v>
      </c>
    </row>
  </sheetData>
  <mergeCells count="6">
    <mergeCell ref="A11:B11"/>
    <mergeCell ref="A2:I2"/>
    <mergeCell ref="A4:I4"/>
    <mergeCell ref="A5:I5"/>
    <mergeCell ref="A10:I10"/>
    <mergeCell ref="A3:I3"/>
  </mergeCells>
  <phoneticPr fontId="0" type="noConversion"/>
  <printOptions horizontalCentered="1"/>
  <pageMargins left="0.43307086614173229" right="0.43307086614173229" top="0.59055118110236227" bottom="0.59055118110236227" header="0.39370078740157483" footer="0.59055118110236227"/>
  <pageSetup scale="85" firstPageNumber="5" orientation="landscape" useFirstPageNumber="1" r:id="rId1"/>
  <headerFooter alignWithMargins="0">
    <oddFooter>&amp;C&amp;"Tw Cen MT,Normal"&amp;P</oddFooter>
  </headerFooter>
  <ignoredErrors>
    <ignoredError sqref="C14:I14 C19:I19 C17 H17:I17 C13:D13 G13:I13 C16 C15 E15:F15 E16:F16 C18 E18:F18 H15:I15 H16:I16 H18:I18 C21:I21 C20 H20:I20 C26:I26 C24:F24 H24:I24 C25:D25 H25:I25 E25:F25 E20:F20 E17 C23:I23 C22:H22 C27:E27 G27:H27 E13"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2:L254"/>
  <sheetViews>
    <sheetView showGridLines="0" topLeftCell="C1" zoomScaleNormal="100" workbookViewId="0">
      <selection activeCell="L28" sqref="L28"/>
    </sheetView>
  </sheetViews>
  <sheetFormatPr baseColWidth="10" defaultColWidth="11.44140625" defaultRowHeight="15" outlineLevelRow="2"/>
  <cols>
    <col min="1" max="1" width="0" style="74" hidden="1" customWidth="1"/>
    <col min="2" max="2" width="76.5546875" style="74" customWidth="1"/>
    <col min="3" max="3" width="18.5546875" style="753" bestFit="1" customWidth="1"/>
    <col min="4" max="4" width="8.88671875" style="236" bestFit="1" customWidth="1"/>
    <col min="5" max="5" width="18.5546875" style="753" bestFit="1" customWidth="1"/>
    <col min="6" max="6" width="9.109375" style="710" bestFit="1" customWidth="1"/>
    <col min="7" max="7" width="20.33203125" style="753" customWidth="1"/>
    <col min="8" max="8" width="8.6640625" style="710" bestFit="1" customWidth="1"/>
    <col min="9" max="9" width="18.6640625" style="753" customWidth="1"/>
    <col min="10" max="10" width="9.109375" style="710" bestFit="1" customWidth="1"/>
    <col min="11" max="11" width="16.6640625" style="764" customWidth="1"/>
    <col min="12" max="12" width="8.88671875" style="710" customWidth="1"/>
    <col min="13" max="16384" width="11.44140625" style="74"/>
  </cols>
  <sheetData>
    <row r="2" spans="1:12">
      <c r="B2" s="292"/>
      <c r="F2" s="728"/>
    </row>
    <row r="3" spans="1:12" ht="18.600000000000001">
      <c r="B3" s="1199" t="s">
        <v>0</v>
      </c>
      <c r="C3" s="1199"/>
      <c r="D3" s="1199"/>
      <c r="E3" s="1199"/>
      <c r="F3" s="1199"/>
      <c r="G3" s="1199"/>
      <c r="H3" s="1199"/>
      <c r="I3" s="1199"/>
      <c r="J3" s="1199"/>
      <c r="K3" s="1199"/>
      <c r="L3" s="1199"/>
    </row>
    <row r="4" spans="1:12" ht="18" thickBot="1">
      <c r="B4" s="1200"/>
      <c r="C4" s="1200"/>
      <c r="D4" s="1200"/>
      <c r="E4" s="1200"/>
      <c r="F4" s="1200"/>
      <c r="G4" s="1200"/>
      <c r="H4" s="1200"/>
      <c r="I4" s="1200"/>
      <c r="J4" s="1200"/>
      <c r="K4" s="765"/>
      <c r="L4" s="547"/>
    </row>
    <row r="5" spans="1:12" ht="9" customHeight="1" thickTop="1">
      <c r="B5" s="8"/>
      <c r="C5" s="754"/>
      <c r="D5" s="238"/>
      <c r="E5" s="754"/>
      <c r="F5" s="729"/>
      <c r="G5" s="754"/>
      <c r="H5" s="696"/>
      <c r="I5" s="754"/>
      <c r="J5" s="696"/>
    </row>
    <row r="6" spans="1:12" ht="18.600000000000001">
      <c r="B6" s="1199" t="s">
        <v>30</v>
      </c>
      <c r="C6" s="1199"/>
      <c r="D6" s="1199"/>
      <c r="E6" s="1199"/>
      <c r="F6" s="1199"/>
      <c r="G6" s="1199"/>
      <c r="H6" s="1199"/>
      <c r="I6" s="1199"/>
      <c r="J6" s="1199"/>
      <c r="K6" s="1199"/>
      <c r="L6" s="1199"/>
    </row>
    <row r="7" spans="1:12" ht="18.600000000000001">
      <c r="B7" s="1199" t="s">
        <v>16</v>
      </c>
      <c r="C7" s="1199"/>
      <c r="D7" s="1199"/>
      <c r="E7" s="1199"/>
      <c r="F7" s="1199"/>
      <c r="G7" s="1199"/>
      <c r="H7" s="1199"/>
      <c r="I7" s="1199"/>
      <c r="J7" s="1199"/>
      <c r="K7" s="1199"/>
      <c r="L7" s="1199"/>
    </row>
    <row r="8" spans="1:12" ht="18.600000000000001">
      <c r="B8" s="1199" t="s">
        <v>37</v>
      </c>
      <c r="C8" s="1199"/>
      <c r="D8" s="1199"/>
      <c r="E8" s="1199"/>
      <c r="F8" s="1199"/>
      <c r="G8" s="1199"/>
      <c r="H8" s="1199"/>
      <c r="I8" s="1199"/>
      <c r="J8" s="1199"/>
      <c r="K8" s="1199"/>
      <c r="L8" s="1199"/>
    </row>
    <row r="9" spans="1:12" ht="6" customHeight="1" thickBot="1">
      <c r="B9" s="6"/>
      <c r="C9" s="754"/>
      <c r="D9" s="238"/>
      <c r="E9" s="754"/>
      <c r="F9" s="696"/>
      <c r="G9" s="754"/>
      <c r="H9" s="696"/>
      <c r="I9" s="754"/>
      <c r="J9" s="696"/>
    </row>
    <row r="10" spans="1:12" ht="14.1" customHeight="1">
      <c r="B10" s="293"/>
      <c r="C10" s="1197" t="s">
        <v>961</v>
      </c>
      <c r="D10" s="715"/>
      <c r="E10" s="294" t="s">
        <v>31</v>
      </c>
      <c r="F10" s="295"/>
      <c r="G10" s="294" t="s">
        <v>27</v>
      </c>
      <c r="H10" s="295"/>
      <c r="I10" s="294" t="s">
        <v>28</v>
      </c>
      <c r="J10" s="295"/>
      <c r="K10" s="294" t="str">
        <f>+[1]EGRESOS!J10</f>
        <v>Programa 04</v>
      </c>
      <c r="L10" s="296"/>
    </row>
    <row r="11" spans="1:12" ht="67.5" customHeight="1" thickBot="1">
      <c r="B11" s="297" t="s">
        <v>32</v>
      </c>
      <c r="C11" s="1198"/>
      <c r="D11" s="298" t="s">
        <v>5</v>
      </c>
      <c r="E11" s="697" t="s">
        <v>428</v>
      </c>
      <c r="F11" s="299" t="s">
        <v>5</v>
      </c>
      <c r="G11" s="697" t="str">
        <f>+[1]EGRESOS!F11</f>
        <v>Rectoría Técnica de las Estadísticas Nacionales</v>
      </c>
      <c r="H11" s="299" t="s">
        <v>5</v>
      </c>
      <c r="I11" s="697" t="s">
        <v>435</v>
      </c>
      <c r="J11" s="299" t="s">
        <v>5</v>
      </c>
      <c r="K11" s="697" t="str">
        <f>+[1]EGRESOS!J11</f>
        <v>Difusión y Promoción de la Producción  Estadística</v>
      </c>
      <c r="L11" s="300" t="s">
        <v>5</v>
      </c>
    </row>
    <row r="12" spans="1:12" ht="9.9" customHeight="1">
      <c r="B12" s="301"/>
      <c r="C12" s="755"/>
      <c r="D12" s="716"/>
      <c r="E12" s="755"/>
      <c r="F12" s="716"/>
      <c r="G12" s="755"/>
      <c r="H12" s="716"/>
      <c r="I12" s="755"/>
      <c r="J12" s="716"/>
      <c r="K12" s="766"/>
      <c r="L12" s="740"/>
    </row>
    <row r="13" spans="1:12" ht="17.399999999999999">
      <c r="B13" s="302" t="s">
        <v>967</v>
      </c>
      <c r="C13" s="318">
        <f>+E13+G13+I13+K13</f>
        <v>10471326364.08</v>
      </c>
      <c r="D13" s="717">
        <f>F13+H13+J13+L13</f>
        <v>1</v>
      </c>
      <c r="E13" s="318">
        <f>+E14+E34</f>
        <v>2441676180.0799999</v>
      </c>
      <c r="F13" s="347">
        <f>+E13/C13</f>
        <v>0.23317735453798197</v>
      </c>
      <c r="G13" s="318">
        <f>+G14+G34</f>
        <v>498199000</v>
      </c>
      <c r="H13" s="347">
        <f>G13/C13</f>
        <v>4.757744937728061E-2</v>
      </c>
      <c r="I13" s="318">
        <f>+I14+I34</f>
        <v>7109665184</v>
      </c>
      <c r="J13" s="347">
        <f>I13/C13</f>
        <v>0.67896510306358382</v>
      </c>
      <c r="K13" s="318">
        <f>+K14+K34</f>
        <v>421786000</v>
      </c>
      <c r="L13" s="348">
        <f>+K13/C13</f>
        <v>4.0280093021153554E-2</v>
      </c>
    </row>
    <row r="14" spans="1:12" ht="17.399999999999999" hidden="1" outlineLevel="1">
      <c r="B14" s="303" t="s">
        <v>22</v>
      </c>
      <c r="C14" s="756">
        <f>SUM(C16:C32)</f>
        <v>8406578364.0799999</v>
      </c>
      <c r="D14" s="718">
        <f>F14+H14+J14</f>
        <v>0.9597389109645158</v>
      </c>
      <c r="E14" s="756">
        <f>SUM(E16:E32)</f>
        <v>1963354180.0799999</v>
      </c>
      <c r="F14" s="730">
        <f>+E14/C14</f>
        <v>0.23354973867478671</v>
      </c>
      <c r="G14" s="756">
        <f>SUM(G16:G32)</f>
        <v>399768000</v>
      </c>
      <c r="H14" s="734">
        <f>+G14/C14</f>
        <v>4.755418705286165E-2</v>
      </c>
      <c r="I14" s="756">
        <f>SUM(I16:I32)</f>
        <v>5704998184</v>
      </c>
      <c r="J14" s="736">
        <f>I14/C14</f>
        <v>0.67863498523686749</v>
      </c>
      <c r="K14" s="756">
        <f>SUM(K16:K32)</f>
        <v>338458000</v>
      </c>
      <c r="L14" s="741">
        <f>+K14/C14</f>
        <v>4.0261089035484199E-2</v>
      </c>
    </row>
    <row r="15" spans="1:12" ht="7.95" customHeight="1" collapsed="1">
      <c r="B15" s="304"/>
      <c r="C15" s="757"/>
      <c r="D15" s="237"/>
      <c r="E15" s="757"/>
      <c r="F15" s="731"/>
      <c r="G15" s="757"/>
      <c r="H15" s="731"/>
      <c r="I15" s="757"/>
      <c r="J15" s="737"/>
      <c r="K15" s="757"/>
      <c r="L15" s="742"/>
    </row>
    <row r="16" spans="1:12" ht="17.399999999999999">
      <c r="A16" s="74" t="s">
        <v>67</v>
      </c>
      <c r="B16" s="92" t="s">
        <v>482</v>
      </c>
      <c r="C16" s="311">
        <f>SUM(E16+G16+I16+K16)</f>
        <v>3520746784</v>
      </c>
      <c r="D16" s="262">
        <f>SUM(F16+H16+J16+L16)</f>
        <v>1</v>
      </c>
      <c r="E16" s="311">
        <f>SUMIFS('Distribución OyA Detalle'!$G:$G,'Distribución OyA Detalle'!$A:$A,1,'Distribución OyA Detalle'!$D:$D,A16)</f>
        <v>1181335000</v>
      </c>
      <c r="F16" s="262">
        <f>+E16/C16</f>
        <v>0.33553534874151292</v>
      </c>
      <c r="G16" s="311">
        <f>SUMIFS('Distribución OyA Detalle'!$G:$G,'Distribución OyA Detalle'!$A:$A,2,'Distribución OyA Detalle'!$D:$D,A16)</f>
        <v>237020000</v>
      </c>
      <c r="H16" s="262">
        <f>G16/C16</f>
        <v>6.7320944828277662E-2</v>
      </c>
      <c r="I16" s="311">
        <f>SUMIFS('Distribución OyA Detalle'!$G:$G,'Distribución OyA Detalle'!$A:$A,3,'Distribución OyA Detalle'!$D:$D,A16)</f>
        <v>1908969784</v>
      </c>
      <c r="J16" s="262">
        <f>I16/C16</f>
        <v>0.54220592991103334</v>
      </c>
      <c r="K16" s="311">
        <f>SUMIFS('Distribución OyA Detalle'!$G:$G,'Distribución OyA Detalle'!$A:$A,4,'Distribución OyA Detalle'!$D:$D,A16)</f>
        <v>193422000</v>
      </c>
      <c r="L16" s="712">
        <f>+K16/C16</f>
        <v>5.4937776519176106E-2</v>
      </c>
    </row>
    <row r="17" spans="1:12" ht="17.399999999999999" hidden="1">
      <c r="A17" s="74" t="s">
        <v>483</v>
      </c>
      <c r="B17" s="92" t="s">
        <v>484</v>
      </c>
      <c r="C17" s="311">
        <f t="shared" ref="C17:D46" si="0">SUM(E17+G17+I17+K17)</f>
        <v>0</v>
      </c>
      <c r="D17" s="262" t="e">
        <f t="shared" si="0"/>
        <v>#DIV/0!</v>
      </c>
      <c r="E17" s="311">
        <f>SUMIFS('Distribución OyA Detalle'!$G:$G,'Distribución OyA Detalle'!$A:$A,1,'Distribución OyA Detalle'!$D:$D,A17)</f>
        <v>0</v>
      </c>
      <c r="F17" s="262" t="e">
        <f t="shared" ref="F17:F46" si="1">+E17/C17</f>
        <v>#DIV/0!</v>
      </c>
      <c r="G17" s="311">
        <f>SUMIFS('Distribución OyA Detalle'!$G:$G,'Distribución OyA Detalle'!$A:$A,2,'Distribución OyA Detalle'!$D:$D,A17)</f>
        <v>0</v>
      </c>
      <c r="H17" s="262" t="e">
        <f t="shared" ref="H17:H32" si="2">G17/C17</f>
        <v>#DIV/0!</v>
      </c>
      <c r="I17" s="311">
        <f>SUMIFS('Distribución OyA Detalle'!$G:$G,'Distribución OyA Detalle'!$A:$A,3,'Distribución OyA Detalle'!$D:$D,A17)</f>
        <v>0</v>
      </c>
      <c r="J17" s="262" t="e">
        <f t="shared" ref="J17:J32" si="3">I17/C17</f>
        <v>#DIV/0!</v>
      </c>
      <c r="K17" s="311">
        <f>SUMIFS('Distribución OyA Detalle'!$G:$G,'Distribución OyA Detalle'!$A:$A,4,'Distribución OyA Detalle'!$D:$D,A17)</f>
        <v>0</v>
      </c>
      <c r="L17" s="712" t="e">
        <f t="shared" ref="L17:L46" si="4">+K17/C17</f>
        <v>#DIV/0!</v>
      </c>
    </row>
    <row r="18" spans="1:12" ht="17.399999999999999">
      <c r="A18" s="74" t="s">
        <v>68</v>
      </c>
      <c r="B18" s="92" t="s">
        <v>485</v>
      </c>
      <c r="C18" s="311">
        <f t="shared" si="0"/>
        <v>2243616400</v>
      </c>
      <c r="D18" s="262">
        <f t="shared" si="0"/>
        <v>1</v>
      </c>
      <c r="E18" s="311">
        <f>SUMIFS('Distribución OyA Detalle'!$G:$G,'Distribución OyA Detalle'!$A:$A,1,'Distribución OyA Detalle'!$D:$D,A18)</f>
        <v>0</v>
      </c>
      <c r="F18" s="262">
        <f t="shared" si="1"/>
        <v>0</v>
      </c>
      <c r="G18" s="311">
        <f>SUMIFS('Distribución OyA Detalle'!$G:$G,'Distribución OyA Detalle'!$A:$A,2,'Distribución OyA Detalle'!$D:$D,A18)</f>
        <v>0</v>
      </c>
      <c r="H18" s="262">
        <f t="shared" si="2"/>
        <v>0</v>
      </c>
      <c r="I18" s="311">
        <f>SUMIFS('Distribución OyA Detalle'!$G:$G,'Distribución OyA Detalle'!$A:$A,3,'Distribución OyA Detalle'!$D:$D,A18)</f>
        <v>2243616400</v>
      </c>
      <c r="J18" s="262">
        <f t="shared" si="3"/>
        <v>1</v>
      </c>
      <c r="K18" s="311">
        <f>SUMIFS('Distribución OyA Detalle'!$G:$G,'Distribución OyA Detalle'!$A:$A,4,'Distribución OyA Detalle'!$D:$D,A18)</f>
        <v>0</v>
      </c>
      <c r="L18" s="712">
        <f t="shared" si="4"/>
        <v>0</v>
      </c>
    </row>
    <row r="19" spans="1:12" ht="17.399999999999999" hidden="1">
      <c r="A19" s="74" t="s">
        <v>486</v>
      </c>
      <c r="B19" s="92" t="s">
        <v>487</v>
      </c>
      <c r="C19" s="311">
        <f t="shared" si="0"/>
        <v>0</v>
      </c>
      <c r="D19" s="262" t="e">
        <f t="shared" si="0"/>
        <v>#DIV/0!</v>
      </c>
      <c r="E19" s="311">
        <f>SUMIFS('Distribución OyA Detalle'!$G:$G,'Distribución OyA Detalle'!$A:$A,1,'Distribución OyA Detalle'!$D:$D,A19)</f>
        <v>0</v>
      </c>
      <c r="F19" s="262" t="e">
        <f t="shared" si="1"/>
        <v>#DIV/0!</v>
      </c>
      <c r="G19" s="311">
        <f>SUMIFS('Distribución OyA Detalle'!$G:$G,'Distribución OyA Detalle'!$A:$A,2,'Distribución OyA Detalle'!$D:$D,A19)</f>
        <v>0</v>
      </c>
      <c r="H19" s="262" t="e">
        <f t="shared" si="2"/>
        <v>#DIV/0!</v>
      </c>
      <c r="I19" s="311">
        <f>SUMIFS('Distribución OyA Detalle'!$G:$G,'Distribución OyA Detalle'!$A:$A,3,'Distribución OyA Detalle'!$D:$D,A19)</f>
        <v>0</v>
      </c>
      <c r="J19" s="262" t="e">
        <f t="shared" si="3"/>
        <v>#DIV/0!</v>
      </c>
      <c r="K19" s="311">
        <f>SUMIFS('Distribución OyA Detalle'!$G:$G,'Distribución OyA Detalle'!$A:$A,4,'Distribución OyA Detalle'!$D:$D,A19)</f>
        <v>0</v>
      </c>
      <c r="L19" s="712" t="e">
        <f t="shared" si="4"/>
        <v>#DIV/0!</v>
      </c>
    </row>
    <row r="20" spans="1:12" ht="17.399999999999999">
      <c r="A20" s="74" t="s">
        <v>333</v>
      </c>
      <c r="B20" s="92" t="s">
        <v>488</v>
      </c>
      <c r="C20" s="311">
        <f t="shared" si="0"/>
        <v>5000000</v>
      </c>
      <c r="D20" s="262">
        <f t="shared" si="0"/>
        <v>1</v>
      </c>
      <c r="E20" s="311">
        <f>SUMIFS('Distribución OyA Detalle'!$G:$G,'Distribución OyA Detalle'!$A:$A,1,'Distribución OyA Detalle'!$D:$D,A20)</f>
        <v>5000000</v>
      </c>
      <c r="F20" s="262">
        <f t="shared" si="1"/>
        <v>1</v>
      </c>
      <c r="G20" s="311">
        <f>SUMIFS('Distribución OyA Detalle'!$G:$G,'Distribución OyA Detalle'!$A:$A,2,'Distribución OyA Detalle'!$D:$D,A20)</f>
        <v>0</v>
      </c>
      <c r="H20" s="262">
        <f t="shared" si="2"/>
        <v>0</v>
      </c>
      <c r="I20" s="311">
        <f>SUMIFS('Distribución OyA Detalle'!$G:$G,'Distribución OyA Detalle'!$A:$A,3,'Distribución OyA Detalle'!$D:$D,A20)</f>
        <v>0</v>
      </c>
      <c r="J20" s="262">
        <f t="shared" si="3"/>
        <v>0</v>
      </c>
      <c r="K20" s="311">
        <f>SUMIFS('Distribución OyA Detalle'!$G:$G,'Distribución OyA Detalle'!$A:$A,4,'Distribución OyA Detalle'!$D:$D,A20)</f>
        <v>0</v>
      </c>
      <c r="L20" s="712">
        <f t="shared" si="4"/>
        <v>0</v>
      </c>
    </row>
    <row r="21" spans="1:12" ht="17.399999999999999">
      <c r="A21" s="74" t="s">
        <v>71</v>
      </c>
      <c r="B21" s="305" t="s">
        <v>489</v>
      </c>
      <c r="C21" s="311">
        <f t="shared" si="0"/>
        <v>199483000</v>
      </c>
      <c r="D21" s="262">
        <f t="shared" si="0"/>
        <v>1</v>
      </c>
      <c r="E21" s="311">
        <f>SUMIFS('Distribución OyA Detalle'!$G:$G,'Distribución OyA Detalle'!$A:$A,1,'Distribución OyA Detalle'!$D:$D,A21)</f>
        <v>8862000</v>
      </c>
      <c r="F21" s="262">
        <f t="shared" si="1"/>
        <v>4.4424838206764489E-2</v>
      </c>
      <c r="G21" s="311">
        <f>SUMIFS('Distribución OyA Detalle'!$G:$G,'Distribución OyA Detalle'!$A:$A,2,'Distribución OyA Detalle'!$D:$D,A21)</f>
        <v>718000</v>
      </c>
      <c r="H21" s="262">
        <f t="shared" si="2"/>
        <v>3.599304201360517E-3</v>
      </c>
      <c r="I21" s="311">
        <f>SUMIFS('Distribución OyA Detalle'!$G:$G,'Distribución OyA Detalle'!$A:$A,3,'Distribución OyA Detalle'!$D:$D,A21)</f>
        <v>188175000</v>
      </c>
      <c r="J21" s="262">
        <f t="shared" si="3"/>
        <v>0.94331346530782068</v>
      </c>
      <c r="K21" s="311">
        <f>SUMIFS('Distribución OyA Detalle'!$G:$G,'Distribución OyA Detalle'!$A:$A,4,'Distribución OyA Detalle'!$D:$D,A21)</f>
        <v>1728000</v>
      </c>
      <c r="L21" s="712">
        <f t="shared" si="4"/>
        <v>8.6623922840542798E-3</v>
      </c>
    </row>
    <row r="22" spans="1:12" ht="17.399999999999999">
      <c r="A22" s="74" t="s">
        <v>477</v>
      </c>
      <c r="B22" s="92" t="s">
        <v>478</v>
      </c>
      <c r="C22" s="311">
        <f t="shared" si="0"/>
        <v>2119180.08</v>
      </c>
      <c r="D22" s="262">
        <f t="shared" si="0"/>
        <v>1</v>
      </c>
      <c r="E22" s="311">
        <f>SUMIFS('Distribución OyA Detalle'!$G:$G,'Distribución OyA Detalle'!$A:$A,1,'Distribución OyA Detalle'!$D:$D,A22)</f>
        <v>2119180.08</v>
      </c>
      <c r="F22" s="262">
        <f t="shared" si="1"/>
        <v>1</v>
      </c>
      <c r="G22" s="311">
        <f>SUMIFS('Distribución OyA Detalle'!$G:$G,'Distribución OyA Detalle'!$A:$A,2,'Distribución OyA Detalle'!$D:$D,A22)</f>
        <v>0</v>
      </c>
      <c r="H22" s="262">
        <f t="shared" si="2"/>
        <v>0</v>
      </c>
      <c r="I22" s="311">
        <f>SUMIFS('Distribución OyA Detalle'!$G:$G,'Distribución OyA Detalle'!$A:$A,3,'Distribución OyA Detalle'!$D:$D,A22)</f>
        <v>0</v>
      </c>
      <c r="J22" s="262">
        <f t="shared" si="3"/>
        <v>0</v>
      </c>
      <c r="K22" s="311">
        <f>SUMIFS('Distribución OyA Detalle'!$G:$G,'Distribución OyA Detalle'!$A:$A,4,'Distribución OyA Detalle'!$D:$D,A22)</f>
        <v>0</v>
      </c>
      <c r="L22" s="712">
        <f t="shared" si="4"/>
        <v>0</v>
      </c>
    </row>
    <row r="23" spans="1:12" ht="17.399999999999999" hidden="1">
      <c r="A23" s="74" t="s">
        <v>481</v>
      </c>
      <c r="B23" s="700" t="s">
        <v>490</v>
      </c>
      <c r="C23" s="311">
        <f t="shared" ref="C23:C32" si="5">SUM(E23+G23+I23+K23)</f>
        <v>0</v>
      </c>
      <c r="D23" s="262" t="e">
        <f t="shared" ref="D23:D32" si="6">SUM(F23+H23+J23+L23)</f>
        <v>#DIV/0!</v>
      </c>
      <c r="E23" s="311">
        <f>SUMIFS('Distribución OyA Detalle'!$G:$G,'Distribución OyA Detalle'!$A:$A,1,'Distribución OyA Detalle'!$D:$D,A23)</f>
        <v>0</v>
      </c>
      <c r="F23" s="262" t="e">
        <f t="shared" si="1"/>
        <v>#DIV/0!</v>
      </c>
      <c r="G23" s="311">
        <f>SUMIFS('Distribución OyA Detalle'!$G:$G,'Distribución OyA Detalle'!$A:$A,2,'Distribución OyA Detalle'!$D:$D,A23)</f>
        <v>0</v>
      </c>
      <c r="H23" s="262" t="e">
        <f t="shared" si="2"/>
        <v>#DIV/0!</v>
      </c>
      <c r="I23" s="311">
        <f>SUMIFS('Distribución OyA Detalle'!$G:$G,'Distribución OyA Detalle'!$A:$A,3,'Distribución OyA Detalle'!$D:$D,A23)</f>
        <v>0</v>
      </c>
      <c r="J23" s="262" t="e">
        <f t="shared" si="3"/>
        <v>#DIV/0!</v>
      </c>
      <c r="K23" s="311">
        <f>SUMIFS('Distribución OyA Detalle'!$G:$G,'Distribución OyA Detalle'!$A:$A,4,'Distribución OyA Detalle'!$D:$D,A23)</f>
        <v>0</v>
      </c>
      <c r="L23" s="712" t="e">
        <f t="shared" si="4"/>
        <v>#DIV/0!</v>
      </c>
    </row>
    <row r="24" spans="1:12" ht="17.399999999999999" hidden="1" outlineLevel="1">
      <c r="A24" s="74" t="s">
        <v>491</v>
      </c>
      <c r="B24" s="700" t="s">
        <v>492</v>
      </c>
      <c r="C24" s="311">
        <f t="shared" si="5"/>
        <v>0</v>
      </c>
      <c r="D24" s="262" t="e">
        <f t="shared" si="6"/>
        <v>#DIV/0!</v>
      </c>
      <c r="E24" s="311">
        <f>SUMIFS('Distribución OyA Detalle'!$G:$G,'Distribución OyA Detalle'!$A:$A,1,'Distribución OyA Detalle'!$D:$D,A24)</f>
        <v>0</v>
      </c>
      <c r="F24" s="262" t="e">
        <f t="shared" si="1"/>
        <v>#DIV/0!</v>
      </c>
      <c r="G24" s="311">
        <f>SUMIFS('Distribución OyA Detalle'!$G:$G,'Distribución OyA Detalle'!$A:$A,2,'Distribución OyA Detalle'!$D:$D,A24)</f>
        <v>0</v>
      </c>
      <c r="H24" s="262" t="e">
        <f t="shared" si="2"/>
        <v>#DIV/0!</v>
      </c>
      <c r="I24" s="311">
        <f>SUMIFS('Distribución OyA Detalle'!$G:$G,'Distribución OyA Detalle'!$A:$A,3,'Distribución OyA Detalle'!$D:$D,A24)</f>
        <v>0</v>
      </c>
      <c r="J24" s="262" t="e">
        <f t="shared" si="3"/>
        <v>#DIV/0!</v>
      </c>
      <c r="K24" s="311">
        <f>SUMIFS('Distribución OyA Detalle'!$G:$G,'Distribución OyA Detalle'!$A:$A,4,'Distribución OyA Detalle'!$D:$D,A24)</f>
        <v>0</v>
      </c>
      <c r="L24" s="712" t="e">
        <f t="shared" si="4"/>
        <v>#DIV/0!</v>
      </c>
    </row>
    <row r="25" spans="1:12" ht="17.399999999999999" outlineLevel="1">
      <c r="A25" s="74" t="s">
        <v>72</v>
      </c>
      <c r="B25" s="700" t="s">
        <v>17</v>
      </c>
      <c r="C25" s="311">
        <f t="shared" si="5"/>
        <v>13500000</v>
      </c>
      <c r="D25" s="262">
        <f t="shared" si="6"/>
        <v>1</v>
      </c>
      <c r="E25" s="311">
        <f>SUMIFS('Distribución OyA Detalle'!$G:$G,'Distribución OyA Detalle'!$A:$A,1,'Distribución OyA Detalle'!$D:$D,A25)</f>
        <v>13500000</v>
      </c>
      <c r="F25" s="262">
        <f t="shared" si="1"/>
        <v>1</v>
      </c>
      <c r="G25" s="311">
        <f>SUMIFS('Distribución OyA Detalle'!$G:$G,'Distribución OyA Detalle'!$A:$A,2,'Distribución OyA Detalle'!$D:$D,A25)</f>
        <v>0</v>
      </c>
      <c r="H25" s="262">
        <f t="shared" si="2"/>
        <v>0</v>
      </c>
      <c r="I25" s="311">
        <f>SUMIFS('Distribución OyA Detalle'!$G:$G,'Distribución OyA Detalle'!$A:$A,3,'Distribución OyA Detalle'!$D:$D,A25)</f>
        <v>0</v>
      </c>
      <c r="J25" s="262">
        <f t="shared" si="3"/>
        <v>0</v>
      </c>
      <c r="K25" s="311">
        <f>SUMIFS('Distribución OyA Detalle'!$G:$G,'Distribución OyA Detalle'!$A:$A,4,'Distribución OyA Detalle'!$D:$D,A25)</f>
        <v>0</v>
      </c>
      <c r="L25" s="712">
        <f t="shared" si="4"/>
        <v>0</v>
      </c>
    </row>
    <row r="26" spans="1:12" ht="17.399999999999999" outlineLevel="1">
      <c r="A26" s="74" t="s">
        <v>75</v>
      </c>
      <c r="B26" s="700" t="s">
        <v>368</v>
      </c>
      <c r="C26" s="311">
        <f t="shared" si="5"/>
        <v>531693000</v>
      </c>
      <c r="D26" s="262">
        <f t="shared" si="6"/>
        <v>1</v>
      </c>
      <c r="E26" s="311">
        <f>SUMIFS('Distribución OyA Detalle'!$G:$G,'Distribución OyA Detalle'!$A:$A,1,'Distribución OyA Detalle'!$D:$D,A26)</f>
        <v>187667000</v>
      </c>
      <c r="F26" s="262">
        <f t="shared" si="1"/>
        <v>0.35296120129473213</v>
      </c>
      <c r="G26" s="311">
        <f>SUMIFS('Distribución OyA Detalle'!$G:$G,'Distribución OyA Detalle'!$A:$A,2,'Distribución OyA Detalle'!$D:$D,A26)</f>
        <v>36608000</v>
      </c>
      <c r="H26" s="262">
        <f t="shared" si="2"/>
        <v>6.8851762201119826E-2</v>
      </c>
      <c r="I26" s="311">
        <f>SUMIFS('Distribución OyA Detalle'!$G:$G,'Distribución OyA Detalle'!$A:$A,3,'Distribución OyA Detalle'!$D:$D,A26)</f>
        <v>263217000</v>
      </c>
      <c r="J26" s="262">
        <f t="shared" si="3"/>
        <v>0.49505447692559429</v>
      </c>
      <c r="K26" s="311">
        <f>SUMIFS('Distribución OyA Detalle'!$G:$G,'Distribución OyA Detalle'!$A:$A,4,'Distribución OyA Detalle'!$D:$D,A26)</f>
        <v>44201000</v>
      </c>
      <c r="L26" s="712">
        <f t="shared" si="4"/>
        <v>8.3132559578553783E-2</v>
      </c>
    </row>
    <row r="27" spans="1:12" ht="17.399999999999999" outlineLevel="1">
      <c r="A27" s="74" t="s">
        <v>76</v>
      </c>
      <c r="B27" s="700" t="s">
        <v>369</v>
      </c>
      <c r="C27" s="311">
        <f t="shared" si="5"/>
        <v>515841000</v>
      </c>
      <c r="D27" s="262">
        <f t="shared" si="6"/>
        <v>1</v>
      </c>
      <c r="E27" s="311">
        <f>SUMIFS('Distribución OyA Detalle'!$G:$G,'Distribución OyA Detalle'!$A:$A,1,'Distribución OyA Detalle'!$D:$D,A27)</f>
        <v>223390000</v>
      </c>
      <c r="F27" s="262">
        <f t="shared" si="1"/>
        <v>0.43305979943432182</v>
      </c>
      <c r="G27" s="311">
        <f>SUMIFS('Distribución OyA Detalle'!$G:$G,'Distribución OyA Detalle'!$A:$A,2,'Distribución OyA Detalle'!$D:$D,A27)</f>
        <v>52035000</v>
      </c>
      <c r="H27" s="262">
        <f t="shared" si="2"/>
        <v>0.10087410655608996</v>
      </c>
      <c r="I27" s="311">
        <f>SUMIFS('Distribución OyA Detalle'!$G:$G,'Distribución OyA Detalle'!$A:$A,3,'Distribución OyA Detalle'!$D:$D,A27)</f>
        <v>202137000</v>
      </c>
      <c r="J27" s="262">
        <f t="shared" si="3"/>
        <v>0.39185911937980888</v>
      </c>
      <c r="K27" s="311">
        <f>SUMIFS('Distribución OyA Detalle'!$G:$G,'Distribución OyA Detalle'!$A:$A,4,'Distribución OyA Detalle'!$D:$D,A27)</f>
        <v>38279000</v>
      </c>
      <c r="L27" s="712">
        <f t="shared" si="4"/>
        <v>7.4206974629779335E-2</v>
      </c>
    </row>
    <row r="28" spans="1:12" ht="17.399999999999999" outlineLevel="1">
      <c r="A28" s="74" t="s">
        <v>77</v>
      </c>
      <c r="B28" s="700" t="s">
        <v>14</v>
      </c>
      <c r="C28" s="311">
        <f t="shared" si="5"/>
        <v>644115000</v>
      </c>
      <c r="D28" s="262">
        <f t="shared" si="6"/>
        <v>0.99999999999999989</v>
      </c>
      <c r="E28" s="311">
        <f>SUMIFS('Distribución OyA Detalle'!$G:$G,'Distribución OyA Detalle'!$A:$A,1,'Distribución OyA Detalle'!$D:$D,A28)</f>
        <v>149252000</v>
      </c>
      <c r="F28" s="262">
        <f t="shared" si="1"/>
        <v>0.23171638604907507</v>
      </c>
      <c r="G28" s="311">
        <f>SUMIFS('Distribución OyA Detalle'!$G:$G,'Distribución OyA Detalle'!$A:$A,2,'Distribución OyA Detalle'!$D:$D,A28)</f>
        <v>30697000</v>
      </c>
      <c r="H28" s="262">
        <f t="shared" si="2"/>
        <v>4.7657638775684463E-2</v>
      </c>
      <c r="I28" s="311">
        <f>SUMIFS('Distribución OyA Detalle'!$G:$G,'Distribución OyA Detalle'!$A:$A,3,'Distribución OyA Detalle'!$D:$D,A28)</f>
        <v>438158000</v>
      </c>
      <c r="J28" s="262">
        <f t="shared" si="3"/>
        <v>0.68024809234375849</v>
      </c>
      <c r="K28" s="311">
        <f>SUMIFS('Distribución OyA Detalle'!$G:$G,'Distribución OyA Detalle'!$A:$A,4,'Distribución OyA Detalle'!$D:$D,A28)</f>
        <v>26008000</v>
      </c>
      <c r="L28" s="712">
        <f t="shared" si="4"/>
        <v>4.0377882831481957E-2</v>
      </c>
    </row>
    <row r="29" spans="1:12" ht="17.399999999999999" outlineLevel="1">
      <c r="A29" s="74" t="s">
        <v>78</v>
      </c>
      <c r="B29" s="700" t="s">
        <v>370</v>
      </c>
      <c r="C29" s="311">
        <f t="shared" si="5"/>
        <v>606843000</v>
      </c>
      <c r="D29" s="262">
        <f t="shared" si="6"/>
        <v>1</v>
      </c>
      <c r="E29" s="311">
        <f>SUMIFS('Distribución OyA Detalle'!$G:$G,'Distribución OyA Detalle'!$A:$A,1,'Distribución OyA Detalle'!$D:$D,A29)</f>
        <v>140186000</v>
      </c>
      <c r="F29" s="262">
        <f t="shared" si="1"/>
        <v>0.23100867934539907</v>
      </c>
      <c r="G29" s="311">
        <f>SUMIFS('Distribución OyA Detalle'!$G:$G,'Distribución OyA Detalle'!$A:$A,2,'Distribución OyA Detalle'!$D:$D,A29)</f>
        <v>29034000</v>
      </c>
      <c r="H29" s="262">
        <f t="shared" si="2"/>
        <v>4.7844335355273111E-2</v>
      </c>
      <c r="I29" s="311">
        <f>SUMIFS('Distribución OyA Detalle'!$G:$G,'Distribución OyA Detalle'!$A:$A,3,'Distribución OyA Detalle'!$D:$D,A29)</f>
        <v>413264000</v>
      </c>
      <c r="J29" s="262">
        <f t="shared" si="3"/>
        <v>0.68100645471728272</v>
      </c>
      <c r="K29" s="311">
        <f>SUMIFS('Distribución OyA Detalle'!$G:$G,'Distribución OyA Detalle'!$A:$A,4,'Distribución OyA Detalle'!$D:$D,A29)</f>
        <v>24359000</v>
      </c>
      <c r="L29" s="712">
        <f t="shared" si="4"/>
        <v>4.0140530582045107E-2</v>
      </c>
    </row>
    <row r="30" spans="1:12" ht="17.399999999999999" outlineLevel="1">
      <c r="A30" s="74" t="s">
        <v>79</v>
      </c>
      <c r="B30" s="700" t="s">
        <v>493</v>
      </c>
      <c r="C30" s="311">
        <f t="shared" si="5"/>
        <v>123621000</v>
      </c>
      <c r="D30" s="262">
        <f t="shared" si="6"/>
        <v>1</v>
      </c>
      <c r="E30" s="311">
        <f>SUMIFS('Distribución OyA Detalle'!$G:$G,'Distribución OyA Detalle'!$A:$A,1,'Distribución OyA Detalle'!$D:$D,A30)</f>
        <v>52043000</v>
      </c>
      <c r="F30" s="262">
        <f t="shared" si="1"/>
        <v>0.42098834340443775</v>
      </c>
      <c r="G30" s="311">
        <f>SUMIFS('Distribución OyA Detalle'!$G:$G,'Distribución OyA Detalle'!$A:$A,2,'Distribución OyA Detalle'!$D:$D,A30)</f>
        <v>13656000</v>
      </c>
      <c r="H30" s="262">
        <f t="shared" si="2"/>
        <v>0.11046666828451476</v>
      </c>
      <c r="I30" s="311">
        <f>SUMIFS('Distribución OyA Detalle'!$G:$G,'Distribución OyA Detalle'!$A:$A,3,'Distribución OyA Detalle'!$D:$D,A30)</f>
        <v>47461000</v>
      </c>
      <c r="J30" s="262">
        <f t="shared" si="3"/>
        <v>0.38392344342789658</v>
      </c>
      <c r="K30" s="311">
        <f>SUMIFS('Distribución OyA Detalle'!$G:$G,'Distribución OyA Detalle'!$A:$A,4,'Distribución OyA Detalle'!$D:$D,A30)</f>
        <v>10461000</v>
      </c>
      <c r="L30" s="712">
        <f t="shared" si="4"/>
        <v>8.462154488315092E-2</v>
      </c>
    </row>
    <row r="31" spans="1:12" ht="17.399999999999999" hidden="1" outlineLevel="1">
      <c r="A31" s="74" t="s">
        <v>494</v>
      </c>
      <c r="B31" s="700" t="s">
        <v>495</v>
      </c>
      <c r="C31" s="311">
        <f t="shared" si="5"/>
        <v>0</v>
      </c>
      <c r="D31" s="262" t="e">
        <f t="shared" si="6"/>
        <v>#DIV/0!</v>
      </c>
      <c r="E31" s="311">
        <f>SUMIFS('Distribución OyA Detalle'!$G:$G,'Distribución OyA Detalle'!$A:$A,1,'Distribución OyA Detalle'!$D:$D,A31)</f>
        <v>0</v>
      </c>
      <c r="F31" s="262" t="e">
        <f t="shared" si="1"/>
        <v>#DIV/0!</v>
      </c>
      <c r="G31" s="311">
        <f>SUMIFS('Distribución OyA Detalle'!$G:$G,'Distribución OyA Detalle'!$A:$A,2,'Distribución OyA Detalle'!$D:$D,A31)</f>
        <v>0</v>
      </c>
      <c r="H31" s="262" t="e">
        <f t="shared" si="2"/>
        <v>#DIV/0!</v>
      </c>
      <c r="I31" s="311">
        <f>SUMIFS('Distribución OyA Detalle'!$G:$G,'Distribución OyA Detalle'!$A:$A,3,'Distribución OyA Detalle'!$D:$D,A31)</f>
        <v>0</v>
      </c>
      <c r="J31" s="262" t="e">
        <f t="shared" si="3"/>
        <v>#DIV/0!</v>
      </c>
      <c r="K31" s="311">
        <f>SUMIFS('Distribución OyA Detalle'!$G:$G,'Distribución OyA Detalle'!$A:$A,4,'Distribución OyA Detalle'!$D:$D,A31)</f>
        <v>0</v>
      </c>
      <c r="L31" s="712" t="e">
        <f t="shared" si="4"/>
        <v>#DIV/0!</v>
      </c>
    </row>
    <row r="32" spans="1:12" ht="17.399999999999999" hidden="1" outlineLevel="1">
      <c r="A32" s="74" t="s">
        <v>337</v>
      </c>
      <c r="B32" s="700" t="s">
        <v>338</v>
      </c>
      <c r="C32" s="311">
        <f t="shared" si="5"/>
        <v>0</v>
      </c>
      <c r="D32" s="262" t="e">
        <f t="shared" si="6"/>
        <v>#DIV/0!</v>
      </c>
      <c r="E32" s="311">
        <f>SUMIFS('Distribución OyA Detalle'!$G:$G,'Distribución OyA Detalle'!$A:$A,1,'Distribución OyA Detalle'!$D:$D,A32)</f>
        <v>0</v>
      </c>
      <c r="F32" s="262" t="e">
        <f t="shared" si="1"/>
        <v>#DIV/0!</v>
      </c>
      <c r="G32" s="311">
        <f>SUMIFS('Distribución OyA Detalle'!$G:$G,'Distribución OyA Detalle'!$A:$A,2,'Distribución OyA Detalle'!$D:$D,A32)</f>
        <v>0</v>
      </c>
      <c r="H32" s="262" t="e">
        <f t="shared" si="2"/>
        <v>#DIV/0!</v>
      </c>
      <c r="I32" s="311">
        <f>SUMIFS('Distribución OyA Detalle'!$G:$G,'Distribución OyA Detalle'!$A:$A,3,'Distribución OyA Detalle'!$D:$D,A32)</f>
        <v>0</v>
      </c>
      <c r="J32" s="262" t="e">
        <f t="shared" si="3"/>
        <v>#DIV/0!</v>
      </c>
      <c r="K32" s="311">
        <f>SUMIFS('Distribución OyA Detalle'!$G:$G,'Distribución OyA Detalle'!$A:$A,4,'Distribución OyA Detalle'!$D:$D,A32)</f>
        <v>0</v>
      </c>
      <c r="L32" s="712" t="e">
        <f t="shared" si="4"/>
        <v>#DIV/0!</v>
      </c>
    </row>
    <row r="33" spans="1:12" ht="7.95" hidden="1" customHeight="1" outlineLevel="1">
      <c r="B33" s="700"/>
      <c r="C33" s="758"/>
      <c r="D33" s="719"/>
      <c r="E33" s="758"/>
      <c r="F33" s="719"/>
      <c r="G33" s="758"/>
      <c r="H33" s="719"/>
      <c r="I33" s="758"/>
      <c r="J33" s="719"/>
      <c r="K33" s="311"/>
      <c r="L33" s="743"/>
    </row>
    <row r="34" spans="1:12" ht="15.9" hidden="1" customHeight="1">
      <c r="B34" s="701" t="s">
        <v>52</v>
      </c>
      <c r="C34" s="759">
        <f t="shared" si="0"/>
        <v>2064748000</v>
      </c>
      <c r="D34" s="720">
        <f t="shared" si="0"/>
        <v>0.99999999999999989</v>
      </c>
      <c r="E34" s="759">
        <f>SUM(E35:E44)</f>
        <v>478322000</v>
      </c>
      <c r="F34" s="720">
        <f t="shared" si="1"/>
        <v>0.23166120030144113</v>
      </c>
      <c r="G34" s="759">
        <f>SUM(G35:G44)</f>
        <v>98431000</v>
      </c>
      <c r="H34" s="720">
        <f t="shared" ref="H34:H46" si="7">G34/C34</f>
        <v>4.7672161445367664E-2</v>
      </c>
      <c r="I34" s="759">
        <f>SUM(I35:I44)</f>
        <v>1404667000</v>
      </c>
      <c r="J34" s="720">
        <f t="shared" ref="J34:J46" si="8">I34/C34</f>
        <v>0.6803091709012431</v>
      </c>
      <c r="K34" s="759">
        <f>SUM(K35:K44)</f>
        <v>83328000</v>
      </c>
      <c r="L34" s="744">
        <f t="shared" si="4"/>
        <v>4.0357467351948034E-2</v>
      </c>
    </row>
    <row r="35" spans="1:12" ht="17.399999999999999">
      <c r="A35" s="74" t="s">
        <v>82</v>
      </c>
      <c r="B35" s="92" t="s">
        <v>496</v>
      </c>
      <c r="C35" s="311">
        <f t="shared" si="0"/>
        <v>716121000</v>
      </c>
      <c r="D35" s="262">
        <f t="shared" si="0"/>
        <v>0.99999999999999989</v>
      </c>
      <c r="E35" s="311">
        <f>SUMIFS('Distribución OyA Detalle'!$G:$G,'Distribución OyA Detalle'!$A:$A,1,'Distribución OyA Detalle'!$D:$D,A35)</f>
        <v>165897000</v>
      </c>
      <c r="F35" s="262">
        <f t="shared" si="1"/>
        <v>0.23166057132802975</v>
      </c>
      <c r="G35" s="311">
        <f>SUMIFS('Distribución OyA Detalle'!$G:$G,'Distribución OyA Detalle'!$A:$A,2,'Distribución OyA Detalle'!$D:$D,A35)</f>
        <v>34139000</v>
      </c>
      <c r="H35" s="262">
        <f t="shared" si="7"/>
        <v>4.7672111277284143E-2</v>
      </c>
      <c r="I35" s="311">
        <f>SUMIFS('Distribución OyA Detalle'!$G:$G,'Distribución OyA Detalle'!$A:$A,3,'Distribución OyA Detalle'!$D:$D,A35)</f>
        <v>487183000</v>
      </c>
      <c r="J35" s="262">
        <f t="shared" si="8"/>
        <v>0.68030821606963066</v>
      </c>
      <c r="K35" s="311">
        <f>SUMIFS('Distribución OyA Detalle'!$G:$G,'Distribución OyA Detalle'!$A:$A,4,'Distribución OyA Detalle'!$D:$D,A35)</f>
        <v>28902000</v>
      </c>
      <c r="L35" s="712">
        <f t="shared" si="4"/>
        <v>4.0359101325055401E-2</v>
      </c>
    </row>
    <row r="36" spans="1:12" ht="17.399999999999999">
      <c r="A36" s="74" t="s">
        <v>83</v>
      </c>
      <c r="B36" s="92" t="s">
        <v>497</v>
      </c>
      <c r="C36" s="311">
        <f t="shared" si="0"/>
        <v>38709000</v>
      </c>
      <c r="D36" s="262">
        <f t="shared" si="0"/>
        <v>1</v>
      </c>
      <c r="E36" s="311">
        <f>SUMIFS('Distribución OyA Detalle'!$G:$G,'Distribución OyA Detalle'!$A:$A,1,'Distribución OyA Detalle'!$D:$D,A36)</f>
        <v>8967000</v>
      </c>
      <c r="F36" s="262">
        <f t="shared" si="1"/>
        <v>0.23165155390219327</v>
      </c>
      <c r="G36" s="311">
        <f>SUMIFS('Distribución OyA Detalle'!$G:$G,'Distribución OyA Detalle'!$A:$A,2,'Distribución OyA Detalle'!$D:$D,A36)</f>
        <v>1845000</v>
      </c>
      <c r="H36" s="262">
        <f t="shared" si="7"/>
        <v>4.7663334108346896E-2</v>
      </c>
      <c r="I36" s="311">
        <f>SUMIFS('Distribución OyA Detalle'!$G:$G,'Distribución OyA Detalle'!$A:$A,3,'Distribución OyA Detalle'!$D:$D,A36)</f>
        <v>26335000</v>
      </c>
      <c r="J36" s="262">
        <f t="shared" si="8"/>
        <v>0.68033273915626857</v>
      </c>
      <c r="K36" s="311">
        <f>SUMIFS('Distribución OyA Detalle'!$G:$G,'Distribución OyA Detalle'!$A:$A,4,'Distribución OyA Detalle'!$D:$D,A36)</f>
        <v>1562000</v>
      </c>
      <c r="L36" s="712">
        <f t="shared" si="4"/>
        <v>4.035237283319125E-2</v>
      </c>
    </row>
    <row r="37" spans="1:12" ht="17.399999999999999">
      <c r="A37" s="74" t="s">
        <v>84</v>
      </c>
      <c r="B37" s="92" t="s">
        <v>498</v>
      </c>
      <c r="C37" s="311">
        <f t="shared" si="0"/>
        <v>116126000</v>
      </c>
      <c r="D37" s="262">
        <f t="shared" si="0"/>
        <v>1</v>
      </c>
      <c r="E37" s="311">
        <f>SUMIFS('Distribución OyA Detalle'!$G:$G,'Distribución OyA Detalle'!$A:$A,1,'Distribución OyA Detalle'!$D:$D,A37)</f>
        <v>26902000</v>
      </c>
      <c r="F37" s="262">
        <f t="shared" si="1"/>
        <v>0.23166216006751286</v>
      </c>
      <c r="G37" s="311">
        <f>SUMIFS('Distribución OyA Detalle'!$G:$G,'Distribución OyA Detalle'!$A:$A,2,'Distribución OyA Detalle'!$D:$D,A37)</f>
        <v>5536000</v>
      </c>
      <c r="H37" s="262">
        <f t="shared" si="7"/>
        <v>4.7672355889292667E-2</v>
      </c>
      <c r="I37" s="311">
        <f>SUMIFS('Distribución OyA Detalle'!$G:$G,'Distribución OyA Detalle'!$A:$A,3,'Distribución OyA Detalle'!$D:$D,A37)</f>
        <v>79001000</v>
      </c>
      <c r="J37" s="262">
        <f t="shared" si="8"/>
        <v>0.68030415238620123</v>
      </c>
      <c r="K37" s="311">
        <f>SUMIFS('Distribución OyA Detalle'!$G:$G,'Distribución OyA Detalle'!$A:$A,4,'Distribución OyA Detalle'!$D:$D,A37)</f>
        <v>4687000</v>
      </c>
      <c r="L37" s="712">
        <f t="shared" si="4"/>
        <v>4.0361331656993266E-2</v>
      </c>
    </row>
    <row r="38" spans="1:12" ht="17.399999999999999">
      <c r="A38" s="74" t="s">
        <v>85</v>
      </c>
      <c r="B38" s="92" t="s">
        <v>499</v>
      </c>
      <c r="C38" s="311">
        <f t="shared" si="0"/>
        <v>387095000</v>
      </c>
      <c r="D38" s="262">
        <f t="shared" si="0"/>
        <v>1</v>
      </c>
      <c r="E38" s="311">
        <f>SUMIFS('Distribución OyA Detalle'!$G:$G,'Distribución OyA Detalle'!$A:$A,1,'Distribución OyA Detalle'!$D:$D,A38)</f>
        <v>89674000</v>
      </c>
      <c r="F38" s="262">
        <f t="shared" si="1"/>
        <v>0.23165889510326923</v>
      </c>
      <c r="G38" s="311">
        <f>SUMIFS('Distribución OyA Detalle'!$G:$G,'Distribución OyA Detalle'!$A:$A,2,'Distribución OyA Detalle'!$D:$D,A38)</f>
        <v>18454000</v>
      </c>
      <c r="H38" s="262">
        <f t="shared" si="7"/>
        <v>4.7673051834820908E-2</v>
      </c>
      <c r="I38" s="311">
        <f>SUMIFS('Distribución OyA Detalle'!$G:$G,'Distribución OyA Detalle'!$A:$A,3,'Distribución OyA Detalle'!$D:$D,A38)</f>
        <v>263345000</v>
      </c>
      <c r="J38" s="262">
        <f t="shared" si="8"/>
        <v>0.68031103475890931</v>
      </c>
      <c r="K38" s="311">
        <f>SUMIFS('Distribución OyA Detalle'!$G:$G,'Distribución OyA Detalle'!$A:$A,4,'Distribución OyA Detalle'!$D:$D,A38)</f>
        <v>15622000</v>
      </c>
      <c r="L38" s="712">
        <f t="shared" si="4"/>
        <v>4.0357018303000557E-2</v>
      </c>
    </row>
    <row r="39" spans="1:12" ht="17.399999999999999">
      <c r="A39" s="74" t="s">
        <v>86</v>
      </c>
      <c r="B39" s="92" t="s">
        <v>500</v>
      </c>
      <c r="C39" s="311">
        <f t="shared" si="0"/>
        <v>38709000</v>
      </c>
      <c r="D39" s="262">
        <f t="shared" si="0"/>
        <v>1</v>
      </c>
      <c r="E39" s="311">
        <f>SUMIFS('Distribución OyA Detalle'!$G:$G,'Distribución OyA Detalle'!$A:$A,1,'Distribución OyA Detalle'!$D:$D,A39)</f>
        <v>8967000</v>
      </c>
      <c r="F39" s="262">
        <f t="shared" si="1"/>
        <v>0.23165155390219327</v>
      </c>
      <c r="G39" s="311">
        <f>SUMIFS('Distribución OyA Detalle'!$G:$G,'Distribución OyA Detalle'!$A:$A,2,'Distribución OyA Detalle'!$D:$D,A39)</f>
        <v>1845000</v>
      </c>
      <c r="H39" s="262">
        <f t="shared" si="7"/>
        <v>4.7663334108346896E-2</v>
      </c>
      <c r="I39" s="311">
        <f>SUMIFS('Distribución OyA Detalle'!$G:$G,'Distribución OyA Detalle'!$A:$A,3,'Distribución OyA Detalle'!$D:$D,A39)</f>
        <v>26335000</v>
      </c>
      <c r="J39" s="262">
        <f t="shared" si="8"/>
        <v>0.68033273915626857</v>
      </c>
      <c r="K39" s="311">
        <f>SUMIFS('Distribución OyA Detalle'!$G:$G,'Distribución OyA Detalle'!$A:$A,4,'Distribución OyA Detalle'!$D:$D,A39)</f>
        <v>1562000</v>
      </c>
      <c r="L39" s="712">
        <f t="shared" si="4"/>
        <v>4.035237283319125E-2</v>
      </c>
    </row>
    <row r="40" spans="1:12" ht="17.399999999999999">
      <c r="A40" s="74" t="s">
        <v>425</v>
      </c>
      <c r="B40" s="92" t="s">
        <v>501</v>
      </c>
      <c r="C40" s="311">
        <f t="shared" si="0"/>
        <v>419605000</v>
      </c>
      <c r="D40" s="262">
        <f t="shared" si="0"/>
        <v>1</v>
      </c>
      <c r="E40" s="311">
        <f>SUMIFS('Distribución OyA Detalle'!$G:$G,'Distribución OyA Detalle'!$A:$A,1,'Distribución OyA Detalle'!$D:$D,A40)</f>
        <v>97208000</v>
      </c>
      <c r="F40" s="262">
        <f t="shared" si="1"/>
        <v>0.23166549492975536</v>
      </c>
      <c r="G40" s="311">
        <f>SUMIFS('Distribución OyA Detalle'!$G:$G,'Distribución OyA Detalle'!$A:$A,2,'Distribución OyA Detalle'!$D:$D,A40)</f>
        <v>20004000</v>
      </c>
      <c r="H40" s="262">
        <f t="shared" si="7"/>
        <v>4.7673407132898797E-2</v>
      </c>
      <c r="I40" s="311">
        <f>SUMIFS('Distribución OyA Detalle'!$G:$G,'Distribución OyA Detalle'!$A:$A,3,'Distribución OyA Detalle'!$D:$D,A40)</f>
        <v>285460000</v>
      </c>
      <c r="J40" s="262">
        <f t="shared" si="8"/>
        <v>0.68030647871212213</v>
      </c>
      <c r="K40" s="311">
        <f>SUMIFS('Distribución OyA Detalle'!$G:$G,'Distribución OyA Detalle'!$A:$A,4,'Distribución OyA Detalle'!$D:$D,A40)</f>
        <v>16933000</v>
      </c>
      <c r="L40" s="712">
        <f t="shared" si="4"/>
        <v>4.0354619225223723E-2</v>
      </c>
    </row>
    <row r="41" spans="1:12" ht="17.399999999999999">
      <c r="A41" s="74" t="s">
        <v>89</v>
      </c>
      <c r="B41" s="92" t="s">
        <v>502</v>
      </c>
      <c r="C41" s="311">
        <f t="shared" si="0"/>
        <v>232257000</v>
      </c>
      <c r="D41" s="262">
        <f t="shared" si="0"/>
        <v>1</v>
      </c>
      <c r="E41" s="311">
        <f>SUMIFS('Distribución OyA Detalle'!$G:$G,'Distribución OyA Detalle'!$A:$A,1,'Distribución OyA Detalle'!$D:$D,A41)</f>
        <v>53805000</v>
      </c>
      <c r="F41" s="262">
        <f t="shared" si="1"/>
        <v>0.2316614784484429</v>
      </c>
      <c r="G41" s="311">
        <f>SUMIFS('Distribución OyA Detalle'!$G:$G,'Distribución OyA Detalle'!$A:$A,2,'Distribución OyA Detalle'!$D:$D,A41)</f>
        <v>11072000</v>
      </c>
      <c r="H41" s="262">
        <f t="shared" si="7"/>
        <v>4.7671329604705132E-2</v>
      </c>
      <c r="I41" s="311">
        <f>SUMIFS('Distribución OyA Detalle'!$G:$G,'Distribución OyA Detalle'!$A:$A,3,'Distribución OyA Detalle'!$D:$D,A41)</f>
        <v>158007000</v>
      </c>
      <c r="J41" s="262">
        <f t="shared" si="8"/>
        <v>0.68031103475890931</v>
      </c>
      <c r="K41" s="311">
        <f>SUMIFS('Distribución OyA Detalle'!$G:$G,'Distribución OyA Detalle'!$A:$A,4,'Distribución OyA Detalle'!$D:$D,A41)</f>
        <v>9373000</v>
      </c>
      <c r="L41" s="712">
        <f t="shared" si="4"/>
        <v>4.0356157187942665E-2</v>
      </c>
    </row>
    <row r="42" spans="1:12" ht="17.399999999999999">
      <c r="A42" s="74" t="s">
        <v>90</v>
      </c>
      <c r="B42" s="92" t="s">
        <v>503</v>
      </c>
      <c r="C42" s="311">
        <f t="shared" si="0"/>
        <v>116126000</v>
      </c>
      <c r="D42" s="262">
        <f t="shared" si="0"/>
        <v>1</v>
      </c>
      <c r="E42" s="311">
        <f>SUMIFS('Distribución OyA Detalle'!$G:$G,'Distribución OyA Detalle'!$A:$A,1,'Distribución OyA Detalle'!$D:$D,A42)</f>
        <v>26902000</v>
      </c>
      <c r="F42" s="262">
        <f t="shared" si="1"/>
        <v>0.23166216006751286</v>
      </c>
      <c r="G42" s="311">
        <f>SUMIFS('Distribución OyA Detalle'!$G:$G,'Distribución OyA Detalle'!$A:$A,2,'Distribución OyA Detalle'!$D:$D,A42)</f>
        <v>5536000</v>
      </c>
      <c r="H42" s="262">
        <f t="shared" si="7"/>
        <v>4.7672355889292667E-2</v>
      </c>
      <c r="I42" s="311">
        <f>SUMIFS('Distribución OyA Detalle'!$G:$G,'Distribución OyA Detalle'!$A:$A,3,'Distribución OyA Detalle'!$D:$D,A42)</f>
        <v>79001000</v>
      </c>
      <c r="J42" s="262">
        <f t="shared" si="8"/>
        <v>0.68030415238620123</v>
      </c>
      <c r="K42" s="311">
        <f>SUMIFS('Distribución OyA Detalle'!$G:$G,'Distribución OyA Detalle'!$A:$A,4,'Distribución OyA Detalle'!$D:$D,A42)</f>
        <v>4687000</v>
      </c>
      <c r="L42" s="712">
        <f t="shared" si="4"/>
        <v>4.0361331656993266E-2</v>
      </c>
    </row>
    <row r="43" spans="1:12" ht="17.399999999999999" hidden="1">
      <c r="A43" s="74" t="s">
        <v>504</v>
      </c>
      <c r="B43" s="92" t="s">
        <v>505</v>
      </c>
      <c r="C43" s="311">
        <f t="shared" si="0"/>
        <v>0</v>
      </c>
      <c r="D43" s="262" t="e">
        <f t="shared" si="0"/>
        <v>#DIV/0!</v>
      </c>
      <c r="E43" s="311">
        <f>SUMIFS('Distribución OyA Detalle'!$G:$G,'Distribución OyA Detalle'!$A:$A,1,'Distribución OyA Detalle'!$D:$D,A43)</f>
        <v>0</v>
      </c>
      <c r="F43" s="262" t="e">
        <f t="shared" si="1"/>
        <v>#DIV/0!</v>
      </c>
      <c r="G43" s="311">
        <f>SUMIFS('Distribución OyA Detalle'!$G:$G,'Distribución OyA Detalle'!$A:$A,2,'Distribución OyA Detalle'!$D:$D,A43)</f>
        <v>0</v>
      </c>
      <c r="H43" s="262" t="e">
        <f t="shared" si="7"/>
        <v>#DIV/0!</v>
      </c>
      <c r="I43" s="311">
        <f>SUMIFS('Distribución OyA Detalle'!$G:$G,'Distribución OyA Detalle'!$A:$A,3,'Distribución OyA Detalle'!$D:$D,A43)</f>
        <v>0</v>
      </c>
      <c r="J43" s="262" t="e">
        <f t="shared" si="8"/>
        <v>#DIV/0!</v>
      </c>
      <c r="K43" s="311">
        <f>SUMIFS('Distribución OyA Detalle'!$G:$G,'Distribución OyA Detalle'!$A:$A,4,'Distribución OyA Detalle'!$D:$D,A43)</f>
        <v>0</v>
      </c>
      <c r="L43" s="712" t="e">
        <f t="shared" si="4"/>
        <v>#DIV/0!</v>
      </c>
    </row>
    <row r="44" spans="1:12" ht="17.399999999999999" hidden="1">
      <c r="A44" s="74" t="s">
        <v>506</v>
      </c>
      <c r="B44" s="92" t="s">
        <v>507</v>
      </c>
      <c r="C44" s="311">
        <f t="shared" si="0"/>
        <v>0</v>
      </c>
      <c r="D44" s="262" t="e">
        <f t="shared" si="0"/>
        <v>#DIV/0!</v>
      </c>
      <c r="E44" s="311">
        <f>SUMIFS('Distribución OyA Detalle'!$G:$G,'Distribución OyA Detalle'!$A:$A,1,'Distribución OyA Detalle'!$D:$D,A44)</f>
        <v>0</v>
      </c>
      <c r="F44" s="262" t="e">
        <f t="shared" si="1"/>
        <v>#DIV/0!</v>
      </c>
      <c r="G44" s="311">
        <f>SUMIFS('Distribución OyA Detalle'!$G:$G,'Distribución OyA Detalle'!$A:$A,2,'Distribución OyA Detalle'!$D:$D,A44)</f>
        <v>0</v>
      </c>
      <c r="H44" s="262" t="e">
        <f t="shared" si="7"/>
        <v>#DIV/0!</v>
      </c>
      <c r="I44" s="311">
        <f>SUMIFS('Distribución OyA Detalle'!$G:$G,'Distribución OyA Detalle'!$A:$A,3,'Distribución OyA Detalle'!$D:$D,A44)</f>
        <v>0</v>
      </c>
      <c r="J44" s="262" t="e">
        <f t="shared" si="8"/>
        <v>#DIV/0!</v>
      </c>
      <c r="K44" s="311">
        <f>SUMIFS('Distribución OyA Detalle'!$G:$G,'Distribución OyA Detalle'!$A:$A,4,'Distribución OyA Detalle'!$D:$D,A44)</f>
        <v>0</v>
      </c>
      <c r="L44" s="712" t="e">
        <f t="shared" si="4"/>
        <v>#DIV/0!</v>
      </c>
    </row>
    <row r="45" spans="1:12" ht="15.9" hidden="1" customHeight="1">
      <c r="B45" s="92"/>
      <c r="C45" s="311"/>
      <c r="D45" s="262"/>
      <c r="E45" s="311"/>
      <c r="F45" s="262"/>
      <c r="G45" s="311"/>
      <c r="H45" s="262"/>
      <c r="I45" s="311"/>
      <c r="J45" s="262"/>
      <c r="K45" s="311"/>
      <c r="L45" s="712"/>
    </row>
    <row r="46" spans="1:12" ht="15.9" hidden="1" customHeight="1">
      <c r="B46" s="92" t="s">
        <v>320</v>
      </c>
      <c r="C46" s="311">
        <f t="shared" si="0"/>
        <v>0</v>
      </c>
      <c r="D46" s="262" t="e">
        <f t="shared" si="0"/>
        <v>#DIV/0!</v>
      </c>
      <c r="E46" s="311">
        <v>0</v>
      </c>
      <c r="F46" s="262" t="e">
        <f t="shared" si="1"/>
        <v>#DIV/0!</v>
      </c>
      <c r="G46" s="311">
        <v>0</v>
      </c>
      <c r="H46" s="262" t="e">
        <f t="shared" si="7"/>
        <v>#DIV/0!</v>
      </c>
      <c r="I46" s="311">
        <v>0</v>
      </c>
      <c r="J46" s="262" t="e">
        <f t="shared" si="8"/>
        <v>#DIV/0!</v>
      </c>
      <c r="K46" s="311">
        <v>0</v>
      </c>
      <c r="L46" s="712" t="e">
        <f t="shared" si="4"/>
        <v>#DIV/0!</v>
      </c>
    </row>
    <row r="47" spans="1:12" ht="9.9" customHeight="1">
      <c r="B47" s="254"/>
      <c r="C47" s="311"/>
      <c r="D47" s="721"/>
      <c r="E47" s="311"/>
      <c r="F47" s="262"/>
      <c r="G47" s="311"/>
      <c r="H47" s="353"/>
      <c r="I47" s="311"/>
      <c r="J47" s="262"/>
      <c r="K47" s="311"/>
      <c r="L47" s="712"/>
    </row>
    <row r="48" spans="1:12" ht="15.9" customHeight="1">
      <c r="B48" s="302" t="s">
        <v>966</v>
      </c>
      <c r="C48" s="318">
        <f>+C50+C58+C66+C76+C87+C94+C100+C106+C125+C118</f>
        <v>3003903580.1900001</v>
      </c>
      <c r="D48" s="347">
        <f>F48+H48+J48+L48</f>
        <v>1</v>
      </c>
      <c r="E48" s="318">
        <f>+E50+E58+E66+E76+E87+E94+E100+E106+E125+E118</f>
        <v>976208764.19000006</v>
      </c>
      <c r="F48" s="347">
        <f>+E48/C48</f>
        <v>0.32498005948921099</v>
      </c>
      <c r="G48" s="318">
        <f>+G50+G58+G66+G76+G87+G94+G100+G106+G125+G118</f>
        <v>67926000</v>
      </c>
      <c r="H48" s="347">
        <f>G48/C48</f>
        <v>2.2612576664562452E-2</v>
      </c>
      <c r="I48" s="318">
        <f>+I50+I58+I66+I76+I87+I94+I100+I106+I125+I118</f>
        <v>1731878816</v>
      </c>
      <c r="J48" s="347">
        <f>I48/C48</f>
        <v>0.57654274505390646</v>
      </c>
      <c r="K48" s="318">
        <f>+K50+K58+K66+K76+K87+K94+K100+K106+K125+K118</f>
        <v>227890000</v>
      </c>
      <c r="L48" s="348">
        <f>+K48/C48</f>
        <v>7.5864618792320135E-2</v>
      </c>
    </row>
    <row r="49" spans="1:12" ht="9.9" customHeight="1">
      <c r="B49" s="304"/>
      <c r="C49" s="757"/>
      <c r="D49" s="262"/>
      <c r="E49" s="757"/>
      <c r="F49" s="353"/>
      <c r="G49" s="757"/>
      <c r="H49" s="262"/>
      <c r="I49" s="757"/>
      <c r="J49" s="262"/>
      <c r="K49" s="757"/>
      <c r="L49" s="712"/>
    </row>
    <row r="50" spans="1:12" ht="17.399999999999999">
      <c r="B50" s="306" t="s">
        <v>93</v>
      </c>
      <c r="C50" s="307">
        <f>SUM(C52:C56)</f>
        <v>489139000</v>
      </c>
      <c r="D50" s="349">
        <f>SUM(F50+H50+J50)</f>
        <v>0.92584929846117359</v>
      </c>
      <c r="E50" s="307">
        <f>SUM(E52:E56)</f>
        <v>192607000</v>
      </c>
      <c r="F50" s="349">
        <f>+E50/C50</f>
        <v>0.393767415806141</v>
      </c>
      <c r="G50" s="307">
        <f>SUM(G52:G56)</f>
        <v>7654000</v>
      </c>
      <c r="H50" s="349">
        <f>G50/C50</f>
        <v>1.5647903765596282E-2</v>
      </c>
      <c r="I50" s="307">
        <f>SUM(I52:I56)</f>
        <v>252608000</v>
      </c>
      <c r="J50" s="349">
        <f>I50/C50</f>
        <v>0.51643397888943632</v>
      </c>
      <c r="K50" s="307">
        <f>SUM(K52:K56)</f>
        <v>36270000</v>
      </c>
      <c r="L50" s="350">
        <f>+K50/C50</f>
        <v>7.4150701538826386E-2</v>
      </c>
    </row>
    <row r="51" spans="1:12" ht="9.9" customHeight="1">
      <c r="B51" s="265"/>
      <c r="C51" s="269"/>
      <c r="D51" s="262"/>
      <c r="E51" s="269"/>
      <c r="F51" s="262"/>
      <c r="G51" s="269"/>
      <c r="H51" s="262"/>
      <c r="I51" s="269"/>
      <c r="J51" s="262"/>
      <c r="K51" s="269"/>
      <c r="L51" s="712"/>
    </row>
    <row r="52" spans="1:12" ht="17.399999999999999" collapsed="1">
      <c r="A52" s="74" t="s">
        <v>94</v>
      </c>
      <c r="B52" s="308" t="s">
        <v>508</v>
      </c>
      <c r="C52" s="311">
        <f t="shared" ref="C52:D56" si="9">SUM(E52+G52+I52+K52)</f>
        <v>260584000</v>
      </c>
      <c r="D52" s="262">
        <f t="shared" si="9"/>
        <v>1</v>
      </c>
      <c r="E52" s="311">
        <f>SUMIFS('Distribución OyA Detalle'!$G:$G,'Distribución OyA Detalle'!$A:$A,1,'Distribución OyA Detalle'!$D:$D,A52)</f>
        <v>89052000</v>
      </c>
      <c r="F52" s="262">
        <f>+E52/C52</f>
        <v>0.34174009148681422</v>
      </c>
      <c r="G52" s="311">
        <f>SUMIFS('Distribución OyA Detalle'!$G:$G,'Distribución OyA Detalle'!$A:$A,2,'Distribución OyA Detalle'!$D:$D,A52)</f>
        <v>7654000</v>
      </c>
      <c r="H52" s="262">
        <f>G52/C52</f>
        <v>2.9372486415129094E-2</v>
      </c>
      <c r="I52" s="311">
        <f>SUMIFS('Distribución OyA Detalle'!$G:$G,'Distribución OyA Detalle'!$A:$A,3,'Distribución OyA Detalle'!$D:$D,A52)</f>
        <v>127608000</v>
      </c>
      <c r="J52" s="262">
        <f>I52/C52</f>
        <v>0.48970005833051916</v>
      </c>
      <c r="K52" s="311">
        <f>SUMIFS('Distribución OyA Detalle'!$G:$G,'Distribución OyA Detalle'!$A:$A,4,'Distribución OyA Detalle'!$D:$D,A52)</f>
        <v>36270000</v>
      </c>
      <c r="L52" s="712">
        <f>+K52/C52</f>
        <v>0.13918736376753754</v>
      </c>
    </row>
    <row r="53" spans="1:12" ht="17.399999999999999">
      <c r="A53" s="74" t="s">
        <v>95</v>
      </c>
      <c r="B53" s="308" t="s">
        <v>509</v>
      </c>
      <c r="C53" s="311">
        <f t="shared" si="9"/>
        <v>175000000</v>
      </c>
      <c r="D53" s="262">
        <f t="shared" si="9"/>
        <v>1</v>
      </c>
      <c r="E53" s="311">
        <f>SUMIFS('Distribución OyA Detalle'!$G:$G,'Distribución OyA Detalle'!$A:$A,1,'Distribución OyA Detalle'!$D:$D,A53)</f>
        <v>50000000</v>
      </c>
      <c r="F53" s="262">
        <f>+E53/C53</f>
        <v>0.2857142857142857</v>
      </c>
      <c r="G53" s="311">
        <f>SUMIFS('Distribución OyA Detalle'!$G:$G,'Distribución OyA Detalle'!$A:$A,2,'Distribución OyA Detalle'!$D:$D,A53)</f>
        <v>0</v>
      </c>
      <c r="H53" s="262">
        <f>G53/C53</f>
        <v>0</v>
      </c>
      <c r="I53" s="311">
        <f>SUMIFS('Distribución OyA Detalle'!$G:$G,'Distribución OyA Detalle'!$A:$A,3,'Distribución OyA Detalle'!$D:$D,A53)</f>
        <v>125000000</v>
      </c>
      <c r="J53" s="262">
        <f>I53/C53</f>
        <v>0.7142857142857143</v>
      </c>
      <c r="K53" s="311">
        <f>SUMIFS('Distribución OyA Detalle'!$G:$G,'Distribución OyA Detalle'!$A:$A,4,'Distribución OyA Detalle'!$D:$D,A53)</f>
        <v>0</v>
      </c>
      <c r="L53" s="712">
        <f>+K53/C53</f>
        <v>0</v>
      </c>
    </row>
    <row r="54" spans="1:12" ht="15.9" hidden="1" customHeight="1">
      <c r="A54" s="74" t="s">
        <v>97</v>
      </c>
      <c r="B54" s="308" t="s">
        <v>510</v>
      </c>
      <c r="C54" s="311">
        <f t="shared" si="9"/>
        <v>0</v>
      </c>
      <c r="D54" s="262" t="e">
        <f t="shared" si="9"/>
        <v>#DIV/0!</v>
      </c>
      <c r="E54" s="311">
        <f>SUMIFS('Distribución OyA Detalle'!$G:$G,'Distribución OyA Detalle'!$A:$A,1,'Distribución OyA Detalle'!$D:$D,A54)</f>
        <v>0</v>
      </c>
      <c r="F54" s="262" t="e">
        <f>+E54/C54</f>
        <v>#DIV/0!</v>
      </c>
      <c r="G54" s="311">
        <f>SUMIFS('Distribución OyA Detalle'!$G:$G,'Distribución OyA Detalle'!$A:$A,2,'Distribución OyA Detalle'!$D:$D,A54)</f>
        <v>0</v>
      </c>
      <c r="H54" s="262" t="e">
        <f>G54/C54</f>
        <v>#DIV/0!</v>
      </c>
      <c r="I54" s="311">
        <f>SUMIFS('Distribución OyA Detalle'!$G:$G,'Distribución OyA Detalle'!$A:$A,3,'Distribución OyA Detalle'!$D:$D,A54)</f>
        <v>0</v>
      </c>
      <c r="J54" s="262" t="e">
        <f>I54/C54</f>
        <v>#DIV/0!</v>
      </c>
      <c r="K54" s="311">
        <f>SUMIFS('Distribución OyA Detalle'!$G:$G,'Distribución OyA Detalle'!$A:$A,4,'Distribución OyA Detalle'!$D:$D,A54)</f>
        <v>0</v>
      </c>
      <c r="L54" s="712" t="e">
        <f>+K54/C54</f>
        <v>#DIV/0!</v>
      </c>
    </row>
    <row r="55" spans="1:12" ht="15.9" hidden="1" customHeight="1" outlineLevel="2">
      <c r="A55" s="74" t="s">
        <v>511</v>
      </c>
      <c r="B55" s="308" t="s">
        <v>512</v>
      </c>
      <c r="C55" s="311">
        <f t="shared" si="9"/>
        <v>0</v>
      </c>
      <c r="D55" s="262" t="e">
        <f t="shared" si="9"/>
        <v>#DIV/0!</v>
      </c>
      <c r="E55" s="311">
        <f>SUMIFS('Distribución OyA Detalle'!$G:$G,'Distribución OyA Detalle'!$A:$A,1,'Distribución OyA Detalle'!$D:$D,A55)</f>
        <v>0</v>
      </c>
      <c r="F55" s="262" t="e">
        <f>+E55/C55</f>
        <v>#DIV/0!</v>
      </c>
      <c r="G55" s="311">
        <f>SUMIFS('Distribución OyA Detalle'!$G:$G,'Distribución OyA Detalle'!$A:$A,2,'Distribución OyA Detalle'!$D:$D,A55)</f>
        <v>0</v>
      </c>
      <c r="H55" s="262" t="e">
        <f>G55/C55</f>
        <v>#DIV/0!</v>
      </c>
      <c r="I55" s="311">
        <f>SUMIFS('Distribución OyA Detalle'!$G:$G,'Distribución OyA Detalle'!$A:$A,3,'Distribución OyA Detalle'!$D:$D,A55)</f>
        <v>0</v>
      </c>
      <c r="J55" s="262" t="e">
        <f>I55/C55</f>
        <v>#DIV/0!</v>
      </c>
      <c r="K55" s="311">
        <f>SUMIFS('Distribución OyA Detalle'!$G:$G,'Distribución OyA Detalle'!$A:$A,4,'Distribución OyA Detalle'!$D:$D,A55)</f>
        <v>0</v>
      </c>
      <c r="L55" s="712" t="e">
        <f>+K55/C55</f>
        <v>#DIV/0!</v>
      </c>
    </row>
    <row r="56" spans="1:12" ht="17.399999999999999" outlineLevel="2">
      <c r="A56" s="74" t="s">
        <v>99</v>
      </c>
      <c r="B56" s="308" t="s">
        <v>513</v>
      </c>
      <c r="C56" s="311">
        <f t="shared" si="9"/>
        <v>53555000</v>
      </c>
      <c r="D56" s="262">
        <f t="shared" si="9"/>
        <v>1</v>
      </c>
      <c r="E56" s="311">
        <f>SUMIFS('Distribución OyA Detalle'!$G:$G,'Distribución OyA Detalle'!$A:$A,1,'Distribución OyA Detalle'!$D:$D,A56)</f>
        <v>53555000</v>
      </c>
      <c r="F56" s="262">
        <f>+E56/C56</f>
        <v>1</v>
      </c>
      <c r="G56" s="311">
        <f>SUMIFS('Distribución OyA Detalle'!$G:$G,'Distribución OyA Detalle'!$A:$A,2,'Distribución OyA Detalle'!$D:$D,A56)</f>
        <v>0</v>
      </c>
      <c r="H56" s="262">
        <f>G56/C56</f>
        <v>0</v>
      </c>
      <c r="I56" s="311">
        <f>SUMIFS('Distribución OyA Detalle'!$G:$G,'Distribución OyA Detalle'!$A:$A,3,'Distribución OyA Detalle'!$D:$D,A56)</f>
        <v>0</v>
      </c>
      <c r="J56" s="262">
        <f>I56/C56</f>
        <v>0</v>
      </c>
      <c r="K56" s="311">
        <f>SUMIFS('Distribución OyA Detalle'!$G:$G,'Distribución OyA Detalle'!$A:$A,4,'Distribución OyA Detalle'!$D:$D,A56)</f>
        <v>0</v>
      </c>
      <c r="L56" s="712">
        <f>+K56/C56</f>
        <v>0</v>
      </c>
    </row>
    <row r="57" spans="1:12" ht="9.9" customHeight="1">
      <c r="B57" s="309"/>
      <c r="C57" s="310"/>
      <c r="D57" s="262"/>
      <c r="E57" s="269"/>
      <c r="F57" s="262"/>
      <c r="G57" s="269"/>
      <c r="H57" s="262"/>
      <c r="I57" s="269"/>
      <c r="J57" s="262"/>
      <c r="K57" s="269"/>
      <c r="L57" s="712"/>
    </row>
    <row r="58" spans="1:12" ht="15.9" customHeight="1">
      <c r="B58" s="306" t="s">
        <v>102</v>
      </c>
      <c r="C58" s="307">
        <f>SUM(C60:C64)</f>
        <v>138020380</v>
      </c>
      <c r="D58" s="349">
        <f>SUM(F58+H58+J58)</f>
        <v>0.9252719054968549</v>
      </c>
      <c r="E58" s="307">
        <f>SUM(E60:E64)</f>
        <v>47395380</v>
      </c>
      <c r="F58" s="349">
        <f>+E58/C58</f>
        <v>0.34339406977433334</v>
      </c>
      <c r="G58" s="307">
        <f>SUM(G60:G64)</f>
        <v>1902000</v>
      </c>
      <c r="H58" s="349">
        <f>+G58/C58</f>
        <v>1.3780573564570681E-2</v>
      </c>
      <c r="I58" s="307">
        <f>SUM(I60:I64)</f>
        <v>78409000</v>
      </c>
      <c r="J58" s="738">
        <f>+I58/C58</f>
        <v>0.56809726215795087</v>
      </c>
      <c r="K58" s="307">
        <f>SUM(K60:K64)</f>
        <v>10314000</v>
      </c>
      <c r="L58" s="350">
        <f>+K58/C58</f>
        <v>7.4728094503145118E-2</v>
      </c>
    </row>
    <row r="59" spans="1:12" ht="9.9" customHeight="1">
      <c r="B59" s="308"/>
      <c r="C59" s="269"/>
      <c r="D59" s="262"/>
      <c r="E59" s="269"/>
      <c r="F59" s="262"/>
      <c r="G59" s="269"/>
      <c r="H59" s="262"/>
      <c r="I59" s="269"/>
      <c r="J59" s="262"/>
      <c r="K59" s="269"/>
      <c r="L59" s="712"/>
    </row>
    <row r="60" spans="1:12" ht="17.399999999999999" collapsed="1">
      <c r="A60" s="74" t="s">
        <v>103</v>
      </c>
      <c r="B60" s="308" t="s">
        <v>514</v>
      </c>
      <c r="C60" s="311">
        <f t="shared" ref="C60:D64" si="10">SUM(E60+G60+I60+K60)</f>
        <v>10512000</v>
      </c>
      <c r="D60" s="262">
        <f t="shared" si="10"/>
        <v>0.99999999999999989</v>
      </c>
      <c r="E60" s="311">
        <f>SUMIFS('Distribución OyA Detalle'!$G:$G,'Distribución OyA Detalle'!$A:$A,1,'Distribución OyA Detalle'!$D:$D,A60)</f>
        <v>3114000</v>
      </c>
      <c r="F60" s="262">
        <f>+E60/C60</f>
        <v>0.29623287671232879</v>
      </c>
      <c r="G60" s="311">
        <f>SUMIFS('Distribución OyA Detalle'!$G:$G,'Distribución OyA Detalle'!$A:$A,2,'Distribución OyA Detalle'!$D:$D,A60)</f>
        <v>330000</v>
      </c>
      <c r="H60" s="262">
        <f>G60/C60</f>
        <v>3.1392694063926939E-2</v>
      </c>
      <c r="I60" s="311">
        <f>SUMIFS('Distribución OyA Detalle'!$G:$G,'Distribución OyA Detalle'!$A:$A,3,'Distribución OyA Detalle'!$D:$D,A60)</f>
        <v>5504000</v>
      </c>
      <c r="J60" s="262">
        <f>I60/C60</f>
        <v>0.52359208523592082</v>
      </c>
      <c r="K60" s="311">
        <f>SUMIFS('Distribución OyA Detalle'!$G:$G,'Distribución OyA Detalle'!$A:$A,4,'Distribución OyA Detalle'!$D:$D,A60)</f>
        <v>1564000</v>
      </c>
      <c r="L60" s="712">
        <f>+K60/C60</f>
        <v>0.14878234398782345</v>
      </c>
    </row>
    <row r="61" spans="1:12" ht="17.399999999999999">
      <c r="A61" s="74" t="s">
        <v>105</v>
      </c>
      <c r="B61" s="265" t="s">
        <v>515</v>
      </c>
      <c r="C61" s="311">
        <f t="shared" si="10"/>
        <v>32922000</v>
      </c>
      <c r="D61" s="262">
        <f t="shared" si="10"/>
        <v>1</v>
      </c>
      <c r="E61" s="311">
        <f>SUMIFS('Distribución OyA Detalle'!$G:$G,'Distribución OyA Detalle'!$A:$A,1,'Distribución OyA Detalle'!$D:$D,A61)</f>
        <v>9740000</v>
      </c>
      <c r="F61" s="262">
        <f>+E61/C61</f>
        <v>0.29585079885790655</v>
      </c>
      <c r="G61" s="311">
        <f>SUMIFS('Distribución OyA Detalle'!$G:$G,'Distribución OyA Detalle'!$A:$A,2,'Distribución OyA Detalle'!$D:$D,A61)</f>
        <v>1034000</v>
      </c>
      <c r="H61" s="262">
        <f>G61/C61</f>
        <v>3.1407569406475912E-2</v>
      </c>
      <c r="I61" s="311">
        <f>SUMIFS('Distribución OyA Detalle'!$G:$G,'Distribución OyA Detalle'!$A:$A,3,'Distribución OyA Detalle'!$D:$D,A61)</f>
        <v>17244000</v>
      </c>
      <c r="J61" s="262">
        <f>I61/C61</f>
        <v>0.52378348824494259</v>
      </c>
      <c r="K61" s="311">
        <f>SUMIFS('Distribución OyA Detalle'!$G:$G,'Distribución OyA Detalle'!$A:$A,4,'Distribución OyA Detalle'!$D:$D,A61)</f>
        <v>4904000</v>
      </c>
      <c r="L61" s="712">
        <f>+K61/C61</f>
        <v>0.14895814349067493</v>
      </c>
    </row>
    <row r="62" spans="1:12" ht="17.399999999999999">
      <c r="A62" s="74" t="s">
        <v>107</v>
      </c>
      <c r="B62" s="308" t="s">
        <v>516</v>
      </c>
      <c r="C62" s="311">
        <f t="shared" si="10"/>
        <v>3500000</v>
      </c>
      <c r="D62" s="262">
        <f t="shared" si="10"/>
        <v>1</v>
      </c>
      <c r="E62" s="311">
        <f>SUMIFS('Distribución OyA Detalle'!$G:$G,'Distribución OyA Detalle'!$A:$A,1,'Distribución OyA Detalle'!$D:$D,A62)</f>
        <v>3500000</v>
      </c>
      <c r="F62" s="262">
        <f>+E62/C62</f>
        <v>1</v>
      </c>
      <c r="G62" s="311">
        <f>SUMIFS('Distribución OyA Detalle'!$G:$G,'Distribución OyA Detalle'!$A:$A,2,'Distribución OyA Detalle'!$D:$D,A62)</f>
        <v>0</v>
      </c>
      <c r="H62" s="262">
        <f>G62/C62</f>
        <v>0</v>
      </c>
      <c r="I62" s="311">
        <f>SUMIFS('Distribución OyA Detalle'!$G:$G,'Distribución OyA Detalle'!$A:$A,3,'Distribución OyA Detalle'!$D:$D,A62)</f>
        <v>0</v>
      </c>
      <c r="J62" s="262">
        <f>I62/C62</f>
        <v>0</v>
      </c>
      <c r="K62" s="311">
        <f>SUMIFS('Distribución OyA Detalle'!$G:$G,'Distribución OyA Detalle'!$A:$A,4,'Distribución OyA Detalle'!$D:$D,A62)</f>
        <v>0</v>
      </c>
      <c r="L62" s="712">
        <f>+K62/C62</f>
        <v>0</v>
      </c>
    </row>
    <row r="63" spans="1:12" ht="17.399999999999999">
      <c r="A63" s="74" t="s">
        <v>286</v>
      </c>
      <c r="B63" s="308" t="s">
        <v>517</v>
      </c>
      <c r="C63" s="311">
        <f t="shared" si="10"/>
        <v>90305000</v>
      </c>
      <c r="D63" s="262">
        <f t="shared" si="10"/>
        <v>1</v>
      </c>
      <c r="E63" s="311">
        <f>SUMIFS('Distribución OyA Detalle'!$G:$G,'Distribución OyA Detalle'!$A:$A,1,'Distribución OyA Detalle'!$D:$D,A63)</f>
        <v>30260000</v>
      </c>
      <c r="F63" s="262">
        <f>+E63/C63</f>
        <v>0.33508665079452965</v>
      </c>
      <c r="G63" s="311">
        <f>SUMIFS('Distribución OyA Detalle'!$G:$G,'Distribución OyA Detalle'!$A:$A,2,'Distribución OyA Detalle'!$D:$D,A63)</f>
        <v>538000</v>
      </c>
      <c r="H63" s="262">
        <f>G63/C63</f>
        <v>5.9575881734123251E-3</v>
      </c>
      <c r="I63" s="311">
        <f>SUMIFS('Distribución OyA Detalle'!$G:$G,'Distribución OyA Detalle'!$A:$A,3,'Distribución OyA Detalle'!$D:$D,A63)</f>
        <v>55661000</v>
      </c>
      <c r="J63" s="262">
        <f>I63/C63</f>
        <v>0.61636675710093569</v>
      </c>
      <c r="K63" s="311">
        <f>SUMIFS('Distribución OyA Detalle'!$G:$G,'Distribución OyA Detalle'!$A:$A,4,'Distribución OyA Detalle'!$D:$D,A63)</f>
        <v>3846000</v>
      </c>
      <c r="L63" s="712">
        <f>+K63/C63</f>
        <v>4.2589003931122305E-2</v>
      </c>
    </row>
    <row r="64" spans="1:12" ht="17.399999999999999" outlineLevel="2">
      <c r="A64" s="74" t="s">
        <v>109</v>
      </c>
      <c r="B64" s="309" t="s">
        <v>518</v>
      </c>
      <c r="C64" s="760">
        <f t="shared" si="10"/>
        <v>781380</v>
      </c>
      <c r="D64" s="273">
        <f t="shared" si="10"/>
        <v>1</v>
      </c>
      <c r="E64" s="760">
        <f>SUMIFS('Distribución OyA Detalle'!$G:$G,'Distribución OyA Detalle'!$A:$A,1,'Distribución OyA Detalle'!$D:$D,A64)</f>
        <v>781380</v>
      </c>
      <c r="F64" s="273">
        <f>+E64/C64</f>
        <v>1</v>
      </c>
      <c r="G64" s="760">
        <f>SUMIFS('Distribución OyA Detalle'!$G:$G,'Distribución OyA Detalle'!$A:$A,2,'Distribución OyA Detalle'!$D:$D,A64)</f>
        <v>0</v>
      </c>
      <c r="H64" s="273">
        <f>G64/C64</f>
        <v>0</v>
      </c>
      <c r="I64" s="760">
        <f>SUMIFS('Distribución OyA Detalle'!$G:$G,'Distribución OyA Detalle'!$A:$A,3,'Distribución OyA Detalle'!$D:$D,A64)</f>
        <v>0</v>
      </c>
      <c r="J64" s="273">
        <f>I64/C64</f>
        <v>0</v>
      </c>
      <c r="K64" s="760">
        <f>SUMIFS('Distribución OyA Detalle'!$G:$G,'Distribución OyA Detalle'!$A:$A,4,'Distribución OyA Detalle'!$D:$D,A64)</f>
        <v>0</v>
      </c>
      <c r="L64" s="745">
        <f>+K64/C64</f>
        <v>0</v>
      </c>
    </row>
    <row r="65" spans="1:12" ht="7.95" customHeight="1">
      <c r="B65" s="309"/>
      <c r="C65" s="310"/>
      <c r="D65" s="273"/>
      <c r="E65" s="310"/>
      <c r="F65" s="273"/>
      <c r="G65" s="310"/>
      <c r="H65" s="273"/>
      <c r="I65" s="310"/>
      <c r="J65" s="273"/>
      <c r="K65" s="310"/>
      <c r="L65" s="745"/>
    </row>
    <row r="66" spans="1:12" ht="17.399999999999999">
      <c r="B66" s="687" t="s">
        <v>112</v>
      </c>
      <c r="C66" s="278">
        <f>SUM(C68:C74)</f>
        <v>155317908</v>
      </c>
      <c r="D66" s="722">
        <f>SUM(F66+H66+J66)</f>
        <v>0.7179977469178892</v>
      </c>
      <c r="E66" s="278">
        <f>SUM(E68:E74)</f>
        <v>102117908</v>
      </c>
      <c r="F66" s="722">
        <f>+E66/C66</f>
        <v>0.6574767154345138</v>
      </c>
      <c r="G66" s="278">
        <f>SUM(G68:G74)</f>
        <v>0</v>
      </c>
      <c r="H66" s="722">
        <f>G66/C66</f>
        <v>0</v>
      </c>
      <c r="I66" s="278">
        <f>SUM(I68:I74)</f>
        <v>9400000</v>
      </c>
      <c r="J66" s="722">
        <f>I66/C66</f>
        <v>6.0521031483375377E-2</v>
      </c>
      <c r="K66" s="278">
        <f>SUM(K68:K74)</f>
        <v>43800000</v>
      </c>
      <c r="L66" s="746">
        <f>+K66/C66</f>
        <v>0.2820022530821108</v>
      </c>
    </row>
    <row r="67" spans="1:12" ht="9.9" customHeight="1">
      <c r="B67" s="308"/>
      <c r="C67" s="269"/>
      <c r="D67" s="262"/>
      <c r="E67" s="269"/>
      <c r="F67" s="262"/>
      <c r="G67" s="269"/>
      <c r="H67" s="262"/>
      <c r="I67" s="269"/>
      <c r="J67" s="262"/>
      <c r="K67" s="269"/>
      <c r="L67" s="712"/>
    </row>
    <row r="68" spans="1:12" ht="17.399999999999999" collapsed="1">
      <c r="A68" s="74" t="s">
        <v>113</v>
      </c>
      <c r="B68" s="308" t="s">
        <v>519</v>
      </c>
      <c r="C68" s="311">
        <f t="shared" ref="C68:D74" si="11">SUM(E68+G68+I68+K68)</f>
        <v>1337000</v>
      </c>
      <c r="D68" s="262">
        <f t="shared" si="11"/>
        <v>1</v>
      </c>
      <c r="E68" s="311">
        <f>SUMIFS('Distribución OyA Detalle'!$G:$G,'Distribución OyA Detalle'!$A:$A,1,'Distribución OyA Detalle'!$D:$D,A68)</f>
        <v>1337000</v>
      </c>
      <c r="F68" s="262">
        <f t="shared" ref="F68:F74" si="12">+E68/C68</f>
        <v>1</v>
      </c>
      <c r="G68" s="311">
        <f>SUMIFS('Distribución OyA Detalle'!$G:$G,'Distribución OyA Detalle'!$A:$A,2,'Distribución OyA Detalle'!$D:$D,A68)</f>
        <v>0</v>
      </c>
      <c r="H68" s="262">
        <f t="shared" ref="H68:H74" si="13">G68/C68</f>
        <v>0</v>
      </c>
      <c r="I68" s="311">
        <f>SUMIFS('Distribución OyA Detalle'!$G:$G,'Distribución OyA Detalle'!$A:$A,3,'Distribución OyA Detalle'!$D:$D,A68)</f>
        <v>0</v>
      </c>
      <c r="J68" s="262">
        <f t="shared" ref="J68:J74" si="14">I68/C68</f>
        <v>0</v>
      </c>
      <c r="K68" s="311">
        <f>SUMIFS('Distribución OyA Detalle'!$G:$G,'Distribución OyA Detalle'!$A:$A,4,'Distribución OyA Detalle'!$D:$D,A68)</f>
        <v>0</v>
      </c>
      <c r="L68" s="712">
        <f t="shared" ref="L68:L74" si="15">+K68/C68</f>
        <v>0</v>
      </c>
    </row>
    <row r="69" spans="1:12" ht="17.399999999999999">
      <c r="A69" s="74" t="s">
        <v>114</v>
      </c>
      <c r="B69" s="308" t="s">
        <v>520</v>
      </c>
      <c r="C69" s="311">
        <f t="shared" si="11"/>
        <v>40000000</v>
      </c>
      <c r="D69" s="262">
        <f t="shared" si="11"/>
        <v>1</v>
      </c>
      <c r="E69" s="311">
        <f>SUMIFS('Distribución OyA Detalle'!$G:$G,'Distribución OyA Detalle'!$A:$A,1,'Distribución OyA Detalle'!$D:$D,A69)</f>
        <v>0</v>
      </c>
      <c r="F69" s="262">
        <f t="shared" si="12"/>
        <v>0</v>
      </c>
      <c r="G69" s="311">
        <f>SUMIFS('Distribución OyA Detalle'!$G:$G,'Distribución OyA Detalle'!$A:$A,2,'Distribución OyA Detalle'!$D:$D,A69)</f>
        <v>0</v>
      </c>
      <c r="H69" s="262">
        <f t="shared" si="13"/>
        <v>0</v>
      </c>
      <c r="I69" s="311">
        <f>SUMIFS('Distribución OyA Detalle'!$G:$G,'Distribución OyA Detalle'!$A:$A,3,'Distribución OyA Detalle'!$D:$D,A69)</f>
        <v>0</v>
      </c>
      <c r="J69" s="262">
        <f t="shared" si="14"/>
        <v>0</v>
      </c>
      <c r="K69" s="311">
        <f>SUMIFS('Distribución OyA Detalle'!$G:$G,'Distribución OyA Detalle'!$A:$A,4,'Distribución OyA Detalle'!$D:$D,A69)</f>
        <v>40000000</v>
      </c>
      <c r="L69" s="712">
        <f t="shared" si="15"/>
        <v>1</v>
      </c>
    </row>
    <row r="70" spans="1:12" ht="17.399999999999999">
      <c r="A70" s="74" t="s">
        <v>115</v>
      </c>
      <c r="B70" s="308" t="s">
        <v>521</v>
      </c>
      <c r="C70" s="311">
        <f t="shared" si="11"/>
        <v>12550000</v>
      </c>
      <c r="D70" s="262">
        <f t="shared" si="11"/>
        <v>1</v>
      </c>
      <c r="E70" s="311">
        <f>SUMIFS('Distribución OyA Detalle'!$G:$G,'Distribución OyA Detalle'!$A:$A,1,'Distribución OyA Detalle'!$D:$D,A70)</f>
        <v>50000</v>
      </c>
      <c r="F70" s="262">
        <f t="shared" si="12"/>
        <v>3.9840637450199202E-3</v>
      </c>
      <c r="G70" s="311">
        <f>SUMIFS('Distribución OyA Detalle'!$G:$G,'Distribución OyA Detalle'!$A:$A,2,'Distribución OyA Detalle'!$D:$D,A70)</f>
        <v>0</v>
      </c>
      <c r="H70" s="262">
        <f t="shared" si="13"/>
        <v>0</v>
      </c>
      <c r="I70" s="311">
        <f>SUMIFS('Distribución OyA Detalle'!$G:$G,'Distribución OyA Detalle'!$A:$A,3,'Distribución OyA Detalle'!$D:$D,A70)</f>
        <v>9000000</v>
      </c>
      <c r="J70" s="262">
        <f t="shared" si="14"/>
        <v>0.71713147410358569</v>
      </c>
      <c r="K70" s="311">
        <f>SUMIFS('Distribución OyA Detalle'!$G:$G,'Distribución OyA Detalle'!$A:$A,4,'Distribución OyA Detalle'!$D:$D,A70)</f>
        <v>3500000</v>
      </c>
      <c r="L70" s="712">
        <f t="shared" si="15"/>
        <v>0.2788844621513944</v>
      </c>
    </row>
    <row r="71" spans="1:12" ht="17.399999999999999">
      <c r="A71" s="74" t="s">
        <v>116</v>
      </c>
      <c r="B71" s="308" t="s">
        <v>522</v>
      </c>
      <c r="C71" s="311">
        <f t="shared" si="11"/>
        <v>650000</v>
      </c>
      <c r="D71" s="262">
        <f t="shared" si="11"/>
        <v>1</v>
      </c>
      <c r="E71" s="311">
        <f>SUMIFS('Distribución OyA Detalle'!$G:$G,'Distribución OyA Detalle'!$A:$A,1,'Distribución OyA Detalle'!$D:$D,A71)</f>
        <v>250000</v>
      </c>
      <c r="F71" s="262">
        <f t="shared" si="12"/>
        <v>0.38461538461538464</v>
      </c>
      <c r="G71" s="311">
        <f>SUMIFS('Distribución OyA Detalle'!$G:$G,'Distribución OyA Detalle'!$A:$A,2,'Distribución OyA Detalle'!$D:$D,A71)</f>
        <v>0</v>
      </c>
      <c r="H71" s="262">
        <f t="shared" si="13"/>
        <v>0</v>
      </c>
      <c r="I71" s="311">
        <f>SUMIFS('Distribución OyA Detalle'!$G:$G,'Distribución OyA Detalle'!$A:$A,3,'Distribución OyA Detalle'!$D:$D,A71)</f>
        <v>400000</v>
      </c>
      <c r="J71" s="262">
        <f t="shared" si="14"/>
        <v>0.61538461538461542</v>
      </c>
      <c r="K71" s="311">
        <f>SUMIFS('Distribución OyA Detalle'!$G:$G,'Distribución OyA Detalle'!$A:$A,4,'Distribución OyA Detalle'!$D:$D,A71)</f>
        <v>0</v>
      </c>
      <c r="L71" s="712">
        <f t="shared" si="15"/>
        <v>0</v>
      </c>
    </row>
    <row r="72" spans="1:12" ht="15.9" hidden="1" customHeight="1">
      <c r="A72" s="74" t="s">
        <v>117</v>
      </c>
      <c r="B72" s="308" t="s">
        <v>523</v>
      </c>
      <c r="C72" s="311">
        <f t="shared" si="11"/>
        <v>0</v>
      </c>
      <c r="D72" s="262" t="e">
        <f t="shared" si="11"/>
        <v>#DIV/0!</v>
      </c>
      <c r="E72" s="311">
        <f>SUMIFS('Distribución OyA Detalle'!$G:$G,'Distribución OyA Detalle'!$A:$A,1,'Distribución OyA Detalle'!$D:$D,A72)</f>
        <v>0</v>
      </c>
      <c r="F72" s="262" t="e">
        <f t="shared" si="12"/>
        <v>#DIV/0!</v>
      </c>
      <c r="G72" s="311">
        <f>SUMIFS('Distribución OyA Detalle'!$G:$G,'Distribución OyA Detalle'!$A:$A,2,'Distribución OyA Detalle'!$D:$D,A72)</f>
        <v>0</v>
      </c>
      <c r="H72" s="262" t="e">
        <f t="shared" si="13"/>
        <v>#DIV/0!</v>
      </c>
      <c r="I72" s="311">
        <f>SUMIFS('Distribución OyA Detalle'!$G:$G,'Distribución OyA Detalle'!$A:$A,3,'Distribución OyA Detalle'!$D:$D,A72)</f>
        <v>0</v>
      </c>
      <c r="J72" s="262" t="e">
        <f t="shared" si="14"/>
        <v>#DIV/0!</v>
      </c>
      <c r="K72" s="311">
        <f>SUMIFS('Distribución OyA Detalle'!$G:$G,'Distribución OyA Detalle'!$A:$A,4,'Distribución OyA Detalle'!$D:$D,A72)</f>
        <v>0</v>
      </c>
      <c r="L72" s="712" t="e">
        <f t="shared" si="15"/>
        <v>#DIV/0!</v>
      </c>
    </row>
    <row r="73" spans="1:12" ht="17.399999999999999">
      <c r="A73" s="74" t="s">
        <v>118</v>
      </c>
      <c r="B73" s="308" t="s">
        <v>524</v>
      </c>
      <c r="C73" s="311">
        <f t="shared" si="11"/>
        <v>22300000</v>
      </c>
      <c r="D73" s="262">
        <f t="shared" si="11"/>
        <v>1</v>
      </c>
      <c r="E73" s="311">
        <f>SUMIFS('Distribución OyA Detalle'!$G:$G,'Distribución OyA Detalle'!$A:$A,1,'Distribución OyA Detalle'!$D:$D,A73)</f>
        <v>22300000</v>
      </c>
      <c r="F73" s="262">
        <f t="shared" si="12"/>
        <v>1</v>
      </c>
      <c r="G73" s="311">
        <f>SUMIFS('Distribución OyA Detalle'!$G:$G,'Distribución OyA Detalle'!$A:$A,2,'Distribución OyA Detalle'!$D:$D,A73)</f>
        <v>0</v>
      </c>
      <c r="H73" s="262">
        <f t="shared" si="13"/>
        <v>0</v>
      </c>
      <c r="I73" s="311">
        <f>SUMIFS('Distribución OyA Detalle'!$G:$G,'Distribución OyA Detalle'!$A:$A,3,'Distribución OyA Detalle'!$D:$D,A73)</f>
        <v>0</v>
      </c>
      <c r="J73" s="262">
        <f t="shared" si="14"/>
        <v>0</v>
      </c>
      <c r="K73" s="311">
        <f>SUMIFS('Distribución OyA Detalle'!$G:$G,'Distribución OyA Detalle'!$A:$A,4,'Distribución OyA Detalle'!$D:$D,A73)</f>
        <v>0</v>
      </c>
      <c r="L73" s="712">
        <f t="shared" si="15"/>
        <v>0</v>
      </c>
    </row>
    <row r="74" spans="1:12" ht="17.399999999999999">
      <c r="A74" s="74" t="s">
        <v>339</v>
      </c>
      <c r="B74" s="308" t="s">
        <v>525</v>
      </c>
      <c r="C74" s="311">
        <f t="shared" si="11"/>
        <v>78480908</v>
      </c>
      <c r="D74" s="262">
        <f t="shared" si="11"/>
        <v>1</v>
      </c>
      <c r="E74" s="311">
        <f>SUMIFS('Distribución OyA Detalle'!$G:$G,'Distribución OyA Detalle'!$A:$A,1,'Distribución OyA Detalle'!$D:$D,A74)</f>
        <v>78180908</v>
      </c>
      <c r="F74" s="262">
        <f t="shared" si="12"/>
        <v>0.9961774142572356</v>
      </c>
      <c r="G74" s="311">
        <f>SUMIFS('Distribución OyA Detalle'!$G:$G,'Distribución OyA Detalle'!$A:$A,2,'Distribución OyA Detalle'!$D:$D,A74)</f>
        <v>0</v>
      </c>
      <c r="H74" s="262">
        <f t="shared" si="13"/>
        <v>0</v>
      </c>
      <c r="I74" s="311">
        <f>SUMIFS('Distribución OyA Detalle'!$G:$G,'Distribución OyA Detalle'!$A:$A,3,'Distribución OyA Detalle'!$D:$D,A74)</f>
        <v>0</v>
      </c>
      <c r="J74" s="262">
        <f t="shared" si="14"/>
        <v>0</v>
      </c>
      <c r="K74" s="311">
        <f>SUMIFS('Distribución OyA Detalle'!$G:$G,'Distribución OyA Detalle'!$A:$A,4,'Distribución OyA Detalle'!$D:$D,A74)</f>
        <v>300000</v>
      </c>
      <c r="L74" s="712">
        <f t="shared" si="15"/>
        <v>3.8225857427643421E-3</v>
      </c>
    </row>
    <row r="75" spans="1:12" ht="9.9" customHeight="1">
      <c r="B75" s="308"/>
      <c r="C75" s="269"/>
      <c r="D75" s="262"/>
      <c r="E75" s="269"/>
      <c r="F75" s="262"/>
      <c r="G75" s="269"/>
      <c r="H75" s="262"/>
      <c r="I75" s="269"/>
      <c r="J75" s="262"/>
      <c r="K75" s="269"/>
      <c r="L75" s="712"/>
    </row>
    <row r="76" spans="1:12" ht="15.9" customHeight="1">
      <c r="B76" s="306" t="s">
        <v>120</v>
      </c>
      <c r="C76" s="307">
        <f>SUM(C78:C85)</f>
        <v>872980000</v>
      </c>
      <c r="D76" s="349">
        <f>SUM(F76+H76+J76)</f>
        <v>0.85280762445875047</v>
      </c>
      <c r="E76" s="307">
        <f>SUM(E78:E85)</f>
        <v>421002000</v>
      </c>
      <c r="F76" s="349">
        <f>+E76/C76</f>
        <v>0.48225847098444408</v>
      </c>
      <c r="G76" s="307">
        <f>SUM(G78:G85)</f>
        <v>53332000</v>
      </c>
      <c r="H76" s="349">
        <f>G76/C76</f>
        <v>6.1091892139567915E-2</v>
      </c>
      <c r="I76" s="307">
        <f>SUM(I78:I85)</f>
        <v>270150000</v>
      </c>
      <c r="J76" s="349">
        <f>I76/C76</f>
        <v>0.3094572613347385</v>
      </c>
      <c r="K76" s="307">
        <f>SUM(K78:K85)</f>
        <v>128496000</v>
      </c>
      <c r="L76" s="350">
        <f>+K76/C76</f>
        <v>0.1471923755412495</v>
      </c>
    </row>
    <row r="77" spans="1:12" ht="7.95" customHeight="1">
      <c r="B77" s="308"/>
      <c r="C77" s="269"/>
      <c r="D77" s="262"/>
      <c r="E77" s="311"/>
      <c r="F77" s="262"/>
      <c r="G77" s="311"/>
      <c r="H77" s="262"/>
      <c r="I77" s="311"/>
      <c r="J77" s="262"/>
      <c r="K77" s="311"/>
      <c r="L77" s="712"/>
    </row>
    <row r="78" spans="1:12" ht="15.9" hidden="1" customHeight="1">
      <c r="A78" s="74" t="s">
        <v>479</v>
      </c>
      <c r="B78" s="312" t="s">
        <v>480</v>
      </c>
      <c r="C78" s="311">
        <f>SUM(E78+G78+I78+K78)</f>
        <v>0</v>
      </c>
      <c r="D78" s="262" t="e">
        <f>SUM(F78+H78+J78+L78)</f>
        <v>#DIV/0!</v>
      </c>
      <c r="E78" s="311">
        <f>SUMIFS('Distribución OyA Detalle'!$G:$G,'Distribución OyA Detalle'!$A:$A,1,'Distribución OyA Detalle'!$D:$D,A78)</f>
        <v>0</v>
      </c>
      <c r="F78" s="262" t="e">
        <f>+E78/C78</f>
        <v>#DIV/0!</v>
      </c>
      <c r="G78" s="311">
        <f>SUMIFS('Distribución OyA Detalle'!$G:$G,'Distribución OyA Detalle'!$A:$A,2,'Distribución OyA Detalle'!$D:$D,A78)</f>
        <v>0</v>
      </c>
      <c r="H78" s="262" t="e">
        <f>G78/C78</f>
        <v>#DIV/0!</v>
      </c>
      <c r="I78" s="311">
        <f>SUMIFS('Distribución OyA Detalle'!$G:$G,'Distribución OyA Detalle'!$A:$A,3,'Distribución OyA Detalle'!$D:$D,A78)</f>
        <v>0</v>
      </c>
      <c r="J78" s="262" t="e">
        <f>I78/C78</f>
        <v>#DIV/0!</v>
      </c>
      <c r="K78" s="311">
        <f>SUMIFS('Distribución OyA Detalle'!$G:$G,'Distribución OyA Detalle'!$A:$A,4,'Distribución OyA Detalle'!$D:$D,A78)</f>
        <v>0</v>
      </c>
      <c r="L78" s="712" t="e">
        <f>+K78/C78</f>
        <v>#DIV/0!</v>
      </c>
    </row>
    <row r="79" spans="1:12" ht="17.399999999999999">
      <c r="A79" s="74" t="s">
        <v>341</v>
      </c>
      <c r="B79" s="313" t="s">
        <v>526</v>
      </c>
      <c r="C79" s="311">
        <f t="shared" ref="C79:C85" si="16">SUM(E79+G79+I79+K79)</f>
        <v>5500000</v>
      </c>
      <c r="D79" s="262">
        <f t="shared" ref="D79:D85" si="17">SUM(F79+H79+J79+L79)</f>
        <v>1</v>
      </c>
      <c r="E79" s="311">
        <f>SUMIFS('Distribución OyA Detalle'!$G:$G,'Distribución OyA Detalle'!$A:$A,1,'Distribución OyA Detalle'!$D:$D,A79)</f>
        <v>5500000</v>
      </c>
      <c r="F79" s="262">
        <f t="shared" ref="F79:F85" si="18">+E79/C79</f>
        <v>1</v>
      </c>
      <c r="G79" s="311">
        <f>SUMIFS('Distribución OyA Detalle'!$G:$G,'Distribución OyA Detalle'!$A:$A,2,'Distribución OyA Detalle'!$D:$D,A79)</f>
        <v>0</v>
      </c>
      <c r="H79" s="262">
        <f t="shared" ref="H79:H85" si="19">G79/C79</f>
        <v>0</v>
      </c>
      <c r="I79" s="311">
        <f>SUMIFS('Distribución OyA Detalle'!$G:$G,'Distribución OyA Detalle'!$A:$A,3,'Distribución OyA Detalle'!$D:$D,A79)</f>
        <v>0</v>
      </c>
      <c r="J79" s="262">
        <f t="shared" ref="J79:J85" si="20">I79/C79</f>
        <v>0</v>
      </c>
      <c r="K79" s="311">
        <f>SUMIFS('Distribución OyA Detalle'!$G:$G,'Distribución OyA Detalle'!$A:$A,4,'Distribución OyA Detalle'!$D:$D,A79)</f>
        <v>0</v>
      </c>
      <c r="L79" s="712">
        <f t="shared" ref="L79:L84" si="21">+K79/C79</f>
        <v>0</v>
      </c>
    </row>
    <row r="80" spans="1:12" ht="15.9" hidden="1" customHeight="1" collapsed="1">
      <c r="A80" s="74" t="s">
        <v>293</v>
      </c>
      <c r="B80" s="313" t="s">
        <v>343</v>
      </c>
      <c r="C80" s="311">
        <f t="shared" si="16"/>
        <v>0</v>
      </c>
      <c r="D80" s="262" t="e">
        <f t="shared" si="17"/>
        <v>#DIV/0!</v>
      </c>
      <c r="E80" s="311">
        <f>SUMIFS('Distribución OyA Detalle'!$G:$G,'Distribución OyA Detalle'!$A:$A,1,'Distribución OyA Detalle'!$D:$D,A80)</f>
        <v>0</v>
      </c>
      <c r="F80" s="262" t="e">
        <f t="shared" si="18"/>
        <v>#DIV/0!</v>
      </c>
      <c r="G80" s="311">
        <f>SUMIFS('Distribución OyA Detalle'!$G:$G,'Distribución OyA Detalle'!$A:$A,2,'Distribución OyA Detalle'!$D:$D,A80)</f>
        <v>0</v>
      </c>
      <c r="H80" s="262" t="e">
        <f t="shared" si="19"/>
        <v>#DIV/0!</v>
      </c>
      <c r="I80" s="311">
        <f>SUMIFS('Distribución OyA Detalle'!$G:$G,'Distribución OyA Detalle'!$A:$A,3,'Distribución OyA Detalle'!$D:$D,A80)</f>
        <v>0</v>
      </c>
      <c r="J80" s="262" t="e">
        <f t="shared" si="20"/>
        <v>#DIV/0!</v>
      </c>
      <c r="K80" s="311">
        <f>SUMIFS('Distribución OyA Detalle'!$G:$G,'Distribución OyA Detalle'!$A:$A,4,'Distribución OyA Detalle'!$D:$D,A80)</f>
        <v>0</v>
      </c>
      <c r="L80" s="712" t="e">
        <f t="shared" si="21"/>
        <v>#DIV/0!</v>
      </c>
    </row>
    <row r="81" spans="1:12" ht="17.399999999999999">
      <c r="A81" s="74" t="s">
        <v>121</v>
      </c>
      <c r="B81" s="313" t="s">
        <v>527</v>
      </c>
      <c r="C81" s="311">
        <f t="shared" si="16"/>
        <v>45500000</v>
      </c>
      <c r="D81" s="262">
        <f t="shared" si="17"/>
        <v>1</v>
      </c>
      <c r="E81" s="311">
        <f>SUMIFS('Distribución OyA Detalle'!$G:$G,'Distribución OyA Detalle'!$A:$A,1,'Distribución OyA Detalle'!$D:$D,A81)</f>
        <v>45500000</v>
      </c>
      <c r="F81" s="262">
        <f t="shared" si="18"/>
        <v>1</v>
      </c>
      <c r="G81" s="311">
        <f>SUMIFS('Distribución OyA Detalle'!$G:$G,'Distribución OyA Detalle'!$A:$A,2,'Distribución OyA Detalle'!$D:$D,A81)</f>
        <v>0</v>
      </c>
      <c r="H81" s="262">
        <f t="shared" si="19"/>
        <v>0</v>
      </c>
      <c r="I81" s="311">
        <f>SUMIFS('Distribución OyA Detalle'!$G:$G,'Distribución OyA Detalle'!$A:$A,3,'Distribución OyA Detalle'!$D:$D,A81)</f>
        <v>0</v>
      </c>
      <c r="J81" s="262">
        <f t="shared" si="20"/>
        <v>0</v>
      </c>
      <c r="K81" s="311">
        <f>SUMIFS('Distribución OyA Detalle'!$G:$G,'Distribución OyA Detalle'!$A:$A,4,'Distribución OyA Detalle'!$D:$D,A81)</f>
        <v>0</v>
      </c>
      <c r="L81" s="712">
        <f t="shared" si="21"/>
        <v>0</v>
      </c>
    </row>
    <row r="82" spans="1:12" ht="17.399999999999999">
      <c r="A82" s="74" t="s">
        <v>123</v>
      </c>
      <c r="B82" s="312" t="s">
        <v>962</v>
      </c>
      <c r="C82" s="311">
        <f t="shared" si="16"/>
        <v>78000000</v>
      </c>
      <c r="D82" s="262">
        <f t="shared" si="17"/>
        <v>1</v>
      </c>
      <c r="E82" s="311">
        <f>SUMIFS('Distribución OyA Detalle'!$G:$G,'Distribución OyA Detalle'!$A:$A,1,'Distribución OyA Detalle'!$D:$D,A82)</f>
        <v>7000000</v>
      </c>
      <c r="F82" s="262">
        <f t="shared" si="18"/>
        <v>8.9743589743589744E-2</v>
      </c>
      <c r="G82" s="311">
        <f>SUMIFS('Distribución OyA Detalle'!$G:$G,'Distribución OyA Detalle'!$A:$A,2,'Distribución OyA Detalle'!$D:$D,A82)</f>
        <v>0</v>
      </c>
      <c r="H82" s="262">
        <f t="shared" si="19"/>
        <v>0</v>
      </c>
      <c r="I82" s="311">
        <f>SUMIFS('Distribución OyA Detalle'!$G:$G,'Distribución OyA Detalle'!$A:$A,3,'Distribución OyA Detalle'!$D:$D,A82)</f>
        <v>71000000</v>
      </c>
      <c r="J82" s="262">
        <f t="shared" si="20"/>
        <v>0.91025641025641024</v>
      </c>
      <c r="K82" s="311">
        <f>SUMIFS('Distribución OyA Detalle'!$G:$G,'Distribución OyA Detalle'!$A:$A,4,'Distribución OyA Detalle'!$D:$D,A82)</f>
        <v>0</v>
      </c>
      <c r="L82" s="712">
        <f t="shared" si="21"/>
        <v>0</v>
      </c>
    </row>
    <row r="83" spans="1:12" ht="17.399999999999999">
      <c r="A83" s="74" t="s">
        <v>125</v>
      </c>
      <c r="B83" s="312" t="s">
        <v>529</v>
      </c>
      <c r="C83" s="311">
        <f t="shared" si="16"/>
        <v>97930000</v>
      </c>
      <c r="D83" s="262">
        <f t="shared" si="17"/>
        <v>0.99999999999999989</v>
      </c>
      <c r="E83" s="311">
        <f>SUMIFS('Distribución OyA Detalle'!$G:$G,'Distribución OyA Detalle'!$A:$A,1,'Distribución OyA Detalle'!$D:$D,A83)</f>
        <v>35252000</v>
      </c>
      <c r="F83" s="262">
        <f t="shared" si="18"/>
        <v>0.35997140814867762</v>
      </c>
      <c r="G83" s="311">
        <f>SUMIFS('Distribución OyA Detalle'!$G:$G,'Distribución OyA Detalle'!$A:$A,2,'Distribución OyA Detalle'!$D:$D,A83)</f>
        <v>2532000</v>
      </c>
      <c r="H83" s="262">
        <f t="shared" si="19"/>
        <v>2.5855202695803124E-2</v>
      </c>
      <c r="I83" s="311">
        <f>SUMIFS('Distribución OyA Detalle'!$G:$G,'Distribución OyA Detalle'!$A:$A,3,'Distribución OyA Detalle'!$D:$D,A83)</f>
        <v>48150000</v>
      </c>
      <c r="J83" s="262">
        <f t="shared" si="20"/>
        <v>0.49167772899009499</v>
      </c>
      <c r="K83" s="311">
        <f>SUMIFS('Distribución OyA Detalle'!$G:$G,'Distribución OyA Detalle'!$A:$A,4,'Distribución OyA Detalle'!$D:$D,A83)</f>
        <v>11996000</v>
      </c>
      <c r="L83" s="712">
        <f t="shared" si="21"/>
        <v>0.12249566016542428</v>
      </c>
    </row>
    <row r="84" spans="1:12" ht="17.399999999999999" outlineLevel="2">
      <c r="A84" s="74" t="s">
        <v>127</v>
      </c>
      <c r="B84" s="312" t="s">
        <v>530</v>
      </c>
      <c r="C84" s="311">
        <f t="shared" si="16"/>
        <v>646050000</v>
      </c>
      <c r="D84" s="262">
        <f t="shared" si="17"/>
        <v>1</v>
      </c>
      <c r="E84" s="311">
        <f>SUMIFS('Distribución OyA Detalle'!$G:$G,'Distribución OyA Detalle'!$A:$A,1,'Distribución OyA Detalle'!$D:$D,A84)</f>
        <v>327750000</v>
      </c>
      <c r="F84" s="262">
        <f t="shared" si="18"/>
        <v>0.5073136754121198</v>
      </c>
      <c r="G84" s="311">
        <f>SUMIFS('Distribución OyA Detalle'!$G:$G,'Distribución OyA Detalle'!$A:$A,2,'Distribución OyA Detalle'!$D:$D,A84)</f>
        <v>50800000</v>
      </c>
      <c r="H84" s="262">
        <f t="shared" si="19"/>
        <v>7.8631684854113454E-2</v>
      </c>
      <c r="I84" s="311">
        <f>SUMIFS('Distribución OyA Detalle'!$G:$G,'Distribución OyA Detalle'!$A:$A,3,'Distribución OyA Detalle'!$D:$D,A84)</f>
        <v>151000000</v>
      </c>
      <c r="J84" s="262">
        <f t="shared" si="20"/>
        <v>0.233728039625416</v>
      </c>
      <c r="K84" s="311">
        <f>SUMIFS('Distribución OyA Detalle'!$G:$G,'Distribución OyA Detalle'!$A:$A,4,'Distribución OyA Detalle'!$D:$D,A84)</f>
        <v>116500000</v>
      </c>
      <c r="L84" s="712">
        <f t="shared" si="21"/>
        <v>0.18032660010835075</v>
      </c>
    </row>
    <row r="85" spans="1:12" ht="15.9" hidden="1" customHeight="1" outlineLevel="2">
      <c r="B85" s="312"/>
      <c r="C85" s="311">
        <f t="shared" si="16"/>
        <v>0</v>
      </c>
      <c r="D85" s="262" t="e">
        <f t="shared" si="17"/>
        <v>#DIV/0!</v>
      </c>
      <c r="E85" s="311">
        <f>SUMIFS('Distribución OyA Detalle'!$G:$G,'Distribución OyA Detalle'!$A:$A,1,'Distribución OyA Detalle'!$D:$D,A85)</f>
        <v>0</v>
      </c>
      <c r="F85" s="262" t="e">
        <f t="shared" si="18"/>
        <v>#DIV/0!</v>
      </c>
      <c r="G85" s="311">
        <f>SUMIFS('Distribución OyA Detalle'!$G:$G,'Distribución OyA Detalle'!$A:$A,2,'Distribución OyA Detalle'!$D:$D,A85)</f>
        <v>0</v>
      </c>
      <c r="H85" s="262" t="e">
        <f t="shared" si="19"/>
        <v>#DIV/0!</v>
      </c>
      <c r="I85" s="311">
        <f>SUMIFS('Distribución OyA Detalle'!$G:$G,'Distribución OyA Detalle'!$A:$A,3,'Distribución OyA Detalle'!$D:$D,A85)</f>
        <v>0</v>
      </c>
      <c r="J85" s="262" t="e">
        <f t="shared" si="20"/>
        <v>#DIV/0!</v>
      </c>
      <c r="K85" s="311">
        <f>SUMIFS('Distribución OyA Detalle'!$G:$G,'Distribución OyA Detalle'!$A:$A,4,'Distribución OyA Detalle'!$D:$D,A85)</f>
        <v>0</v>
      </c>
      <c r="L85" s="712" t="e">
        <f>+K85/C85</f>
        <v>#DIV/0!</v>
      </c>
    </row>
    <row r="86" spans="1:12" ht="9.9" customHeight="1">
      <c r="B86" s="308"/>
      <c r="C86" s="269"/>
      <c r="D86" s="262"/>
      <c r="E86" s="269"/>
      <c r="F86" s="262"/>
      <c r="G86" s="269"/>
      <c r="H86" s="262"/>
      <c r="I86" s="269"/>
      <c r="J86" s="262"/>
      <c r="K86" s="269"/>
      <c r="L86" s="712"/>
    </row>
    <row r="87" spans="1:12" ht="15.9" customHeight="1">
      <c r="B87" s="306" t="s">
        <v>130</v>
      </c>
      <c r="C87" s="307">
        <f>SUM(C89:C92)</f>
        <v>800223816</v>
      </c>
      <c r="D87" s="349">
        <f>SUM(F87+H87+J87)</f>
        <v>0.99937517480734417</v>
      </c>
      <c r="E87" s="307">
        <f>SUM(E89:E92)</f>
        <v>26080000</v>
      </c>
      <c r="F87" s="349">
        <f>+E87/C87</f>
        <v>3.2590882048929168E-2</v>
      </c>
      <c r="G87" s="307">
        <f>SUM(G89:G92)</f>
        <v>1000000</v>
      </c>
      <c r="H87" s="349">
        <f>G87/C87</f>
        <v>1.2496503853117013E-3</v>
      </c>
      <c r="I87" s="307">
        <f>SUM(I89:I92)</f>
        <v>772643816</v>
      </c>
      <c r="J87" s="349">
        <f>I87/C87</f>
        <v>0.96553464237310327</v>
      </c>
      <c r="K87" s="307">
        <f>SUM(K89:K92)</f>
        <v>500000</v>
      </c>
      <c r="L87" s="350">
        <f>+K87/C87</f>
        <v>6.2482519265585066E-4</v>
      </c>
    </row>
    <row r="88" spans="1:12" ht="9.9" customHeight="1">
      <c r="B88" s="308"/>
      <c r="C88" s="269"/>
      <c r="D88" s="262"/>
      <c r="E88" s="269"/>
      <c r="F88" s="262"/>
      <c r="G88" s="269"/>
      <c r="H88" s="262"/>
      <c r="I88" s="269"/>
      <c r="J88" s="262"/>
      <c r="K88" s="269"/>
      <c r="L88" s="712"/>
    </row>
    <row r="89" spans="1:12" ht="17.399999999999999" collapsed="1">
      <c r="A89" s="74" t="s">
        <v>131</v>
      </c>
      <c r="B89" s="308" t="s">
        <v>531</v>
      </c>
      <c r="C89" s="311">
        <f t="shared" ref="C89:D92" si="22">SUM(E89+G89+I89+K89)</f>
        <v>6535000</v>
      </c>
      <c r="D89" s="262">
        <f t="shared" si="22"/>
        <v>1</v>
      </c>
      <c r="E89" s="311">
        <f>SUMIFS('Distribución OyA Detalle'!$G:$G,'Distribución OyA Detalle'!$A:$A,1,'Distribución OyA Detalle'!$D:$D,A89)</f>
        <v>880000</v>
      </c>
      <c r="F89" s="262">
        <f>+E89/C89</f>
        <v>0.13465952563121653</v>
      </c>
      <c r="G89" s="311">
        <f>SUMIFS('Distribución OyA Detalle'!$G:$G,'Distribución OyA Detalle'!$A:$A,2,'Distribución OyA Detalle'!$D:$D,A89)</f>
        <v>0</v>
      </c>
      <c r="H89" s="262">
        <f>G89/C89</f>
        <v>0</v>
      </c>
      <c r="I89" s="311">
        <f>SUMIFS('Distribución OyA Detalle'!$G:$G,'Distribución OyA Detalle'!$A:$A,3,'Distribución OyA Detalle'!$D:$D,A89)</f>
        <v>5655000</v>
      </c>
      <c r="J89" s="262">
        <f>I89/C89</f>
        <v>0.86534047436878347</v>
      </c>
      <c r="K89" s="311">
        <f>SUMIFS('Distribución OyA Detalle'!$G:$G,'Distribución OyA Detalle'!$A:$A,4,'Distribución OyA Detalle'!$D:$D,A89)</f>
        <v>0</v>
      </c>
      <c r="L89" s="712">
        <f>+K89/C89</f>
        <v>0</v>
      </c>
    </row>
    <row r="90" spans="1:12" ht="17.399999999999999">
      <c r="A90" s="74" t="s">
        <v>133</v>
      </c>
      <c r="B90" s="308" t="s">
        <v>532</v>
      </c>
      <c r="C90" s="311">
        <f t="shared" si="22"/>
        <v>759088816</v>
      </c>
      <c r="D90" s="262">
        <f t="shared" si="22"/>
        <v>1</v>
      </c>
      <c r="E90" s="311">
        <f>SUMIFS('Distribución OyA Detalle'!$G:$G,'Distribución OyA Detalle'!$A:$A,1,'Distribución OyA Detalle'!$D:$D,A90)</f>
        <v>4700000</v>
      </c>
      <c r="F90" s="262">
        <f>+E90/C90</f>
        <v>6.191633839063175E-3</v>
      </c>
      <c r="G90" s="311">
        <f>SUMIFS('Distribución OyA Detalle'!$G:$G,'Distribución OyA Detalle'!$A:$A,2,'Distribución OyA Detalle'!$D:$D,A90)</f>
        <v>0</v>
      </c>
      <c r="H90" s="262">
        <f>G90/C90</f>
        <v>0</v>
      </c>
      <c r="I90" s="311">
        <f>SUMIFS('Distribución OyA Detalle'!$G:$G,'Distribución OyA Detalle'!$A:$A,3,'Distribución OyA Detalle'!$D:$D,A90)</f>
        <v>753888816</v>
      </c>
      <c r="J90" s="262">
        <f>I90/C90</f>
        <v>0.99314968170997264</v>
      </c>
      <c r="K90" s="311">
        <f>SUMIFS('Distribución OyA Detalle'!$G:$G,'Distribución OyA Detalle'!$A:$A,4,'Distribución OyA Detalle'!$D:$D,A90)</f>
        <v>500000</v>
      </c>
      <c r="L90" s="712">
        <f>+K90/C90</f>
        <v>6.5868445096416758E-4</v>
      </c>
    </row>
    <row r="91" spans="1:12" ht="17.399999999999999">
      <c r="A91" s="74" t="s">
        <v>134</v>
      </c>
      <c r="B91" s="308" t="s">
        <v>533</v>
      </c>
      <c r="C91" s="311">
        <f t="shared" si="22"/>
        <v>16000000</v>
      </c>
      <c r="D91" s="262">
        <f t="shared" si="22"/>
        <v>1</v>
      </c>
      <c r="E91" s="311">
        <f>SUMIFS('Distribución OyA Detalle'!$G:$G,'Distribución OyA Detalle'!$A:$A,1,'Distribución OyA Detalle'!$D:$D,A91)</f>
        <v>10500000</v>
      </c>
      <c r="F91" s="262">
        <f>+E91/C91</f>
        <v>0.65625</v>
      </c>
      <c r="G91" s="311">
        <f>SUMIFS('Distribución OyA Detalle'!$G:$G,'Distribución OyA Detalle'!$A:$A,2,'Distribución OyA Detalle'!$D:$D,A91)</f>
        <v>500000</v>
      </c>
      <c r="H91" s="262">
        <f>G91/C91</f>
        <v>3.125E-2</v>
      </c>
      <c r="I91" s="311">
        <f>SUMIFS('Distribución OyA Detalle'!$G:$G,'Distribución OyA Detalle'!$A:$A,3,'Distribución OyA Detalle'!$D:$D,A91)</f>
        <v>5000000</v>
      </c>
      <c r="J91" s="262">
        <f>I91/C91</f>
        <v>0.3125</v>
      </c>
      <c r="K91" s="311">
        <f>SUMIFS('Distribución OyA Detalle'!$G:$G,'Distribución OyA Detalle'!$A:$A,4,'Distribución OyA Detalle'!$D:$D,A91)</f>
        <v>0</v>
      </c>
      <c r="L91" s="712">
        <f>+K91/C91</f>
        <v>0</v>
      </c>
    </row>
    <row r="92" spans="1:12" ht="17.399999999999999">
      <c r="A92" s="74" t="s">
        <v>136</v>
      </c>
      <c r="B92" s="308" t="s">
        <v>534</v>
      </c>
      <c r="C92" s="311">
        <f t="shared" si="22"/>
        <v>18600000</v>
      </c>
      <c r="D92" s="262">
        <f t="shared" si="22"/>
        <v>1</v>
      </c>
      <c r="E92" s="311">
        <f>SUMIFS('Distribución OyA Detalle'!$G:$G,'Distribución OyA Detalle'!$A:$A,1,'Distribución OyA Detalle'!$D:$D,A92)</f>
        <v>10000000</v>
      </c>
      <c r="F92" s="262">
        <f>+E92/C92</f>
        <v>0.5376344086021505</v>
      </c>
      <c r="G92" s="311">
        <f>SUMIFS('Distribución OyA Detalle'!$G:$G,'Distribución OyA Detalle'!$A:$A,2,'Distribución OyA Detalle'!$D:$D,A92)</f>
        <v>500000</v>
      </c>
      <c r="H92" s="262">
        <f>G92/C92</f>
        <v>2.6881720430107527E-2</v>
      </c>
      <c r="I92" s="311">
        <f>SUMIFS('Distribución OyA Detalle'!$G:$G,'Distribución OyA Detalle'!$A:$A,3,'Distribución OyA Detalle'!$D:$D,A92)</f>
        <v>8100000</v>
      </c>
      <c r="J92" s="262">
        <f>I92/C92</f>
        <v>0.43548387096774194</v>
      </c>
      <c r="K92" s="311">
        <f>SUMIFS('Distribución OyA Detalle'!$G:$G,'Distribución OyA Detalle'!$A:$A,4,'Distribución OyA Detalle'!$D:$D,A92)</f>
        <v>0</v>
      </c>
      <c r="L92" s="712">
        <f>+K92/C92</f>
        <v>0</v>
      </c>
    </row>
    <row r="93" spans="1:12" ht="9.9" customHeight="1">
      <c r="B93" s="308"/>
      <c r="C93" s="269"/>
      <c r="D93" s="262"/>
      <c r="E93" s="269"/>
      <c r="F93" s="262"/>
      <c r="G93" s="269"/>
      <c r="H93" s="262"/>
      <c r="I93" s="311"/>
      <c r="J93" s="262"/>
      <c r="K93" s="269"/>
      <c r="L93" s="712"/>
    </row>
    <row r="94" spans="1:12" ht="15.9" customHeight="1">
      <c r="B94" s="306" t="s">
        <v>242</v>
      </c>
      <c r="C94" s="307">
        <f>SUM(C96)</f>
        <v>154121476.19</v>
      </c>
      <c r="D94" s="349">
        <f>SUM(F94+H94+J94)</f>
        <v>0.98111878972394106</v>
      </c>
      <c r="E94" s="307">
        <f>SUM(E96)</f>
        <v>21766476.190000001</v>
      </c>
      <c r="F94" s="349">
        <f>+E94/C94</f>
        <v>0.14122935185986946</v>
      </c>
      <c r="G94" s="307">
        <f>SUM(G96)</f>
        <v>3438000</v>
      </c>
      <c r="H94" s="349">
        <f>G94/C94</f>
        <v>2.230707935707581E-2</v>
      </c>
      <c r="I94" s="307">
        <f>SUM(I96)</f>
        <v>126007000</v>
      </c>
      <c r="J94" s="349">
        <f>I94/C94</f>
        <v>0.81758235850699579</v>
      </c>
      <c r="K94" s="307">
        <f>SUM(K96)</f>
        <v>2910000</v>
      </c>
      <c r="L94" s="350">
        <f>+K94/C94</f>
        <v>1.8881210276058932E-2</v>
      </c>
    </row>
    <row r="95" spans="1:12" ht="9.9" customHeight="1">
      <c r="B95" s="308"/>
      <c r="C95" s="269"/>
      <c r="D95" s="262"/>
      <c r="E95" s="269"/>
      <c r="F95" s="262"/>
      <c r="G95" s="269"/>
      <c r="H95" s="262"/>
      <c r="I95" s="269"/>
      <c r="J95" s="262"/>
      <c r="K95" s="269"/>
      <c r="L95" s="712"/>
    </row>
    <row r="96" spans="1:12" ht="15.9" customHeight="1">
      <c r="A96" s="74" t="s">
        <v>138</v>
      </c>
      <c r="B96" s="308" t="s">
        <v>139</v>
      </c>
      <c r="C96" s="311">
        <f t="shared" ref="C96:D98" si="23">SUM(E96+G96+I96+K96)</f>
        <v>154121476.19</v>
      </c>
      <c r="D96" s="262">
        <f t="shared" si="23"/>
        <v>1</v>
      </c>
      <c r="E96" s="311">
        <f>SUMIFS('Distribución OyA Detalle'!$G:$G,'Distribución OyA Detalle'!$A:$A,1,'Distribución OyA Detalle'!$D:$D,A96)</f>
        <v>21766476.190000001</v>
      </c>
      <c r="F96" s="262">
        <f>+E96/C96</f>
        <v>0.14122935185986946</v>
      </c>
      <c r="G96" s="311">
        <f>SUMIFS('Distribución OyA Detalle'!$G:$G,'Distribución OyA Detalle'!$A:$A,2,'Distribución OyA Detalle'!$D:$D,A96)</f>
        <v>3438000</v>
      </c>
      <c r="H96" s="262">
        <f>G96/C96</f>
        <v>2.230707935707581E-2</v>
      </c>
      <c r="I96" s="311">
        <f>SUMIFS('Distribución OyA Detalle'!$G:$G,'Distribución OyA Detalle'!$A:$A,3,'Distribución OyA Detalle'!$D:$D,A96)</f>
        <v>126007000</v>
      </c>
      <c r="J96" s="262">
        <f>I96/C96</f>
        <v>0.81758235850699579</v>
      </c>
      <c r="K96" s="311">
        <f>SUMIFS('Distribución OyA Detalle'!$G:$G,'Distribución OyA Detalle'!$A:$A,4,'Distribución OyA Detalle'!$D:$D,A96)</f>
        <v>2910000</v>
      </c>
      <c r="L96" s="712">
        <f>+K96/C96</f>
        <v>1.8881210276058932E-2</v>
      </c>
    </row>
    <row r="97" spans="1:12" ht="15.9" hidden="1" customHeight="1">
      <c r="A97" s="74" t="s">
        <v>535</v>
      </c>
      <c r="B97" s="308" t="s">
        <v>536</v>
      </c>
      <c r="C97" s="311">
        <f t="shared" si="23"/>
        <v>0</v>
      </c>
      <c r="D97" s="262" t="e">
        <f t="shared" si="23"/>
        <v>#DIV/0!</v>
      </c>
      <c r="E97" s="311">
        <f>SUMIFS('Distribución OyA Detalle'!$G:$G,'Distribución OyA Detalle'!$A:$A,1,'Distribución OyA Detalle'!$D:$D,A97)</f>
        <v>0</v>
      </c>
      <c r="F97" s="262" t="e">
        <f>+E97/C97</f>
        <v>#DIV/0!</v>
      </c>
      <c r="G97" s="311">
        <f>SUMIFS('Distribución OyA Detalle'!$G:$G,'Distribución OyA Detalle'!$A:$A,2,'Distribución OyA Detalle'!$D:$D,A97)</f>
        <v>0</v>
      </c>
      <c r="H97" s="262" t="e">
        <f>G97/C97</f>
        <v>#DIV/0!</v>
      </c>
      <c r="I97" s="311">
        <f>SUMIFS('Distribución OyA Detalle'!$G:$G,'Distribución OyA Detalle'!$A:$A,3,'Distribución OyA Detalle'!$D:$D,A97)</f>
        <v>0</v>
      </c>
      <c r="J97" s="262" t="e">
        <f>I97/C97</f>
        <v>#DIV/0!</v>
      </c>
      <c r="K97" s="311">
        <f>SUMIFS('Distribución OyA Detalle'!$G:$G,'Distribución OyA Detalle'!$A:$A,4,'Distribución OyA Detalle'!$D:$D,A97)</f>
        <v>0</v>
      </c>
      <c r="L97" s="712" t="e">
        <f>+K97/C97</f>
        <v>#DIV/0!</v>
      </c>
    </row>
    <row r="98" spans="1:12" ht="15.9" hidden="1" customHeight="1">
      <c r="A98" s="74" t="s">
        <v>537</v>
      </c>
      <c r="B98" s="308" t="s">
        <v>538</v>
      </c>
      <c r="C98" s="311">
        <f t="shared" si="23"/>
        <v>0</v>
      </c>
      <c r="D98" s="262" t="e">
        <f t="shared" si="23"/>
        <v>#DIV/0!</v>
      </c>
      <c r="E98" s="311">
        <f>SUMIFS('Distribución OyA Detalle'!$G:$G,'Distribución OyA Detalle'!$A:$A,1,'Distribución OyA Detalle'!$D:$D,A98)</f>
        <v>0</v>
      </c>
      <c r="F98" s="262" t="e">
        <f>+E98/C98</f>
        <v>#DIV/0!</v>
      </c>
      <c r="G98" s="311">
        <f>SUMIFS('Distribución OyA Detalle'!$G:$G,'Distribución OyA Detalle'!$A:$A,2,'Distribución OyA Detalle'!$D:$D,A98)</f>
        <v>0</v>
      </c>
      <c r="H98" s="262" t="e">
        <f>G98/C98</f>
        <v>#DIV/0!</v>
      </c>
      <c r="I98" s="311">
        <f>SUMIFS('Distribución OyA Detalle'!$G:$G,'Distribución OyA Detalle'!$A:$A,3,'Distribución OyA Detalle'!$D:$D,A98)</f>
        <v>0</v>
      </c>
      <c r="J98" s="262" t="e">
        <f>I98/C98</f>
        <v>#DIV/0!</v>
      </c>
      <c r="K98" s="311">
        <f>SUMIFS('Distribución OyA Detalle'!$G:$G,'Distribución OyA Detalle'!$A:$A,4,'Distribución OyA Detalle'!$D:$D,A98)</f>
        <v>0</v>
      </c>
      <c r="L98" s="712" t="e">
        <f>+K98/C98</f>
        <v>#DIV/0!</v>
      </c>
    </row>
    <row r="99" spans="1:12" ht="9.9" customHeight="1">
      <c r="B99" s="308"/>
      <c r="C99" s="269"/>
      <c r="D99" s="262"/>
      <c r="E99" s="269"/>
      <c r="F99" s="262"/>
      <c r="G99" s="269"/>
      <c r="H99" s="262"/>
      <c r="I99" s="269"/>
      <c r="J99" s="262"/>
      <c r="K99" s="269"/>
      <c r="L99" s="712"/>
    </row>
    <row r="100" spans="1:12" ht="15.9" customHeight="1">
      <c r="B100" s="306" t="s">
        <v>141</v>
      </c>
      <c r="C100" s="307">
        <f>SUM(C102:C104)</f>
        <v>218725000</v>
      </c>
      <c r="D100" s="349">
        <f>SUM(F100+H100+J100)</f>
        <v>0.97439707395130881</v>
      </c>
      <c r="E100" s="307">
        <f>SUM(E102:E104)</f>
        <v>108150000</v>
      </c>
      <c r="F100" s="349">
        <f>+E100/C100</f>
        <v>0.49445650931535035</v>
      </c>
      <c r="G100" s="307">
        <f>SUM(G102:G104)</f>
        <v>600000</v>
      </c>
      <c r="H100" s="349">
        <f>G100/C100</f>
        <v>2.7431706480740654E-3</v>
      </c>
      <c r="I100" s="307">
        <f>SUM(I102:I104)</f>
        <v>104375000</v>
      </c>
      <c r="J100" s="349">
        <f>I100/C100</f>
        <v>0.47719739398788436</v>
      </c>
      <c r="K100" s="307">
        <f>SUM(K102:K104)</f>
        <v>5600000</v>
      </c>
      <c r="L100" s="350">
        <f>+K100/C100</f>
        <v>2.5602926048691278E-2</v>
      </c>
    </row>
    <row r="101" spans="1:12" ht="9.9" customHeight="1">
      <c r="B101" s="308"/>
      <c r="C101" s="269"/>
      <c r="D101" s="262"/>
      <c r="E101" s="269"/>
      <c r="F101" s="262"/>
      <c r="G101" s="269"/>
      <c r="H101" s="262"/>
      <c r="I101" s="269"/>
      <c r="J101" s="262"/>
      <c r="K101" s="269"/>
      <c r="L101" s="712"/>
    </row>
    <row r="102" spans="1:12" ht="17.399999999999999" collapsed="1">
      <c r="A102" s="74" t="s">
        <v>142</v>
      </c>
      <c r="B102" s="308" t="s">
        <v>539</v>
      </c>
      <c r="C102" s="311">
        <f t="shared" ref="C102:D104" si="24">SUM(E102+G102+I102+K102)</f>
        <v>217575000</v>
      </c>
      <c r="D102" s="262">
        <f t="shared" si="24"/>
        <v>0.99999999999999989</v>
      </c>
      <c r="E102" s="311">
        <f>SUMIFS('Distribución OyA Detalle'!$G:$G,'Distribución OyA Detalle'!$A:$A,1,'Distribución OyA Detalle'!$D:$D,A102)</f>
        <v>107000000</v>
      </c>
      <c r="F102" s="262">
        <f>+E102/C102</f>
        <v>0.49178444214638628</v>
      </c>
      <c r="G102" s="311">
        <f>SUMIFS('Distribución OyA Detalle'!$G:$G,'Distribución OyA Detalle'!$A:$A,2,'Distribución OyA Detalle'!$D:$D,A102)</f>
        <v>600000</v>
      </c>
      <c r="H102" s="262">
        <f>G102/C102</f>
        <v>2.7576697690451569E-3</v>
      </c>
      <c r="I102" s="311">
        <f>SUMIFS('Distribución OyA Detalle'!$G:$G,'Distribución OyA Detalle'!$A:$A,3,'Distribución OyA Detalle'!$D:$D,A102)</f>
        <v>104375000</v>
      </c>
      <c r="J102" s="262">
        <f>I102/C102</f>
        <v>0.47971963690681374</v>
      </c>
      <c r="K102" s="311">
        <f>SUMIFS('Distribución OyA Detalle'!$G:$G,'Distribución OyA Detalle'!$A:$A,4,'Distribución OyA Detalle'!$D:$D,A102)</f>
        <v>5600000</v>
      </c>
      <c r="L102" s="712">
        <f>+K102/C102</f>
        <v>2.5738251177754797E-2</v>
      </c>
    </row>
    <row r="103" spans="1:12" ht="17.399999999999999" collapsed="1">
      <c r="A103" s="74" t="s">
        <v>144</v>
      </c>
      <c r="B103" s="308" t="s">
        <v>540</v>
      </c>
      <c r="C103" s="311">
        <f t="shared" si="24"/>
        <v>1000000</v>
      </c>
      <c r="D103" s="262">
        <f t="shared" si="24"/>
        <v>1</v>
      </c>
      <c r="E103" s="311">
        <f>SUMIFS('Distribución OyA Detalle'!$G:$G,'Distribución OyA Detalle'!$A:$A,1,'Distribución OyA Detalle'!$D:$D,A103)</f>
        <v>1000000</v>
      </c>
      <c r="F103" s="262">
        <f>+E103/C103</f>
        <v>1</v>
      </c>
      <c r="G103" s="311">
        <f>SUMIFS('Distribución OyA Detalle'!$G:$G,'Distribución OyA Detalle'!$A:$A,2,'Distribución OyA Detalle'!$D:$D,A103)</f>
        <v>0</v>
      </c>
      <c r="H103" s="262">
        <f>G103/C103</f>
        <v>0</v>
      </c>
      <c r="I103" s="311">
        <f>SUMIFS('Distribución OyA Detalle'!$G:$G,'Distribución OyA Detalle'!$A:$A,3,'Distribución OyA Detalle'!$D:$D,A103)</f>
        <v>0</v>
      </c>
      <c r="J103" s="262">
        <f>I103/C103</f>
        <v>0</v>
      </c>
      <c r="K103" s="311">
        <f>SUMIFS('Distribución OyA Detalle'!$G:$G,'Distribución OyA Detalle'!$A:$A,4,'Distribución OyA Detalle'!$D:$D,A103)</f>
        <v>0</v>
      </c>
      <c r="L103" s="712">
        <f>+K103/C103</f>
        <v>0</v>
      </c>
    </row>
    <row r="104" spans="1:12" ht="17.399999999999999" outlineLevel="1">
      <c r="A104" s="74" t="s">
        <v>146</v>
      </c>
      <c r="B104" s="308" t="s">
        <v>541</v>
      </c>
      <c r="C104" s="311">
        <f t="shared" si="24"/>
        <v>150000</v>
      </c>
      <c r="D104" s="262">
        <f t="shared" si="24"/>
        <v>1</v>
      </c>
      <c r="E104" s="311">
        <f>SUMIFS('Distribución OyA Detalle'!$G:$G,'Distribución OyA Detalle'!$A:$A,1,'Distribución OyA Detalle'!$D:$D,A104)</f>
        <v>150000</v>
      </c>
      <c r="F104" s="262">
        <f>+E104/C104</f>
        <v>1</v>
      </c>
      <c r="G104" s="311">
        <f>SUMIFS('Distribución OyA Detalle'!$G:$G,'Distribución OyA Detalle'!$A:$A,2,'Distribución OyA Detalle'!$D:$D,A104)</f>
        <v>0</v>
      </c>
      <c r="H104" s="262">
        <f>G104/C104</f>
        <v>0</v>
      </c>
      <c r="I104" s="311">
        <f>SUMIFS('Distribución OyA Detalle'!$G:$G,'Distribución OyA Detalle'!$A:$A,3,'Distribución OyA Detalle'!$D:$D,A104)</f>
        <v>0</v>
      </c>
      <c r="J104" s="262">
        <f>I104/C104</f>
        <v>0</v>
      </c>
      <c r="K104" s="311">
        <f>SUMIFS('Distribución OyA Detalle'!$G:$G,'Distribución OyA Detalle'!$A:$A,4,'Distribución OyA Detalle'!$D:$D,A104)</f>
        <v>0</v>
      </c>
      <c r="L104" s="712">
        <f>+K104/C104</f>
        <v>0</v>
      </c>
    </row>
    <row r="105" spans="1:12" ht="9.9" customHeight="1">
      <c r="B105" s="309"/>
      <c r="C105" s="310"/>
      <c r="D105" s="273"/>
      <c r="E105" s="310"/>
      <c r="F105" s="273"/>
      <c r="G105" s="310"/>
      <c r="H105" s="273"/>
      <c r="I105" s="310"/>
      <c r="J105" s="273"/>
      <c r="K105" s="310"/>
      <c r="L105" s="745"/>
    </row>
    <row r="106" spans="1:12" ht="15.9" customHeight="1">
      <c r="B106" s="306" t="s">
        <v>149</v>
      </c>
      <c r="C106" s="307">
        <f>SUM(C108:C116)</f>
        <v>168646000</v>
      </c>
      <c r="D106" s="349">
        <f>SUM(F106+H106+J106)</f>
        <v>1</v>
      </c>
      <c r="E106" s="307">
        <f>SUM(E108:E116)</f>
        <v>50800000</v>
      </c>
      <c r="F106" s="349">
        <f>+E106/C106</f>
        <v>0.30122267945874792</v>
      </c>
      <c r="G106" s="307">
        <f>SUM(G108:G116)</f>
        <v>0</v>
      </c>
      <c r="H106" s="349">
        <f>G106/C106</f>
        <v>0</v>
      </c>
      <c r="I106" s="307">
        <f>SUM(I108:I116)</f>
        <v>117846000</v>
      </c>
      <c r="J106" s="349">
        <f>I106/C106</f>
        <v>0.69877732054125208</v>
      </c>
      <c r="K106" s="307">
        <f>SUM(K108:K116)</f>
        <v>0</v>
      </c>
      <c r="L106" s="350">
        <f>+K106/C106</f>
        <v>0</v>
      </c>
    </row>
    <row r="107" spans="1:12" ht="9.9" customHeight="1">
      <c r="B107" s="308"/>
      <c r="C107" s="269"/>
      <c r="D107" s="262"/>
      <c r="E107" s="269"/>
      <c r="F107" s="262"/>
      <c r="G107" s="269"/>
      <c r="H107" s="262"/>
      <c r="I107" s="269"/>
      <c r="J107" s="262"/>
      <c r="K107" s="269"/>
      <c r="L107" s="712"/>
    </row>
    <row r="108" spans="1:12" ht="17.399999999999999" collapsed="1">
      <c r="A108" s="74" t="s">
        <v>150</v>
      </c>
      <c r="B108" s="308" t="s">
        <v>542</v>
      </c>
      <c r="C108" s="311">
        <f>SUM(E108+G108+I108+K108)</f>
        <v>500000</v>
      </c>
      <c r="D108" s="262">
        <f t="shared" ref="D108:D116" si="25">SUM(F108+H108+J108+L108)</f>
        <v>1</v>
      </c>
      <c r="E108" s="311">
        <f>SUMIFS('Distribución OyA Detalle'!$G:$G,'Distribución OyA Detalle'!$A:$A,1,'Distribución OyA Detalle'!$D:$D,A108)</f>
        <v>500000</v>
      </c>
      <c r="F108" s="262">
        <f t="shared" ref="F108:F116" si="26">+E108/C108</f>
        <v>1</v>
      </c>
      <c r="G108" s="311">
        <f>SUMIFS('Distribución OyA Detalle'!$G:$G,'Distribución OyA Detalle'!$A:$A,2,'Distribución OyA Detalle'!$D:$D,A108)</f>
        <v>0</v>
      </c>
      <c r="H108" s="262">
        <f t="shared" ref="H108:H116" si="27">G108/C108</f>
        <v>0</v>
      </c>
      <c r="I108" s="311">
        <f>SUMIFS('Distribución OyA Detalle'!$G:$G,'Distribución OyA Detalle'!$A:$A,3,'Distribución OyA Detalle'!$D:$D,A108)</f>
        <v>0</v>
      </c>
      <c r="J108" s="262">
        <f t="shared" ref="J108:J116" si="28">I108/C108</f>
        <v>0</v>
      </c>
      <c r="K108" s="311">
        <f>SUMIFS('Distribución OyA Detalle'!$G:$G,'Distribución OyA Detalle'!$A:$A,4,'Distribución OyA Detalle'!$D:$D,A108)</f>
        <v>0</v>
      </c>
      <c r="L108" s="712">
        <f t="shared" ref="L108:L116" si="29">+K108/C108</f>
        <v>0</v>
      </c>
    </row>
    <row r="109" spans="1:12" ht="15.9" hidden="1" customHeight="1">
      <c r="A109" s="74" t="s">
        <v>543</v>
      </c>
      <c r="B109" s="308" t="s">
        <v>544</v>
      </c>
      <c r="C109" s="311">
        <f t="shared" ref="C109:C116" si="30">SUM(E109+G109+I109+K109)</f>
        <v>0</v>
      </c>
      <c r="D109" s="262" t="e">
        <f t="shared" si="25"/>
        <v>#DIV/0!</v>
      </c>
      <c r="E109" s="311">
        <f>SUMIFS('Distribución OyA Detalle'!$G:$G,'Distribución OyA Detalle'!$A:$A,1,'Distribución OyA Detalle'!$D:$D,A109)</f>
        <v>0</v>
      </c>
      <c r="F109" s="262" t="e">
        <f t="shared" si="26"/>
        <v>#DIV/0!</v>
      </c>
      <c r="G109" s="311">
        <f>SUMIFS('Distribución OyA Detalle'!$G:$G,'Distribución OyA Detalle'!$A:$A,2,'Distribución OyA Detalle'!$D:$D,A109)</f>
        <v>0</v>
      </c>
      <c r="H109" s="262" t="e">
        <f t="shared" si="27"/>
        <v>#DIV/0!</v>
      </c>
      <c r="I109" s="311">
        <f>SUMIFS('Distribución OyA Detalle'!$G:$G,'Distribución OyA Detalle'!$A:$A,3,'Distribución OyA Detalle'!$D:$D,A109)</f>
        <v>0</v>
      </c>
      <c r="J109" s="262" t="e">
        <f t="shared" si="28"/>
        <v>#DIV/0!</v>
      </c>
      <c r="K109" s="311">
        <f>SUMIFS('Distribución OyA Detalle'!$G:$G,'Distribución OyA Detalle'!$A:$A,4,'Distribución OyA Detalle'!$D:$D,A109)</f>
        <v>0</v>
      </c>
      <c r="L109" s="712" t="e">
        <f t="shared" si="29"/>
        <v>#DIV/0!</v>
      </c>
    </row>
    <row r="110" spans="1:12" ht="15.9" hidden="1" customHeight="1">
      <c r="A110" s="74" t="s">
        <v>151</v>
      </c>
      <c r="B110" s="308" t="s">
        <v>545</v>
      </c>
      <c r="C110" s="311">
        <f t="shared" si="30"/>
        <v>0</v>
      </c>
      <c r="D110" s="262" t="e">
        <f t="shared" si="25"/>
        <v>#DIV/0!</v>
      </c>
      <c r="E110" s="311">
        <f>SUMIFS('Distribución OyA Detalle'!$G:$G,'Distribución OyA Detalle'!$A:$A,1,'Distribución OyA Detalle'!$D:$D,A110)</f>
        <v>0</v>
      </c>
      <c r="F110" s="262" t="e">
        <f t="shared" si="26"/>
        <v>#DIV/0!</v>
      </c>
      <c r="G110" s="311">
        <f>SUMIFS('Distribución OyA Detalle'!$G:$G,'Distribución OyA Detalle'!$A:$A,2,'Distribución OyA Detalle'!$D:$D,A110)</f>
        <v>0</v>
      </c>
      <c r="H110" s="262" t="e">
        <f t="shared" si="27"/>
        <v>#DIV/0!</v>
      </c>
      <c r="I110" s="311">
        <f>SUMIFS('Distribución OyA Detalle'!$G:$G,'Distribución OyA Detalle'!$A:$A,3,'Distribución OyA Detalle'!$D:$D,A110)</f>
        <v>0</v>
      </c>
      <c r="J110" s="262" t="e">
        <f t="shared" si="28"/>
        <v>#DIV/0!</v>
      </c>
      <c r="K110" s="311">
        <f>SUMIFS('Distribución OyA Detalle'!$G:$G,'Distribución OyA Detalle'!$A:$A,4,'Distribución OyA Detalle'!$D:$D,A110)</f>
        <v>0</v>
      </c>
      <c r="L110" s="712" t="e">
        <f t="shared" si="29"/>
        <v>#DIV/0!</v>
      </c>
    </row>
    <row r="111" spans="1:12" ht="15.9" hidden="1" customHeight="1">
      <c r="A111" s="74" t="s">
        <v>344</v>
      </c>
      <c r="B111" s="308" t="s">
        <v>546</v>
      </c>
      <c r="C111" s="311">
        <f t="shared" si="30"/>
        <v>0</v>
      </c>
      <c r="D111" s="262" t="e">
        <f t="shared" si="25"/>
        <v>#DIV/0!</v>
      </c>
      <c r="E111" s="311">
        <f>SUMIFS('Distribución OyA Detalle'!$G:$G,'Distribución OyA Detalle'!$A:$A,1,'Distribución OyA Detalle'!$D:$D,A111)</f>
        <v>0</v>
      </c>
      <c r="F111" s="262" t="e">
        <f t="shared" si="26"/>
        <v>#DIV/0!</v>
      </c>
      <c r="G111" s="311">
        <f>SUMIFS('Distribución OyA Detalle'!$G:$G,'Distribución OyA Detalle'!$A:$A,2,'Distribución OyA Detalle'!$D:$D,A111)</f>
        <v>0</v>
      </c>
      <c r="H111" s="262" t="e">
        <f t="shared" si="27"/>
        <v>#DIV/0!</v>
      </c>
      <c r="I111" s="311">
        <f>SUMIFS('Distribución OyA Detalle'!$G:$G,'Distribución OyA Detalle'!$A:$A,3,'Distribución OyA Detalle'!$D:$D,A111)</f>
        <v>0</v>
      </c>
      <c r="J111" s="262" t="e">
        <f t="shared" si="28"/>
        <v>#DIV/0!</v>
      </c>
      <c r="K111" s="311">
        <f>SUMIFS('Distribución OyA Detalle'!$G:$G,'Distribución OyA Detalle'!$A:$A,4,'Distribución OyA Detalle'!$D:$D,A111)</f>
        <v>0</v>
      </c>
      <c r="L111" s="712" t="e">
        <f t="shared" si="29"/>
        <v>#DIV/0!</v>
      </c>
    </row>
    <row r="112" spans="1:12" ht="17.399999999999999">
      <c r="A112" s="74" t="s">
        <v>153</v>
      </c>
      <c r="B112" s="308" t="s">
        <v>547</v>
      </c>
      <c r="C112" s="311">
        <f>SUM(E112+G112+I112+K112)</f>
        <v>121846000</v>
      </c>
      <c r="D112" s="262">
        <f>SUM(F112+H112+J112+L112)</f>
        <v>1</v>
      </c>
      <c r="E112" s="311">
        <f>SUMIFS('Distribución OyA Detalle'!$G:$G,'Distribución OyA Detalle'!$A:$A,1,'Distribución OyA Detalle'!$D:$D,A112)</f>
        <v>5000000</v>
      </c>
      <c r="F112" s="262">
        <f t="shared" si="26"/>
        <v>4.1035405347734026E-2</v>
      </c>
      <c r="G112" s="311">
        <f>SUMIFS('Distribución OyA Detalle'!$G:$G,'Distribución OyA Detalle'!$A:$A,2,'Distribución OyA Detalle'!$D:$D,A112)</f>
        <v>0</v>
      </c>
      <c r="H112" s="262">
        <f t="shared" si="27"/>
        <v>0</v>
      </c>
      <c r="I112" s="311">
        <f>SUMIFS('Distribución OyA Detalle'!$G:$G,'Distribución OyA Detalle'!$A:$A,3,'Distribución OyA Detalle'!$D:$D,A112)</f>
        <v>116846000</v>
      </c>
      <c r="J112" s="262">
        <f t="shared" si="28"/>
        <v>0.95896459465226602</v>
      </c>
      <c r="K112" s="311">
        <f>SUMIFS('Distribución OyA Detalle'!$G:$G,'Distribución OyA Detalle'!$A:$A,4,'Distribución OyA Detalle'!$D:$D,A112)</f>
        <v>0</v>
      </c>
      <c r="L112" s="712">
        <f t="shared" si="29"/>
        <v>0</v>
      </c>
    </row>
    <row r="113" spans="1:12" ht="17.399999999999999" outlineLevel="1">
      <c r="A113" s="74" t="s">
        <v>154</v>
      </c>
      <c r="B113" s="308" t="s">
        <v>548</v>
      </c>
      <c r="C113" s="311">
        <f t="shared" si="30"/>
        <v>1900000</v>
      </c>
      <c r="D113" s="262">
        <f t="shared" si="25"/>
        <v>1</v>
      </c>
      <c r="E113" s="311">
        <f>SUMIFS('Distribución OyA Detalle'!$G:$G,'Distribución OyA Detalle'!$A:$A,1,'Distribución OyA Detalle'!$D:$D,A113)</f>
        <v>1900000</v>
      </c>
      <c r="F113" s="262">
        <f t="shared" si="26"/>
        <v>1</v>
      </c>
      <c r="G113" s="311">
        <f>SUMIFS('Distribución OyA Detalle'!$G:$G,'Distribución OyA Detalle'!$A:$A,2,'Distribución OyA Detalle'!$D:$D,A113)</f>
        <v>0</v>
      </c>
      <c r="H113" s="262">
        <f t="shared" si="27"/>
        <v>0</v>
      </c>
      <c r="I113" s="311">
        <f>SUMIFS('Distribución OyA Detalle'!$G:$G,'Distribución OyA Detalle'!$A:$A,3,'Distribución OyA Detalle'!$D:$D,A113)</f>
        <v>0</v>
      </c>
      <c r="J113" s="262">
        <f t="shared" si="28"/>
        <v>0</v>
      </c>
      <c r="K113" s="311">
        <f>SUMIFS('Distribución OyA Detalle'!$G:$G,'Distribución OyA Detalle'!$A:$A,4,'Distribución OyA Detalle'!$D:$D,A113)</f>
        <v>0</v>
      </c>
      <c r="L113" s="712">
        <f t="shared" si="29"/>
        <v>0</v>
      </c>
    </row>
    <row r="114" spans="1:12" ht="17.399999999999999">
      <c r="A114" s="74" t="s">
        <v>155</v>
      </c>
      <c r="B114" s="308" t="s">
        <v>549</v>
      </c>
      <c r="C114" s="311">
        <f t="shared" si="30"/>
        <v>4100000</v>
      </c>
      <c r="D114" s="262">
        <f t="shared" si="25"/>
        <v>1</v>
      </c>
      <c r="E114" s="311">
        <f>SUMIFS('Distribución OyA Detalle'!$G:$G,'Distribución OyA Detalle'!$A:$A,1,'Distribución OyA Detalle'!$D:$D,A114)</f>
        <v>4100000</v>
      </c>
      <c r="F114" s="262">
        <f t="shared" si="26"/>
        <v>1</v>
      </c>
      <c r="G114" s="311">
        <f>SUMIFS('Distribución OyA Detalle'!$G:$G,'Distribución OyA Detalle'!$A:$A,2,'Distribución OyA Detalle'!$D:$D,A114)</f>
        <v>0</v>
      </c>
      <c r="H114" s="262">
        <f t="shared" si="27"/>
        <v>0</v>
      </c>
      <c r="I114" s="311">
        <f>SUMIFS('Distribución OyA Detalle'!$G:$G,'Distribución OyA Detalle'!$A:$A,3,'Distribución OyA Detalle'!$D:$D,A114)</f>
        <v>0</v>
      </c>
      <c r="J114" s="262">
        <f t="shared" si="28"/>
        <v>0</v>
      </c>
      <c r="K114" s="311">
        <f>SUMIFS('Distribución OyA Detalle'!$G:$G,'Distribución OyA Detalle'!$A:$A,4,'Distribución OyA Detalle'!$D:$D,A114)</f>
        <v>0</v>
      </c>
      <c r="L114" s="712">
        <f t="shared" si="29"/>
        <v>0</v>
      </c>
    </row>
    <row r="115" spans="1:12" ht="17.399999999999999">
      <c r="A115" s="74" t="s">
        <v>156</v>
      </c>
      <c r="B115" s="308" t="s">
        <v>751</v>
      </c>
      <c r="C115" s="311">
        <f t="shared" si="30"/>
        <v>40000000</v>
      </c>
      <c r="D115" s="262">
        <f t="shared" si="25"/>
        <v>1</v>
      </c>
      <c r="E115" s="311">
        <f>SUMIFS('Distribución OyA Detalle'!$G:$G,'Distribución OyA Detalle'!$A:$A,1,'Distribución OyA Detalle'!$D:$D,A115)</f>
        <v>39000000</v>
      </c>
      <c r="F115" s="262">
        <f t="shared" si="26"/>
        <v>0.97499999999999998</v>
      </c>
      <c r="G115" s="311">
        <f>SUMIFS('Distribución OyA Detalle'!$G:$G,'Distribución OyA Detalle'!$A:$A,2,'Distribución OyA Detalle'!$D:$D,A115)</f>
        <v>0</v>
      </c>
      <c r="H115" s="262">
        <f t="shared" si="27"/>
        <v>0</v>
      </c>
      <c r="I115" s="311">
        <f>SUMIFS('Distribución OyA Detalle'!$G:$G,'Distribución OyA Detalle'!$A:$A,3,'Distribución OyA Detalle'!$D:$D,A115)</f>
        <v>1000000</v>
      </c>
      <c r="J115" s="262">
        <f t="shared" si="28"/>
        <v>2.5000000000000001E-2</v>
      </c>
      <c r="K115" s="311">
        <f>SUMIFS('Distribución OyA Detalle'!$G:$G,'Distribución OyA Detalle'!$A:$A,4,'Distribución OyA Detalle'!$D:$D,A115)</f>
        <v>0</v>
      </c>
      <c r="L115" s="712">
        <f t="shared" si="29"/>
        <v>0</v>
      </c>
    </row>
    <row r="116" spans="1:12" ht="17.399999999999999" outlineLevel="1">
      <c r="A116" s="74" t="s">
        <v>157</v>
      </c>
      <c r="B116" s="309" t="s">
        <v>550</v>
      </c>
      <c r="C116" s="760">
        <f t="shared" si="30"/>
        <v>300000</v>
      </c>
      <c r="D116" s="273">
        <f t="shared" si="25"/>
        <v>1</v>
      </c>
      <c r="E116" s="760">
        <f>SUMIFS('Distribución OyA Detalle'!$G:$G,'Distribución OyA Detalle'!$A:$A,1,'Distribución OyA Detalle'!$D:$D,A116)</f>
        <v>300000</v>
      </c>
      <c r="F116" s="273">
        <f t="shared" si="26"/>
        <v>1</v>
      </c>
      <c r="G116" s="760">
        <f>SUMIFS('Distribución OyA Detalle'!$G:$G,'Distribución OyA Detalle'!$A:$A,2,'Distribución OyA Detalle'!$D:$D,A116)</f>
        <v>0</v>
      </c>
      <c r="H116" s="273">
        <f t="shared" si="27"/>
        <v>0</v>
      </c>
      <c r="I116" s="760">
        <f>SUMIFS('Distribución OyA Detalle'!$G:$G,'Distribución OyA Detalle'!$A:$A,3,'Distribución OyA Detalle'!$D:$D,A116)</f>
        <v>0</v>
      </c>
      <c r="J116" s="273">
        <f t="shared" si="28"/>
        <v>0</v>
      </c>
      <c r="K116" s="760">
        <f>SUMIFS('Distribución OyA Detalle'!$G:$G,'Distribución OyA Detalle'!$A:$A,4,'Distribución OyA Detalle'!$D:$D,A116)</f>
        <v>0</v>
      </c>
      <c r="L116" s="745">
        <f t="shared" si="29"/>
        <v>0</v>
      </c>
    </row>
    <row r="117" spans="1:12" ht="9.9" customHeight="1" outlineLevel="1">
      <c r="B117" s="309"/>
      <c r="C117" s="760"/>
      <c r="D117" s="273"/>
      <c r="E117" s="310"/>
      <c r="F117" s="273"/>
      <c r="G117" s="310"/>
      <c r="H117" s="273"/>
      <c r="I117" s="310"/>
      <c r="J117" s="273"/>
      <c r="K117" s="310"/>
      <c r="L117" s="745"/>
    </row>
    <row r="118" spans="1:12" ht="15.9" customHeight="1" outlineLevel="1">
      <c r="B118" s="314" t="s">
        <v>346</v>
      </c>
      <c r="C118" s="307">
        <f>SUM(C120:C123)</f>
        <v>2340000</v>
      </c>
      <c r="D118" s="349">
        <f>SUM(F118+H118+J118)</f>
        <v>1</v>
      </c>
      <c r="E118" s="307">
        <f>SUM(E120:E123)</f>
        <v>1990000</v>
      </c>
      <c r="F118" s="349">
        <f>+E118/C118</f>
        <v>0.8504273504273504</v>
      </c>
      <c r="G118" s="307">
        <f>SUM(G120:G123)</f>
        <v>0</v>
      </c>
      <c r="H118" s="349">
        <f>G118/C118</f>
        <v>0</v>
      </c>
      <c r="I118" s="307">
        <f>SUM(I120:I123)</f>
        <v>350000</v>
      </c>
      <c r="J118" s="349">
        <f>I118/C118</f>
        <v>0.14957264957264957</v>
      </c>
      <c r="K118" s="307">
        <f>SUM(K120:K123)</f>
        <v>0</v>
      </c>
      <c r="L118" s="350">
        <f>+K118/C118</f>
        <v>0</v>
      </c>
    </row>
    <row r="119" spans="1:12" ht="9.9" customHeight="1" outlineLevel="1">
      <c r="B119" s="315"/>
      <c r="C119" s="311"/>
      <c r="D119" s="262"/>
      <c r="E119" s="269"/>
      <c r="F119" s="262"/>
      <c r="G119" s="269"/>
      <c r="H119" s="262"/>
      <c r="I119" s="269"/>
      <c r="J119" s="262"/>
      <c r="K119" s="269"/>
      <c r="L119" s="712"/>
    </row>
    <row r="120" spans="1:12" ht="15.9" hidden="1" customHeight="1" outlineLevel="1">
      <c r="A120" s="74" t="s">
        <v>604</v>
      </c>
      <c r="B120" s="308" t="s">
        <v>605</v>
      </c>
      <c r="C120" s="311">
        <f>+E120+G120+I120+K120</f>
        <v>0</v>
      </c>
      <c r="D120" s="262" t="e">
        <f>SUM(F120+H120+J120)</f>
        <v>#DIV/0!</v>
      </c>
      <c r="E120" s="311">
        <f>SUMIFS('Distribución OyA Detalle'!$G:$G,'Distribución OyA Detalle'!$A:$A,1,'Distribución OyA Detalle'!$D:$D,A120)</f>
        <v>0</v>
      </c>
      <c r="F120" s="262" t="e">
        <f>+E120/C120</f>
        <v>#DIV/0!</v>
      </c>
      <c r="G120" s="311">
        <f>SUMIFS('Distribución OyA Detalle'!$G:$G,'Distribución OyA Detalle'!$A:$A,2,'Distribución OyA Detalle'!$D:$D,A120)</f>
        <v>0</v>
      </c>
      <c r="H120" s="262" t="e">
        <f>G120/C120</f>
        <v>#DIV/0!</v>
      </c>
      <c r="I120" s="311">
        <f>SUMIFS('Distribución OyA Detalle'!$G:$G,'Distribución OyA Detalle'!$A:$A,3,'Distribución OyA Detalle'!$D:$D,A120)</f>
        <v>0</v>
      </c>
      <c r="J120" s="262" t="e">
        <f>I120/C120</f>
        <v>#DIV/0!</v>
      </c>
      <c r="K120" s="311">
        <f>SUMIFS('Distribución OyA Detalle'!$G:$G,'Distribución OyA Detalle'!$A:$A,4,'Distribución OyA Detalle'!$D:$D,A120)</f>
        <v>0</v>
      </c>
      <c r="L120" s="712" t="e">
        <f>+K120/C120</f>
        <v>#DIV/0!</v>
      </c>
    </row>
    <row r="121" spans="1:12" ht="15.9" hidden="1" customHeight="1" outlineLevel="1">
      <c r="A121" s="74" t="s">
        <v>606</v>
      </c>
      <c r="B121" s="308" t="s">
        <v>607</v>
      </c>
      <c r="C121" s="311">
        <f>+E121+G121+I121+K121</f>
        <v>0</v>
      </c>
      <c r="D121" s="262" t="e">
        <f>SUM(F121+H121+J121)</f>
        <v>#DIV/0!</v>
      </c>
      <c r="E121" s="311">
        <f>SUMIFS('Distribución OyA Detalle'!$G:$G,'Distribución OyA Detalle'!$A:$A,1,'Distribución OyA Detalle'!$D:$D,A121)</f>
        <v>0</v>
      </c>
      <c r="F121" s="262" t="e">
        <f>+E121/C121</f>
        <v>#DIV/0!</v>
      </c>
      <c r="G121" s="311">
        <f>SUMIFS('Distribución OyA Detalle'!$G:$G,'Distribución OyA Detalle'!$A:$A,2,'Distribución OyA Detalle'!$D:$D,A121)</f>
        <v>0</v>
      </c>
      <c r="H121" s="262" t="e">
        <f>G121/C121</f>
        <v>#DIV/0!</v>
      </c>
      <c r="I121" s="311">
        <f>SUMIFS('Distribución OyA Detalle'!$G:$G,'Distribución OyA Detalle'!$A:$A,3,'Distribución OyA Detalle'!$D:$D,A121)</f>
        <v>0</v>
      </c>
      <c r="J121" s="262" t="e">
        <f>I121/C121</f>
        <v>#DIV/0!</v>
      </c>
      <c r="K121" s="311">
        <f>SUMIFS('Distribución OyA Detalle'!$G:$G,'Distribución OyA Detalle'!$A:$A,4,'Distribución OyA Detalle'!$D:$D,A121)</f>
        <v>0</v>
      </c>
      <c r="L121" s="712" t="e">
        <f>+K121/C121</f>
        <v>#DIV/0!</v>
      </c>
    </row>
    <row r="122" spans="1:12" ht="15.9" hidden="1" customHeight="1" outlineLevel="1">
      <c r="A122" s="74" t="s">
        <v>608</v>
      </c>
      <c r="B122" s="308" t="s">
        <v>609</v>
      </c>
      <c r="C122" s="311">
        <f>+E122+G122+I122+K122</f>
        <v>0</v>
      </c>
      <c r="D122" s="262" t="e">
        <f>SUM(F122+H122+J122)</f>
        <v>#DIV/0!</v>
      </c>
      <c r="E122" s="311">
        <f>SUMIFS('Distribución OyA Detalle'!$G:$G,'Distribución OyA Detalle'!$A:$A,1,'Distribución OyA Detalle'!$D:$D,A122)</f>
        <v>0</v>
      </c>
      <c r="F122" s="262" t="e">
        <f>+E122/C122</f>
        <v>#DIV/0!</v>
      </c>
      <c r="G122" s="311">
        <f>SUMIFS('Distribución OyA Detalle'!$G:$G,'Distribución OyA Detalle'!$A:$A,2,'Distribución OyA Detalle'!$D:$D,A122)</f>
        <v>0</v>
      </c>
      <c r="H122" s="262" t="e">
        <f>G122/C122</f>
        <v>#DIV/0!</v>
      </c>
      <c r="I122" s="311">
        <f>SUMIFS('Distribución OyA Detalle'!$G:$G,'Distribución OyA Detalle'!$A:$A,3,'Distribución OyA Detalle'!$D:$D,A122)</f>
        <v>0</v>
      </c>
      <c r="J122" s="262" t="e">
        <f>I122/C122</f>
        <v>#DIV/0!</v>
      </c>
      <c r="K122" s="311">
        <f>SUMIFS('Distribución OyA Detalle'!$G:$G,'Distribución OyA Detalle'!$A:$A,4,'Distribución OyA Detalle'!$D:$D,A122)</f>
        <v>0</v>
      </c>
      <c r="L122" s="712" t="e">
        <f>+K122/C122</f>
        <v>#DIV/0!</v>
      </c>
    </row>
    <row r="123" spans="1:12" ht="15.9" customHeight="1" outlineLevel="1">
      <c r="A123" s="74" t="s">
        <v>347</v>
      </c>
      <c r="B123" s="308" t="s">
        <v>348</v>
      </c>
      <c r="C123" s="311">
        <f>+E123+G123+I123+K123</f>
        <v>2340000</v>
      </c>
      <c r="D123" s="262">
        <f>SUM(F123+H123+J123)</f>
        <v>1</v>
      </c>
      <c r="E123" s="311">
        <f>SUMIFS('Distribución OyA Detalle'!$G:$G,'Distribución OyA Detalle'!$A:$A,1,'Distribución OyA Detalle'!$D:$D,A123)</f>
        <v>1990000</v>
      </c>
      <c r="F123" s="262">
        <f>+E123/C123</f>
        <v>0.8504273504273504</v>
      </c>
      <c r="G123" s="311">
        <f>SUMIFS('Distribución OyA Detalle'!$G:$G,'Distribución OyA Detalle'!$A:$A,2,'Distribución OyA Detalle'!$D:$D,A123)</f>
        <v>0</v>
      </c>
      <c r="H123" s="262">
        <f>G123/C123</f>
        <v>0</v>
      </c>
      <c r="I123" s="311">
        <f>SUMIFS('Distribución OyA Detalle'!$G:$G,'Distribución OyA Detalle'!$A:$A,3,'Distribución OyA Detalle'!$D:$D,A123)</f>
        <v>350000</v>
      </c>
      <c r="J123" s="262">
        <f>I123/C123</f>
        <v>0.14957264957264957</v>
      </c>
      <c r="K123" s="311">
        <f>SUMIFS('Distribución OyA Detalle'!$G:$G,'Distribución OyA Detalle'!$A:$A,4,'Distribución OyA Detalle'!$D:$D,A123)</f>
        <v>0</v>
      </c>
      <c r="L123" s="712">
        <f>+K123/C123</f>
        <v>0</v>
      </c>
    </row>
    <row r="124" spans="1:12" ht="9.9" customHeight="1">
      <c r="B124" s="309"/>
      <c r="C124" s="310"/>
      <c r="D124" s="273"/>
      <c r="E124" s="310"/>
      <c r="F124" s="273"/>
      <c r="G124" s="310"/>
      <c r="H124" s="273"/>
      <c r="I124" s="310"/>
      <c r="J124" s="273"/>
      <c r="K124" s="310"/>
      <c r="L124" s="745"/>
    </row>
    <row r="125" spans="1:12" ht="15.9" customHeight="1">
      <c r="B125" s="306" t="s">
        <v>159</v>
      </c>
      <c r="C125" s="307">
        <f>SUM(C127:C132)</f>
        <v>4390000</v>
      </c>
      <c r="D125" s="349">
        <f>SUM(F125+H125+J125)</f>
        <v>1</v>
      </c>
      <c r="E125" s="307">
        <f>SUM(E127:E132)</f>
        <v>4300000</v>
      </c>
      <c r="F125" s="349">
        <f>+E125/C125</f>
        <v>0.97949886104783601</v>
      </c>
      <c r="G125" s="307">
        <f>SUM(G127:G132)</f>
        <v>0</v>
      </c>
      <c r="H125" s="349">
        <f>G125/C125</f>
        <v>0</v>
      </c>
      <c r="I125" s="307">
        <f>SUM(I127:I132)</f>
        <v>90000</v>
      </c>
      <c r="J125" s="349">
        <f>I125/C125</f>
        <v>2.0501138952164009E-2</v>
      </c>
      <c r="K125" s="307">
        <f>SUM(K127:K132)</f>
        <v>0</v>
      </c>
      <c r="L125" s="350">
        <f>+K125/C125</f>
        <v>0</v>
      </c>
    </row>
    <row r="126" spans="1:12" ht="9.9" customHeight="1">
      <c r="B126" s="308"/>
      <c r="C126" s="269"/>
      <c r="D126" s="262"/>
      <c r="E126" s="269"/>
      <c r="F126" s="262"/>
      <c r="G126" s="269"/>
      <c r="H126" s="262"/>
      <c r="I126" s="269"/>
      <c r="J126" s="262"/>
      <c r="K126" s="269"/>
      <c r="L126" s="712"/>
    </row>
    <row r="127" spans="1:12" ht="15.9" hidden="1" customHeight="1">
      <c r="A127" s="74" t="s">
        <v>551</v>
      </c>
      <c r="B127" s="308" t="s">
        <v>552</v>
      </c>
      <c r="C127" s="311">
        <f t="shared" ref="C127:C132" si="31">SUM(E127+G127+I127+K127)</f>
        <v>0</v>
      </c>
      <c r="D127" s="262" t="e">
        <f t="shared" ref="D127:D132" si="32">SUM(F127+H127+J127)</f>
        <v>#DIV/0!</v>
      </c>
      <c r="E127" s="311">
        <f>SUMIFS('Distribución OyA Detalle'!$G:$G,'Distribución OyA Detalle'!$A:$A,1,'Distribución OyA Detalle'!$D:$D,A127)</f>
        <v>0</v>
      </c>
      <c r="F127" s="262" t="e">
        <f t="shared" ref="F127:F132" si="33">+E127/C127</f>
        <v>#DIV/0!</v>
      </c>
      <c r="G127" s="311">
        <f>SUMIFS('Distribución OyA Detalle'!$G:$G,'Distribución OyA Detalle'!$A:$A,2,'Distribución OyA Detalle'!$D:$D,A127)</f>
        <v>0</v>
      </c>
      <c r="H127" s="262" t="e">
        <f t="shared" ref="H127:H132" si="34">G127/C127</f>
        <v>#DIV/0!</v>
      </c>
      <c r="I127" s="311">
        <f>SUMIFS('Distribución OyA Detalle'!$G:$G,'Distribución OyA Detalle'!$A:$A,3,'Distribución OyA Detalle'!$D:$D,A127)</f>
        <v>0</v>
      </c>
      <c r="J127" s="262" t="e">
        <f t="shared" ref="J127:J132" si="35">I127/C127</f>
        <v>#DIV/0!</v>
      </c>
      <c r="K127" s="311">
        <f>SUMIFS('Distribución OyA Detalle'!$G:$G,'Distribución OyA Detalle'!$A:$A,4,'Distribución OyA Detalle'!$D:$D,A127)</f>
        <v>0</v>
      </c>
      <c r="L127" s="712" t="e">
        <f t="shared" ref="L127:L132" si="36">+K127/C127</f>
        <v>#DIV/0!</v>
      </c>
    </row>
    <row r="128" spans="1:12" ht="17.399999999999999">
      <c r="A128" s="74" t="s">
        <v>349</v>
      </c>
      <c r="B128" s="308" t="s">
        <v>350</v>
      </c>
      <c r="C128" s="311">
        <f t="shared" si="31"/>
        <v>500000</v>
      </c>
      <c r="D128" s="262">
        <f t="shared" si="32"/>
        <v>1</v>
      </c>
      <c r="E128" s="311">
        <f>SUMIFS('Distribución OyA Detalle'!$G:$G,'Distribución OyA Detalle'!$A:$A,1,'Distribución OyA Detalle'!$D:$D,A128)</f>
        <v>500000</v>
      </c>
      <c r="F128" s="262">
        <f t="shared" si="33"/>
        <v>1</v>
      </c>
      <c r="G128" s="311">
        <f>SUMIFS('Distribución OyA Detalle'!$G:$G,'Distribución OyA Detalle'!$A:$A,2,'Distribución OyA Detalle'!$D:$D,A128)</f>
        <v>0</v>
      </c>
      <c r="H128" s="262">
        <f t="shared" si="34"/>
        <v>0</v>
      </c>
      <c r="I128" s="311">
        <f>SUMIFS('Distribución OyA Detalle'!$G:$G,'Distribución OyA Detalle'!$A:$A,3,'Distribución OyA Detalle'!$D:$D,A128)</f>
        <v>0</v>
      </c>
      <c r="J128" s="262">
        <f t="shared" si="35"/>
        <v>0</v>
      </c>
      <c r="K128" s="311">
        <f>SUMIFS('Distribución OyA Detalle'!$G:$G,'Distribución OyA Detalle'!$A:$A,4,'Distribución OyA Detalle'!$D:$D,A128)</f>
        <v>0</v>
      </c>
      <c r="L128" s="712">
        <f t="shared" si="36"/>
        <v>0</v>
      </c>
    </row>
    <row r="129" spans="1:12" ht="15.9" hidden="1" customHeight="1">
      <c r="A129" s="74" t="s">
        <v>553</v>
      </c>
      <c r="B129" s="308" t="s">
        <v>554</v>
      </c>
      <c r="C129" s="311">
        <f t="shared" si="31"/>
        <v>0</v>
      </c>
      <c r="D129" s="262" t="e">
        <f t="shared" si="32"/>
        <v>#DIV/0!</v>
      </c>
      <c r="E129" s="311">
        <f>SUMIFS('Distribución OyA Detalle'!$G:$G,'Distribución OyA Detalle'!$A:$A,1,'Distribución OyA Detalle'!$D:$D,A129)</f>
        <v>0</v>
      </c>
      <c r="F129" s="262" t="e">
        <f t="shared" si="33"/>
        <v>#DIV/0!</v>
      </c>
      <c r="G129" s="311">
        <f>SUMIFS('Distribución OyA Detalle'!$G:$G,'Distribución OyA Detalle'!$A:$A,2,'Distribución OyA Detalle'!$D:$D,A129)</f>
        <v>0</v>
      </c>
      <c r="H129" s="262" t="e">
        <f t="shared" si="34"/>
        <v>#DIV/0!</v>
      </c>
      <c r="I129" s="311">
        <f>SUMIFS('Distribución OyA Detalle'!$G:$G,'Distribución OyA Detalle'!$A:$A,3,'Distribución OyA Detalle'!$D:$D,A129)</f>
        <v>0</v>
      </c>
      <c r="J129" s="262" t="e">
        <f t="shared" si="35"/>
        <v>#DIV/0!</v>
      </c>
      <c r="K129" s="311">
        <f>SUMIFS('Distribución OyA Detalle'!$G:$G,'Distribución OyA Detalle'!$A:$A,4,'Distribución OyA Detalle'!$D:$D,A129)</f>
        <v>0</v>
      </c>
      <c r="L129" s="712" t="e">
        <f t="shared" si="36"/>
        <v>#DIV/0!</v>
      </c>
    </row>
    <row r="130" spans="1:12" ht="15.9" hidden="1" customHeight="1">
      <c r="A130" s="74" t="s">
        <v>555</v>
      </c>
      <c r="B130" s="308" t="s">
        <v>556</v>
      </c>
      <c r="C130" s="311">
        <f t="shared" si="31"/>
        <v>0</v>
      </c>
      <c r="D130" s="262" t="e">
        <f t="shared" si="32"/>
        <v>#DIV/0!</v>
      </c>
      <c r="E130" s="311">
        <f>SUMIFS('Distribución OyA Detalle'!$G:$G,'Distribución OyA Detalle'!$A:$A,1,'Distribución OyA Detalle'!$D:$D,A130)</f>
        <v>0</v>
      </c>
      <c r="F130" s="262" t="e">
        <f t="shared" si="33"/>
        <v>#DIV/0!</v>
      </c>
      <c r="G130" s="311">
        <f>SUMIFS('Distribución OyA Detalle'!$G:$G,'Distribución OyA Detalle'!$A:$A,2,'Distribución OyA Detalle'!$D:$D,A130)</f>
        <v>0</v>
      </c>
      <c r="H130" s="262" t="e">
        <f t="shared" si="34"/>
        <v>#DIV/0!</v>
      </c>
      <c r="I130" s="311">
        <f>SUMIFS('Distribución OyA Detalle'!$G:$G,'Distribución OyA Detalle'!$A:$A,3,'Distribución OyA Detalle'!$D:$D,A130)</f>
        <v>0</v>
      </c>
      <c r="J130" s="262" t="e">
        <f t="shared" si="35"/>
        <v>#DIV/0!</v>
      </c>
      <c r="K130" s="311">
        <f>SUMIFS('Distribución OyA Detalle'!$G:$G,'Distribución OyA Detalle'!$A:$A,4,'Distribución OyA Detalle'!$D:$D,A130)</f>
        <v>0</v>
      </c>
      <c r="L130" s="712" t="e">
        <f t="shared" si="36"/>
        <v>#DIV/0!</v>
      </c>
    </row>
    <row r="131" spans="1:12" ht="17.399999999999999" collapsed="1">
      <c r="A131" s="74" t="s">
        <v>160</v>
      </c>
      <c r="B131" s="308" t="s">
        <v>161</v>
      </c>
      <c r="C131" s="311">
        <f t="shared" si="31"/>
        <v>3600000</v>
      </c>
      <c r="D131" s="262">
        <f t="shared" si="32"/>
        <v>1</v>
      </c>
      <c r="E131" s="311">
        <f>SUMIFS('Distribución OyA Detalle'!$G:$G,'Distribución OyA Detalle'!$A:$A,1,'Distribución OyA Detalle'!$D:$D,A131)</f>
        <v>3600000</v>
      </c>
      <c r="F131" s="262">
        <f t="shared" si="33"/>
        <v>1</v>
      </c>
      <c r="G131" s="311">
        <f>SUMIFS('Distribución OyA Detalle'!$G:$G,'Distribución OyA Detalle'!$A:$A,2,'Distribución OyA Detalle'!$D:$D,A131)</f>
        <v>0</v>
      </c>
      <c r="H131" s="262">
        <f t="shared" si="34"/>
        <v>0</v>
      </c>
      <c r="I131" s="311">
        <f>SUMIFS('Distribución OyA Detalle'!$G:$G,'Distribución OyA Detalle'!$A:$A,3,'Distribución OyA Detalle'!$D:$D,A131)</f>
        <v>0</v>
      </c>
      <c r="J131" s="262">
        <f t="shared" si="35"/>
        <v>0</v>
      </c>
      <c r="K131" s="311">
        <f>SUMIFS('Distribución OyA Detalle'!$G:$G,'Distribución OyA Detalle'!$A:$A,4,'Distribución OyA Detalle'!$D:$D,A131)</f>
        <v>0</v>
      </c>
      <c r="L131" s="712">
        <f t="shared" si="36"/>
        <v>0</v>
      </c>
    </row>
    <row r="132" spans="1:12" ht="17.399999999999999">
      <c r="A132" s="74" t="s">
        <v>162</v>
      </c>
      <c r="B132" s="308" t="s">
        <v>557</v>
      </c>
      <c r="C132" s="311">
        <f t="shared" si="31"/>
        <v>290000</v>
      </c>
      <c r="D132" s="262">
        <f t="shared" si="32"/>
        <v>1</v>
      </c>
      <c r="E132" s="311">
        <f>SUMIFS('Distribución OyA Detalle'!$G:$G,'Distribución OyA Detalle'!$A:$A,1,'Distribución OyA Detalle'!$D:$D,A132)</f>
        <v>200000</v>
      </c>
      <c r="F132" s="262">
        <f t="shared" si="33"/>
        <v>0.68965517241379315</v>
      </c>
      <c r="G132" s="311">
        <f>SUMIFS('Distribución OyA Detalle'!$G:$G,'Distribución OyA Detalle'!$A:$A,2,'Distribución OyA Detalle'!$D:$D,A132)</f>
        <v>0</v>
      </c>
      <c r="H132" s="262">
        <f t="shared" si="34"/>
        <v>0</v>
      </c>
      <c r="I132" s="311">
        <f>SUMIFS('Distribución OyA Detalle'!$G:$G,'Distribución OyA Detalle'!$A:$A,3,'Distribución OyA Detalle'!$D:$D,A132)</f>
        <v>90000</v>
      </c>
      <c r="J132" s="262">
        <f t="shared" si="35"/>
        <v>0.31034482758620691</v>
      </c>
      <c r="K132" s="311">
        <f>SUMIFS('Distribución OyA Detalle'!$G:$G,'Distribución OyA Detalle'!$A:$A,4,'Distribución OyA Detalle'!$D:$D,A132)</f>
        <v>0</v>
      </c>
      <c r="L132" s="712">
        <f t="shared" si="36"/>
        <v>0</v>
      </c>
    </row>
    <row r="133" spans="1:12" ht="9.9" customHeight="1">
      <c r="B133" s="1001"/>
      <c r="C133" s="1002"/>
      <c r="D133" s="273"/>
      <c r="E133" s="310"/>
      <c r="F133" s="273"/>
      <c r="G133" s="310"/>
      <c r="H133" s="273"/>
      <c r="I133" s="310"/>
      <c r="J133" s="273"/>
      <c r="K133" s="310"/>
      <c r="L133" s="745"/>
    </row>
    <row r="134" spans="1:12" ht="15.9" customHeight="1">
      <c r="B134" s="317" t="s">
        <v>965</v>
      </c>
      <c r="C134" s="318">
        <f>+C136+C151+C161+C144+C166</f>
        <v>287559424</v>
      </c>
      <c r="D134" s="347">
        <f>F134+H134+J134+L134</f>
        <v>1.0000000000000002</v>
      </c>
      <c r="E134" s="318">
        <f>+E136+E151+E161+E144+E166</f>
        <v>79774781</v>
      </c>
      <c r="F134" s="347">
        <f>+E134/C134</f>
        <v>0.27742015855477581</v>
      </c>
      <c r="G134" s="318">
        <f>+G136+G151+G161+G144+G166</f>
        <v>0</v>
      </c>
      <c r="H134" s="347">
        <f>G134/C134</f>
        <v>0</v>
      </c>
      <c r="I134" s="318">
        <f>+I136+I151+I161+I144+I166</f>
        <v>206784643</v>
      </c>
      <c r="J134" s="347">
        <f>I134/C134</f>
        <v>0.71910229935639325</v>
      </c>
      <c r="K134" s="318">
        <f>+K136+K151+K161+K144+K166</f>
        <v>1000000</v>
      </c>
      <c r="L134" s="348">
        <f>+K134/C134</f>
        <v>3.477542088831003E-3</v>
      </c>
    </row>
    <row r="135" spans="1:12" ht="9.9" customHeight="1">
      <c r="B135" s="308"/>
      <c r="C135" s="269"/>
      <c r="D135" s="262"/>
      <c r="E135" s="269"/>
      <c r="F135" s="262"/>
      <c r="G135" s="269"/>
      <c r="H135" s="262"/>
      <c r="I135" s="269"/>
      <c r="J135" s="262"/>
      <c r="K135" s="269"/>
      <c r="L135" s="712"/>
    </row>
    <row r="136" spans="1:12" ht="15.9" customHeight="1">
      <c r="B136" s="306" t="s">
        <v>165</v>
      </c>
      <c r="C136" s="307">
        <f>SUM(C138:C142)</f>
        <v>209591444</v>
      </c>
      <c r="D136" s="349">
        <f>SUM(F136+H136+J136)</f>
        <v>1</v>
      </c>
      <c r="E136" s="307">
        <f>SUM(E138:E142)</f>
        <v>58794926</v>
      </c>
      <c r="F136" s="349">
        <f>+E136/C136</f>
        <v>0.28052159419255684</v>
      </c>
      <c r="G136" s="307">
        <f>SUM(G138:G142)</f>
        <v>0</v>
      </c>
      <c r="H136" s="349">
        <f>G136/C136</f>
        <v>0</v>
      </c>
      <c r="I136" s="307">
        <f>SUM(I138:I142)</f>
        <v>150796518</v>
      </c>
      <c r="J136" s="349">
        <f>I136/C136</f>
        <v>0.71947840580744316</v>
      </c>
      <c r="K136" s="307">
        <f>SUM(K138:K142)</f>
        <v>0</v>
      </c>
      <c r="L136" s="350">
        <f>+K136/C136</f>
        <v>0</v>
      </c>
    </row>
    <row r="137" spans="1:12" ht="7.95" customHeight="1">
      <c r="B137" s="308"/>
      <c r="C137" s="269"/>
      <c r="D137" s="262"/>
      <c r="E137" s="269"/>
      <c r="F137" s="262"/>
      <c r="G137" s="269"/>
      <c r="H137" s="262"/>
      <c r="I137" s="269"/>
      <c r="J137" s="262"/>
      <c r="K137" s="269"/>
      <c r="L137" s="712"/>
    </row>
    <row r="138" spans="1:12" ht="17.399999999999999" collapsed="1">
      <c r="A138" s="74" t="s">
        <v>166</v>
      </c>
      <c r="B138" s="308" t="s">
        <v>558</v>
      </c>
      <c r="C138" s="311">
        <f t="shared" ref="C138:D142" si="37">SUM(E138+G138+I138+K138)</f>
        <v>193957414</v>
      </c>
      <c r="D138" s="262">
        <f t="shared" si="37"/>
        <v>1</v>
      </c>
      <c r="E138" s="311">
        <f>SUMIFS('Distribución OyA Detalle'!$G:$G,'Distribución OyA Detalle'!$A:$A,1,'Distribución OyA Detalle'!$D:$D,A138)</f>
        <v>53005686</v>
      </c>
      <c r="F138" s="262">
        <f>+E138/C138</f>
        <v>0.27328517588917739</v>
      </c>
      <c r="G138" s="311">
        <f>SUMIFS('Distribución OyA Detalle'!$G:$G,'Distribución OyA Detalle'!$A:$A,2,'Distribución OyA Detalle'!$D:$D,A138)</f>
        <v>0</v>
      </c>
      <c r="H138" s="262">
        <f>G138/C138</f>
        <v>0</v>
      </c>
      <c r="I138" s="311">
        <f>SUMIFS('Distribución OyA Detalle'!$G:$G,'Distribución OyA Detalle'!$A:$A,3,'Distribución OyA Detalle'!$D:$D,A138)</f>
        <v>140951728</v>
      </c>
      <c r="J138" s="262">
        <f>I138/C138</f>
        <v>0.72671482411082255</v>
      </c>
      <c r="K138" s="311">
        <f>SUMIFS('Distribución OyA Detalle'!$G:$G,'Distribución OyA Detalle'!$A:$A,4,'Distribución OyA Detalle'!$D:$D,A138)</f>
        <v>0</v>
      </c>
      <c r="L138" s="712">
        <f>+K138/C138</f>
        <v>0</v>
      </c>
    </row>
    <row r="139" spans="1:12" ht="17.399999999999999">
      <c r="A139" s="74" t="s">
        <v>168</v>
      </c>
      <c r="B139" s="308" t="s">
        <v>559</v>
      </c>
      <c r="C139" s="311">
        <f t="shared" si="37"/>
        <v>10333930</v>
      </c>
      <c r="D139" s="262">
        <f t="shared" si="37"/>
        <v>1</v>
      </c>
      <c r="E139" s="311">
        <f>SUMIFS('Distribución OyA Detalle'!$G:$G,'Distribución OyA Detalle'!$A:$A,1,'Distribución OyA Detalle'!$D:$D,A139)</f>
        <v>551140</v>
      </c>
      <c r="F139" s="262">
        <f>+E139/C139</f>
        <v>5.3333049478755903E-2</v>
      </c>
      <c r="G139" s="311">
        <f>SUMIFS('Distribución OyA Detalle'!$G:$G,'Distribución OyA Detalle'!$A:$A,2,'Distribución OyA Detalle'!$D:$D,A139)</f>
        <v>0</v>
      </c>
      <c r="H139" s="262">
        <f>G139/C139</f>
        <v>0</v>
      </c>
      <c r="I139" s="311">
        <f>SUMIFS('Distribución OyA Detalle'!$G:$G,'Distribución OyA Detalle'!$A:$A,3,'Distribución OyA Detalle'!$D:$D,A139)</f>
        <v>9782790</v>
      </c>
      <c r="J139" s="262">
        <f>I139/C139</f>
        <v>0.94666695052124405</v>
      </c>
      <c r="K139" s="311">
        <f>SUMIFS('Distribución OyA Detalle'!$G:$G,'Distribución OyA Detalle'!$A:$A,4,'Distribución OyA Detalle'!$D:$D,A139)</f>
        <v>0</v>
      </c>
      <c r="L139" s="712">
        <f>+K139/C139</f>
        <v>0</v>
      </c>
    </row>
    <row r="140" spans="1:12" ht="15.9" hidden="1" customHeight="1">
      <c r="A140" s="74" t="s">
        <v>560</v>
      </c>
      <c r="B140" s="308" t="s">
        <v>561</v>
      </c>
      <c r="C140" s="311">
        <f t="shared" si="37"/>
        <v>0</v>
      </c>
      <c r="D140" s="262" t="e">
        <f t="shared" si="37"/>
        <v>#DIV/0!</v>
      </c>
      <c r="E140" s="311">
        <f>SUMIFS('Distribución OyA Detalle'!$G:$G,'Distribución OyA Detalle'!$A:$A,1,'Distribución OyA Detalle'!$D:$D,A140)</f>
        <v>0</v>
      </c>
      <c r="F140" s="262" t="e">
        <f>+E140/C140</f>
        <v>#DIV/0!</v>
      </c>
      <c r="G140" s="311">
        <f>SUMIFS('Distribución OyA Detalle'!$G:$G,'Distribución OyA Detalle'!$A:$A,2,'Distribución OyA Detalle'!$D:$D,A140)</f>
        <v>0</v>
      </c>
      <c r="H140" s="262" t="e">
        <f>G140/C140</f>
        <v>#DIV/0!</v>
      </c>
      <c r="I140" s="311">
        <f>SUMIFS('Distribución OyA Detalle'!$G:$G,'Distribución OyA Detalle'!$A:$A,3,'Distribución OyA Detalle'!$D:$D,A140)</f>
        <v>0</v>
      </c>
      <c r="J140" s="262" t="e">
        <f>I140/C140</f>
        <v>#DIV/0!</v>
      </c>
      <c r="K140" s="311">
        <f>SUMIFS('Distribución OyA Detalle'!$G:$G,'Distribución OyA Detalle'!$A:$A,4,'Distribución OyA Detalle'!$D:$D,A140)</f>
        <v>0</v>
      </c>
      <c r="L140" s="712" t="e">
        <f>+K140/C140</f>
        <v>#DIV/0!</v>
      </c>
    </row>
    <row r="141" spans="1:12" ht="17.399999999999999">
      <c r="A141" s="74" t="s">
        <v>170</v>
      </c>
      <c r="B141" s="308" t="s">
        <v>562</v>
      </c>
      <c r="C141" s="311">
        <f t="shared" si="37"/>
        <v>5300100</v>
      </c>
      <c r="D141" s="262">
        <f t="shared" si="37"/>
        <v>1</v>
      </c>
      <c r="E141" s="311">
        <f>SUMIFS('Distribución OyA Detalle'!$G:$G,'Distribución OyA Detalle'!$A:$A,1,'Distribución OyA Detalle'!$D:$D,A141)</f>
        <v>5238100</v>
      </c>
      <c r="F141" s="262">
        <f>+E141/C141</f>
        <v>0.98830210750740555</v>
      </c>
      <c r="G141" s="311">
        <f>SUMIFS('Distribución OyA Detalle'!$G:$G,'Distribución OyA Detalle'!$A:$A,2,'Distribución OyA Detalle'!$D:$D,A141)</f>
        <v>0</v>
      </c>
      <c r="H141" s="262">
        <f>G141/C141</f>
        <v>0</v>
      </c>
      <c r="I141" s="311">
        <f>SUMIFS('Distribución OyA Detalle'!$G:$G,'Distribución OyA Detalle'!$A:$A,3,'Distribución OyA Detalle'!$D:$D,A141)</f>
        <v>62000</v>
      </c>
      <c r="J141" s="262">
        <f>I141/C141</f>
        <v>1.1697892492594479E-2</v>
      </c>
      <c r="K141" s="311">
        <f>SUMIFS('Distribución OyA Detalle'!$G:$G,'Distribución OyA Detalle'!$A:$A,4,'Distribución OyA Detalle'!$D:$D,A141)</f>
        <v>0</v>
      </c>
      <c r="L141" s="712">
        <f>+K141/C141</f>
        <v>0</v>
      </c>
    </row>
    <row r="142" spans="1:12" ht="15.9" hidden="1" customHeight="1">
      <c r="A142" s="74" t="s">
        <v>172</v>
      </c>
      <c r="B142" s="308" t="s">
        <v>563</v>
      </c>
      <c r="C142" s="311">
        <f t="shared" si="37"/>
        <v>0</v>
      </c>
      <c r="D142" s="262" t="e">
        <f t="shared" si="37"/>
        <v>#DIV/0!</v>
      </c>
      <c r="E142" s="311">
        <f>SUMIFS('Distribución OyA Detalle'!$G:$G,'Distribución OyA Detalle'!$A:$A,1,'Distribución OyA Detalle'!$D:$D,A142)</f>
        <v>0</v>
      </c>
      <c r="F142" s="262" t="e">
        <f>+E142/C142</f>
        <v>#DIV/0!</v>
      </c>
      <c r="G142" s="311">
        <f>SUMIFS('Distribución OyA Detalle'!$G:$G,'Distribución OyA Detalle'!$A:$A,2,'Distribución OyA Detalle'!$D:$D,A142)</f>
        <v>0</v>
      </c>
      <c r="H142" s="262" t="e">
        <f>G142/C142</f>
        <v>#DIV/0!</v>
      </c>
      <c r="I142" s="311">
        <f>SUMIFS('Distribución OyA Detalle'!$G:$G,'Distribución OyA Detalle'!$A:$A,3,'Distribución OyA Detalle'!$D:$D,A142)</f>
        <v>0</v>
      </c>
      <c r="J142" s="262" t="e">
        <f>I142/C142</f>
        <v>#DIV/0!</v>
      </c>
      <c r="K142" s="311">
        <f>SUMIFS('Distribución OyA Detalle'!$G:$G,'Distribución OyA Detalle'!$A:$A,4,'Distribución OyA Detalle'!$D:$D,A142)</f>
        <v>0</v>
      </c>
      <c r="L142" s="712" t="e">
        <f>+K142/C142</f>
        <v>#DIV/0!</v>
      </c>
    </row>
    <row r="143" spans="1:12" ht="7.95" customHeight="1">
      <c r="B143" s="308"/>
      <c r="C143" s="269"/>
      <c r="D143" s="262"/>
      <c r="E143" s="269"/>
      <c r="F143" s="262"/>
      <c r="G143" s="269"/>
      <c r="H143" s="262"/>
      <c r="I143" s="269"/>
      <c r="J143" s="262"/>
      <c r="K143" s="269"/>
      <c r="L143" s="712"/>
    </row>
    <row r="144" spans="1:12" ht="15.9" hidden="1" customHeight="1">
      <c r="B144" s="306" t="s">
        <v>299</v>
      </c>
      <c r="C144" s="307">
        <f>SUM(C145:C149)</f>
        <v>0</v>
      </c>
      <c r="D144" s="349">
        <f>SUM(C144/$C$13)</f>
        <v>0</v>
      </c>
      <c r="E144" s="307">
        <f>SUM(E145:E149)</f>
        <v>0</v>
      </c>
      <c r="F144" s="349" t="e">
        <f>+E144/C144</f>
        <v>#DIV/0!</v>
      </c>
      <c r="G144" s="307">
        <f>SUM(G145:G149)</f>
        <v>0</v>
      </c>
      <c r="H144" s="349" t="e">
        <f>+G144/C144</f>
        <v>#DIV/0!</v>
      </c>
      <c r="I144" s="307">
        <f>SUM(I145:I149)</f>
        <v>0</v>
      </c>
      <c r="J144" s="738" t="e">
        <f>+I144/C144</f>
        <v>#DIV/0!</v>
      </c>
      <c r="K144" s="307">
        <f>SUM(K145:K149)</f>
        <v>0</v>
      </c>
      <c r="L144" s="350" t="e">
        <f>+K144/C144</f>
        <v>#DIV/0!</v>
      </c>
    </row>
    <row r="145" spans="1:12" ht="7.95" hidden="1" customHeight="1">
      <c r="B145" s="308"/>
      <c r="C145" s="269"/>
      <c r="D145" s="262"/>
      <c r="E145" s="269"/>
      <c r="F145" s="262"/>
      <c r="G145" s="269"/>
      <c r="H145" s="262"/>
      <c r="I145" s="269"/>
      <c r="J145" s="739"/>
      <c r="K145" s="269"/>
      <c r="L145" s="748"/>
    </row>
    <row r="146" spans="1:12" ht="15.9" hidden="1" customHeight="1">
      <c r="A146" s="74" t="s">
        <v>564</v>
      </c>
      <c r="B146" s="308" t="s">
        <v>565</v>
      </c>
      <c r="C146" s="311">
        <f t="shared" ref="C146:D149" si="38">SUM(E146+G146+I146+K146)</f>
        <v>0</v>
      </c>
      <c r="D146" s="262" t="e">
        <f t="shared" si="38"/>
        <v>#DIV/0!</v>
      </c>
      <c r="E146" s="311">
        <f>SUMIFS('Distribución OyA Detalle'!$G:$G,'Distribución OyA Detalle'!$A:$A,1,'Distribución OyA Detalle'!$D:$D,A146)</f>
        <v>0</v>
      </c>
      <c r="F146" s="262" t="e">
        <f>+E146/C146</f>
        <v>#DIV/0!</v>
      </c>
      <c r="G146" s="311">
        <f>SUMIFS('Distribución OyA Detalle'!$G:$G,'Distribución OyA Detalle'!$A:$A,2,'Distribución OyA Detalle'!$D:$D,A146)</f>
        <v>0</v>
      </c>
      <c r="H146" s="262" t="e">
        <f>G146/C146</f>
        <v>#DIV/0!</v>
      </c>
      <c r="I146" s="311">
        <f>SUMIFS('Distribución OyA Detalle'!$G:$G,'Distribución OyA Detalle'!$A:$A,3,'Distribución OyA Detalle'!$D:$D,A146)</f>
        <v>0</v>
      </c>
      <c r="J146" s="262" t="e">
        <f>I146/C146</f>
        <v>#DIV/0!</v>
      </c>
      <c r="K146" s="311">
        <f>SUMIFS('Distribución OyA Detalle'!$G:$G,'Distribución OyA Detalle'!$A:$A,4,'Distribución OyA Detalle'!$D:$D,A146)</f>
        <v>0</v>
      </c>
      <c r="L146" s="712" t="e">
        <f>+K146/C146</f>
        <v>#DIV/0!</v>
      </c>
    </row>
    <row r="147" spans="1:12" ht="15.9" hidden="1" customHeight="1">
      <c r="A147" s="74" t="s">
        <v>566</v>
      </c>
      <c r="B147" s="308" t="s">
        <v>567</v>
      </c>
      <c r="C147" s="311">
        <f t="shared" si="38"/>
        <v>0</v>
      </c>
      <c r="D147" s="262" t="e">
        <f t="shared" si="38"/>
        <v>#DIV/0!</v>
      </c>
      <c r="E147" s="311">
        <f>SUMIFS('Distribución OyA Detalle'!$G:$G,'Distribución OyA Detalle'!$A:$A,1,'Distribución OyA Detalle'!$D:$D,A147)</f>
        <v>0</v>
      </c>
      <c r="F147" s="262" t="e">
        <f>+E147/C147</f>
        <v>#DIV/0!</v>
      </c>
      <c r="G147" s="311">
        <f>SUMIFS('Distribución OyA Detalle'!$G:$G,'Distribución OyA Detalle'!$A:$A,2,'Distribución OyA Detalle'!$D:$D,A147)</f>
        <v>0</v>
      </c>
      <c r="H147" s="262" t="e">
        <f>G147/C147</f>
        <v>#DIV/0!</v>
      </c>
      <c r="I147" s="311">
        <f>SUMIFS('Distribución OyA Detalle'!$G:$G,'Distribución OyA Detalle'!$A:$A,3,'Distribución OyA Detalle'!$D:$D,A147)</f>
        <v>0</v>
      </c>
      <c r="J147" s="262" t="e">
        <f>I147/C147</f>
        <v>#DIV/0!</v>
      </c>
      <c r="K147" s="311">
        <f>SUMIFS('Distribución OyA Detalle'!$G:$G,'Distribución OyA Detalle'!$A:$A,4,'Distribución OyA Detalle'!$D:$D,A147)</f>
        <v>0</v>
      </c>
      <c r="L147" s="712" t="e">
        <f>+K147/C147</f>
        <v>#DIV/0!</v>
      </c>
    </row>
    <row r="148" spans="1:12" ht="15.9" hidden="1" customHeight="1">
      <c r="A148" s="74" t="s">
        <v>300</v>
      </c>
      <c r="B148" s="308" t="s">
        <v>310</v>
      </c>
      <c r="C148" s="311">
        <f t="shared" si="38"/>
        <v>0</v>
      </c>
      <c r="D148" s="262" t="e">
        <f t="shared" si="38"/>
        <v>#DIV/0!</v>
      </c>
      <c r="E148" s="311">
        <f>SUMIFS('Distribución OyA Detalle'!$G:$G,'Distribución OyA Detalle'!$A:$A,1,'Distribución OyA Detalle'!$D:$D,A148)</f>
        <v>0</v>
      </c>
      <c r="F148" s="262" t="e">
        <f>+E148/C148</f>
        <v>#DIV/0!</v>
      </c>
      <c r="G148" s="311">
        <f>SUMIFS('Distribución OyA Detalle'!$G:$G,'Distribución OyA Detalle'!$A:$A,2,'Distribución OyA Detalle'!$D:$D,A148)</f>
        <v>0</v>
      </c>
      <c r="H148" s="262" t="e">
        <f>G148/C148</f>
        <v>#DIV/0!</v>
      </c>
      <c r="I148" s="311">
        <f>SUMIFS('Distribución OyA Detalle'!$G:$G,'Distribución OyA Detalle'!$A:$A,3,'Distribución OyA Detalle'!$D:$D,A148)</f>
        <v>0</v>
      </c>
      <c r="J148" s="262" t="e">
        <f>I148/C148</f>
        <v>#DIV/0!</v>
      </c>
      <c r="K148" s="311">
        <f>SUMIFS('Distribución OyA Detalle'!$G:$G,'Distribución OyA Detalle'!$A:$A,4,'Distribución OyA Detalle'!$D:$D,A148)</f>
        <v>0</v>
      </c>
      <c r="L148" s="712" t="e">
        <f>+K148/C148</f>
        <v>#DIV/0!</v>
      </c>
    </row>
    <row r="149" spans="1:12" ht="15.9" hidden="1" customHeight="1">
      <c r="A149" s="74" t="s">
        <v>568</v>
      </c>
      <c r="B149" s="308" t="s">
        <v>569</v>
      </c>
      <c r="C149" s="311">
        <f t="shared" si="38"/>
        <v>0</v>
      </c>
      <c r="D149" s="262" t="e">
        <f t="shared" si="38"/>
        <v>#DIV/0!</v>
      </c>
      <c r="E149" s="311">
        <f>SUMIFS('Distribución OyA Detalle'!$G:$G,'Distribución OyA Detalle'!$A:$A,1,'Distribución OyA Detalle'!$D:$D,A149)</f>
        <v>0</v>
      </c>
      <c r="F149" s="262" t="e">
        <f>+E149/C149</f>
        <v>#DIV/0!</v>
      </c>
      <c r="G149" s="311">
        <f>SUMIFS('Distribución OyA Detalle'!$G:$G,'Distribución OyA Detalle'!$A:$A,2,'Distribución OyA Detalle'!$D:$D,A149)</f>
        <v>0</v>
      </c>
      <c r="H149" s="262" t="e">
        <f>G149/C149</f>
        <v>#DIV/0!</v>
      </c>
      <c r="I149" s="311">
        <f>SUMIFS('Distribución OyA Detalle'!$G:$G,'Distribución OyA Detalle'!$A:$A,3,'Distribución OyA Detalle'!$D:$D,A149)</f>
        <v>0</v>
      </c>
      <c r="J149" s="262" t="e">
        <f>I149/C149</f>
        <v>#DIV/0!</v>
      </c>
      <c r="K149" s="311">
        <f>SUMIFS('Distribución OyA Detalle'!$G:$G,'Distribución OyA Detalle'!$A:$A,4,'Distribución OyA Detalle'!$D:$D,A149)</f>
        <v>0</v>
      </c>
      <c r="L149" s="712" t="e">
        <f>+K149/C149</f>
        <v>#DIV/0!</v>
      </c>
    </row>
    <row r="150" spans="1:12" ht="9.9" hidden="1" customHeight="1">
      <c r="B150" s="308"/>
      <c r="C150" s="269"/>
      <c r="D150" s="262"/>
      <c r="E150" s="269"/>
      <c r="F150" s="262"/>
      <c r="G150" s="269"/>
      <c r="H150" s="262"/>
      <c r="I150" s="269"/>
      <c r="J150" s="262"/>
      <c r="K150" s="269"/>
      <c r="L150" s="712"/>
    </row>
    <row r="151" spans="1:12" ht="15.9" customHeight="1">
      <c r="B151" s="306" t="s">
        <v>570</v>
      </c>
      <c r="C151" s="307">
        <f>SUM(C153:C159)</f>
        <v>3830320</v>
      </c>
      <c r="D151" s="349">
        <f>SUM(F151+H151+J151)</f>
        <v>1</v>
      </c>
      <c r="E151" s="307">
        <f>SUM(E153:E159)</f>
        <v>571000</v>
      </c>
      <c r="F151" s="349">
        <f>+E151/C151</f>
        <v>0.14907370663547692</v>
      </c>
      <c r="G151" s="307">
        <f>SUM(G153:G159)</f>
        <v>0</v>
      </c>
      <c r="H151" s="349">
        <f>G151/C151</f>
        <v>0</v>
      </c>
      <c r="I151" s="307">
        <f>SUM(I153:I159)</f>
        <v>3259320</v>
      </c>
      <c r="J151" s="349">
        <f>I151/C151</f>
        <v>0.85092629336452308</v>
      </c>
      <c r="K151" s="307">
        <f>SUM(K153:K159)</f>
        <v>0</v>
      </c>
      <c r="L151" s="350">
        <f>+K151/C151</f>
        <v>0</v>
      </c>
    </row>
    <row r="152" spans="1:12" ht="9.9" customHeight="1">
      <c r="B152" s="308"/>
      <c r="C152" s="269"/>
      <c r="D152" s="262"/>
      <c r="E152" s="269"/>
      <c r="F152" s="262"/>
      <c r="G152" s="269"/>
      <c r="H152" s="262"/>
      <c r="I152" s="269"/>
      <c r="J152" s="262"/>
      <c r="K152" s="269"/>
      <c r="L152" s="712"/>
    </row>
    <row r="153" spans="1:12" ht="15.9" hidden="1" customHeight="1" collapsed="1">
      <c r="A153" s="74" t="s">
        <v>174</v>
      </c>
      <c r="B153" s="308" t="s">
        <v>571</v>
      </c>
      <c r="C153" s="311">
        <f t="shared" ref="C153:C159" si="39">SUM(E153+G153+I153+K153)</f>
        <v>0</v>
      </c>
      <c r="D153" s="262" t="e">
        <f t="shared" ref="D153:D159" si="40">SUM(F153+H153+J153+L153)</f>
        <v>#DIV/0!</v>
      </c>
      <c r="E153" s="311">
        <f>SUMIFS('Distribución OyA Detalle'!$G:$G,'Distribución OyA Detalle'!$A:$A,1,'Distribución OyA Detalle'!$D:$D,A153)</f>
        <v>0</v>
      </c>
      <c r="F153" s="262" t="e">
        <f t="shared" ref="F153:F159" si="41">+E153/C153</f>
        <v>#DIV/0!</v>
      </c>
      <c r="G153" s="311">
        <f>SUMIFS('Distribución OyA Detalle'!$G:$G,'Distribución OyA Detalle'!$A:$A,2,'Distribución OyA Detalle'!$D:$D,A153)</f>
        <v>0</v>
      </c>
      <c r="H153" s="262" t="e">
        <f t="shared" ref="H153:H159" si="42">G153/C153</f>
        <v>#DIV/0!</v>
      </c>
      <c r="I153" s="311">
        <f>SUMIFS('Distribución OyA Detalle'!$G:$G,'Distribución OyA Detalle'!$A:$A,3,'Distribución OyA Detalle'!$D:$D,A153)</f>
        <v>0</v>
      </c>
      <c r="J153" s="262" t="e">
        <f t="shared" ref="J153:J159" si="43">I153/C153</f>
        <v>#DIV/0!</v>
      </c>
      <c r="K153" s="311">
        <f>SUMIFS('Distribución OyA Detalle'!$G:$G,'Distribución OyA Detalle'!$A:$A,4,'Distribución OyA Detalle'!$D:$D,A153)</f>
        <v>0</v>
      </c>
      <c r="L153" s="712" t="e">
        <f t="shared" ref="L153:L159" si="44">+K153/C153</f>
        <v>#DIV/0!</v>
      </c>
    </row>
    <row r="154" spans="1:12" ht="15.9" hidden="1" customHeight="1">
      <c r="A154" s="74" t="s">
        <v>572</v>
      </c>
      <c r="B154" s="308" t="s">
        <v>573</v>
      </c>
      <c r="C154" s="311">
        <f t="shared" si="39"/>
        <v>0</v>
      </c>
      <c r="D154" s="262" t="e">
        <f t="shared" si="40"/>
        <v>#DIV/0!</v>
      </c>
      <c r="E154" s="311">
        <f>SUMIFS('Distribución OyA Detalle'!$G:$G,'Distribución OyA Detalle'!$A:$A,1,'Distribución OyA Detalle'!$D:$D,A154)</f>
        <v>0</v>
      </c>
      <c r="F154" s="262" t="e">
        <f t="shared" si="41"/>
        <v>#DIV/0!</v>
      </c>
      <c r="G154" s="311">
        <f>SUMIFS('Distribución OyA Detalle'!$G:$G,'Distribución OyA Detalle'!$A:$A,2,'Distribución OyA Detalle'!$D:$D,A154)</f>
        <v>0</v>
      </c>
      <c r="H154" s="262" t="e">
        <f t="shared" si="42"/>
        <v>#DIV/0!</v>
      </c>
      <c r="I154" s="311">
        <f>SUMIFS('Distribución OyA Detalle'!$G:$G,'Distribución OyA Detalle'!$A:$A,3,'Distribución OyA Detalle'!$D:$D,A154)</f>
        <v>0</v>
      </c>
      <c r="J154" s="262" t="e">
        <f t="shared" si="43"/>
        <v>#DIV/0!</v>
      </c>
      <c r="K154" s="311">
        <f>SUMIFS('Distribución OyA Detalle'!$G:$G,'Distribución OyA Detalle'!$A:$A,4,'Distribución OyA Detalle'!$D:$D,A154)</f>
        <v>0</v>
      </c>
      <c r="L154" s="712" t="e">
        <f t="shared" si="44"/>
        <v>#DIV/0!</v>
      </c>
    </row>
    <row r="155" spans="1:12" ht="15.9" hidden="1" customHeight="1" outlineLevel="1">
      <c r="A155" s="74" t="s">
        <v>176</v>
      </c>
      <c r="B155" s="308" t="s">
        <v>177</v>
      </c>
      <c r="C155" s="311">
        <f t="shared" si="39"/>
        <v>0</v>
      </c>
      <c r="D155" s="262" t="e">
        <f t="shared" si="40"/>
        <v>#DIV/0!</v>
      </c>
      <c r="E155" s="311">
        <f>SUMIFS('Distribución OyA Detalle'!$G:$G,'Distribución OyA Detalle'!$A:$A,1,'Distribución OyA Detalle'!$D:$D,A155)</f>
        <v>0</v>
      </c>
      <c r="F155" s="262" t="e">
        <f t="shared" si="41"/>
        <v>#DIV/0!</v>
      </c>
      <c r="G155" s="311">
        <f>SUMIFS('Distribución OyA Detalle'!$G:$G,'Distribución OyA Detalle'!$A:$A,2,'Distribución OyA Detalle'!$D:$D,A155)</f>
        <v>0</v>
      </c>
      <c r="H155" s="262" t="e">
        <f t="shared" si="42"/>
        <v>#DIV/0!</v>
      </c>
      <c r="I155" s="311">
        <f>SUMIFS('Distribución OyA Detalle'!$G:$G,'Distribución OyA Detalle'!$A:$A,3,'Distribución OyA Detalle'!$D:$D,A155)</f>
        <v>0</v>
      </c>
      <c r="J155" s="262" t="e">
        <f t="shared" si="43"/>
        <v>#DIV/0!</v>
      </c>
      <c r="K155" s="311">
        <f>SUMIFS('Distribución OyA Detalle'!$G:$G,'Distribución OyA Detalle'!$A:$A,4,'Distribución OyA Detalle'!$D:$D,A155)</f>
        <v>0</v>
      </c>
      <c r="L155" s="712" t="e">
        <f t="shared" si="44"/>
        <v>#DIV/0!</v>
      </c>
    </row>
    <row r="156" spans="1:12" ht="15.9" customHeight="1" collapsed="1">
      <c r="A156" s="74" t="s">
        <v>178</v>
      </c>
      <c r="B156" s="308" t="s">
        <v>574</v>
      </c>
      <c r="C156" s="311">
        <f t="shared" si="39"/>
        <v>3830320</v>
      </c>
      <c r="D156" s="262">
        <f t="shared" si="40"/>
        <v>1</v>
      </c>
      <c r="E156" s="311">
        <f>SUMIFS('Distribución OyA Detalle'!$G:$G,'Distribución OyA Detalle'!$A:$A,1,'Distribución OyA Detalle'!$D:$D,A156)</f>
        <v>571000</v>
      </c>
      <c r="F156" s="262">
        <f t="shared" si="41"/>
        <v>0.14907370663547692</v>
      </c>
      <c r="G156" s="311">
        <f>SUMIFS('Distribución OyA Detalle'!$G:$G,'Distribución OyA Detalle'!$A:$A,2,'Distribución OyA Detalle'!$D:$D,A156)</f>
        <v>0</v>
      </c>
      <c r="H156" s="262">
        <f t="shared" si="42"/>
        <v>0</v>
      </c>
      <c r="I156" s="311">
        <f>SUMIFS('Distribución OyA Detalle'!$G:$G,'Distribución OyA Detalle'!$A:$A,3,'Distribución OyA Detalle'!$D:$D,A156)</f>
        <v>3259320</v>
      </c>
      <c r="J156" s="262">
        <f t="shared" si="43"/>
        <v>0.85092629336452308</v>
      </c>
      <c r="K156" s="311">
        <f>SUMIFS('Distribución OyA Detalle'!$G:$G,'Distribución OyA Detalle'!$A:$A,4,'Distribución OyA Detalle'!$D:$D,A156)</f>
        <v>0</v>
      </c>
      <c r="L156" s="712">
        <f t="shared" si="44"/>
        <v>0</v>
      </c>
    </row>
    <row r="157" spans="1:12" ht="15.9" hidden="1" customHeight="1">
      <c r="A157" s="74" t="s">
        <v>180</v>
      </c>
      <c r="B157" s="308" t="s">
        <v>575</v>
      </c>
      <c r="C157" s="311">
        <f t="shared" si="39"/>
        <v>0</v>
      </c>
      <c r="D157" s="262" t="e">
        <f t="shared" si="40"/>
        <v>#DIV/0!</v>
      </c>
      <c r="E157" s="311">
        <f>SUMIFS('Distribución OyA Detalle'!$G:$G,'Distribución OyA Detalle'!$A:$A,1,'Distribución OyA Detalle'!$D:$D,A157)</f>
        <v>0</v>
      </c>
      <c r="F157" s="262" t="e">
        <f t="shared" si="41"/>
        <v>#DIV/0!</v>
      </c>
      <c r="G157" s="311">
        <f>SUMIFS('Distribución OyA Detalle'!$G:$G,'Distribución OyA Detalle'!$A:$A,2,'Distribución OyA Detalle'!$D:$D,A157)</f>
        <v>0</v>
      </c>
      <c r="H157" s="262" t="e">
        <f t="shared" si="42"/>
        <v>#DIV/0!</v>
      </c>
      <c r="I157" s="311">
        <f>SUMIFS('Distribución OyA Detalle'!$G:$G,'Distribución OyA Detalle'!$A:$A,3,'Distribución OyA Detalle'!$D:$D,A157)</f>
        <v>0</v>
      </c>
      <c r="J157" s="262" t="e">
        <f t="shared" si="43"/>
        <v>#DIV/0!</v>
      </c>
      <c r="K157" s="311">
        <f>SUMIFS('Distribución OyA Detalle'!$G:$G,'Distribución OyA Detalle'!$A:$A,4,'Distribución OyA Detalle'!$D:$D,A157)</f>
        <v>0</v>
      </c>
      <c r="L157" s="712" t="e">
        <f t="shared" si="44"/>
        <v>#DIV/0!</v>
      </c>
    </row>
    <row r="158" spans="1:12" ht="15.9" hidden="1" customHeight="1">
      <c r="A158" s="74" t="s">
        <v>182</v>
      </c>
      <c r="B158" s="308" t="s">
        <v>576</v>
      </c>
      <c r="C158" s="311">
        <f t="shared" si="39"/>
        <v>0</v>
      </c>
      <c r="D158" s="262" t="e">
        <f t="shared" si="40"/>
        <v>#DIV/0!</v>
      </c>
      <c r="E158" s="311">
        <f>SUMIFS('Distribución OyA Detalle'!$G:$G,'Distribución OyA Detalle'!$A:$A,1,'Distribución OyA Detalle'!$D:$D,A158)</f>
        <v>0</v>
      </c>
      <c r="F158" s="262" t="e">
        <f t="shared" si="41"/>
        <v>#DIV/0!</v>
      </c>
      <c r="G158" s="311">
        <f>SUMIFS('Distribución OyA Detalle'!$G:$G,'Distribución OyA Detalle'!$A:$A,2,'Distribución OyA Detalle'!$D:$D,A158)</f>
        <v>0</v>
      </c>
      <c r="H158" s="262" t="e">
        <f t="shared" si="42"/>
        <v>#DIV/0!</v>
      </c>
      <c r="I158" s="311">
        <f>SUMIFS('Distribución OyA Detalle'!$G:$G,'Distribución OyA Detalle'!$A:$A,3,'Distribución OyA Detalle'!$D:$D,A158)</f>
        <v>0</v>
      </c>
      <c r="J158" s="262" t="e">
        <f t="shared" si="43"/>
        <v>#DIV/0!</v>
      </c>
      <c r="K158" s="311">
        <f>SUMIFS('Distribución OyA Detalle'!$G:$G,'Distribución OyA Detalle'!$A:$A,4,'Distribución OyA Detalle'!$D:$D,A158)</f>
        <v>0</v>
      </c>
      <c r="L158" s="712" t="e">
        <f t="shared" si="44"/>
        <v>#DIV/0!</v>
      </c>
    </row>
    <row r="159" spans="1:12" ht="15.9" hidden="1" customHeight="1" collapsed="1">
      <c r="A159" s="74" t="s">
        <v>184</v>
      </c>
      <c r="B159" s="308" t="s">
        <v>577</v>
      </c>
      <c r="C159" s="311">
        <f t="shared" si="39"/>
        <v>0</v>
      </c>
      <c r="D159" s="262" t="e">
        <f t="shared" si="40"/>
        <v>#DIV/0!</v>
      </c>
      <c r="E159" s="311">
        <f>SUMIFS('Distribución OyA Detalle'!$G:$G,'Distribución OyA Detalle'!$A:$A,1,'Distribución OyA Detalle'!$D:$D,A159)</f>
        <v>0</v>
      </c>
      <c r="F159" s="262" t="e">
        <f t="shared" si="41"/>
        <v>#DIV/0!</v>
      </c>
      <c r="G159" s="311">
        <f>SUMIFS('Distribución OyA Detalle'!$G:$G,'Distribución OyA Detalle'!$A:$A,2,'Distribución OyA Detalle'!$D:$D,A159)</f>
        <v>0</v>
      </c>
      <c r="H159" s="262" t="e">
        <f t="shared" si="42"/>
        <v>#DIV/0!</v>
      </c>
      <c r="I159" s="311">
        <f>SUMIFS('Distribución OyA Detalle'!$G:$G,'Distribución OyA Detalle'!$A:$A,3,'Distribución OyA Detalle'!$D:$D,A159)</f>
        <v>0</v>
      </c>
      <c r="J159" s="262" t="e">
        <f t="shared" si="43"/>
        <v>#DIV/0!</v>
      </c>
      <c r="K159" s="311">
        <f>SUMIFS('Distribución OyA Detalle'!$G:$G,'Distribución OyA Detalle'!$A:$A,4,'Distribución OyA Detalle'!$D:$D,A159)</f>
        <v>0</v>
      </c>
      <c r="L159" s="712" t="e">
        <f t="shared" si="44"/>
        <v>#DIV/0!</v>
      </c>
    </row>
    <row r="160" spans="1:12" ht="9.9" customHeight="1">
      <c r="B160" s="309"/>
      <c r="C160" s="310"/>
      <c r="D160" s="273"/>
      <c r="E160" s="310"/>
      <c r="F160" s="273"/>
      <c r="G160" s="310"/>
      <c r="H160" s="273"/>
      <c r="I160" s="310"/>
      <c r="J160" s="273"/>
      <c r="K160" s="310"/>
      <c r="L160" s="745"/>
    </row>
    <row r="161" spans="1:12" ht="15.9" customHeight="1">
      <c r="B161" s="306" t="s">
        <v>186</v>
      </c>
      <c r="C161" s="307">
        <f>SUM(C163:C164)</f>
        <v>19949275</v>
      </c>
      <c r="D161" s="349">
        <f>SUM(F161+H161+J161)</f>
        <v>1</v>
      </c>
      <c r="E161" s="307">
        <f>SUM(E163:E164)</f>
        <v>4713055</v>
      </c>
      <c r="F161" s="349">
        <f>+E161/C161</f>
        <v>0.23625194399295213</v>
      </c>
      <c r="G161" s="307">
        <f>SUM(G163:G164)</f>
        <v>0</v>
      </c>
      <c r="H161" s="349">
        <f>G161/C161</f>
        <v>0</v>
      </c>
      <c r="I161" s="307">
        <f>SUM(I163:I164)</f>
        <v>15236220</v>
      </c>
      <c r="J161" s="349">
        <f>I161/C161</f>
        <v>0.76374805600704787</v>
      </c>
      <c r="K161" s="307">
        <f>SUM(K163:K164)</f>
        <v>0</v>
      </c>
      <c r="L161" s="350">
        <f>+K161/C161</f>
        <v>0</v>
      </c>
    </row>
    <row r="162" spans="1:12" ht="9.9" customHeight="1">
      <c r="B162" s="308"/>
      <c r="C162" s="269"/>
      <c r="D162" s="262"/>
      <c r="E162" s="269"/>
      <c r="F162" s="262"/>
      <c r="G162" s="269"/>
      <c r="H162" s="262"/>
      <c r="I162" s="269"/>
      <c r="J162" s="262"/>
      <c r="K162" s="269"/>
      <c r="L162" s="712"/>
    </row>
    <row r="163" spans="1:12" ht="15.9" hidden="1" customHeight="1" collapsed="1">
      <c r="A163" s="74" t="s">
        <v>187</v>
      </c>
      <c r="B163" s="308" t="s">
        <v>578</v>
      </c>
      <c r="C163" s="311">
        <f>SUM(E163+G163+I163+K163)</f>
        <v>0</v>
      </c>
      <c r="D163" s="262" t="e">
        <f>SUM(F163+H163+J163+L163)</f>
        <v>#DIV/0!</v>
      </c>
      <c r="E163" s="311">
        <f>SUMIFS('Distribución OyA Detalle'!$G:$G,'Distribución OyA Detalle'!$A:$A,1,'Distribución OyA Detalle'!$D:$D,A163)</f>
        <v>0</v>
      </c>
      <c r="F163" s="262" t="e">
        <f>+E163/C163</f>
        <v>#DIV/0!</v>
      </c>
      <c r="G163" s="311">
        <f>SUMIFS('Distribución OyA Detalle'!$G:$G,'Distribución OyA Detalle'!$A:$A,2,'Distribución OyA Detalle'!$D:$D,A163)</f>
        <v>0</v>
      </c>
      <c r="H163" s="262" t="e">
        <f>G163/C163</f>
        <v>#DIV/0!</v>
      </c>
      <c r="I163" s="311">
        <f>SUMIFS('Distribución OyA Detalle'!$G:$G,'Distribución OyA Detalle'!$A:$A,3,'Distribución OyA Detalle'!$D:$D,A163)</f>
        <v>0</v>
      </c>
      <c r="J163" s="262" t="e">
        <f>I163/C163</f>
        <v>#DIV/0!</v>
      </c>
      <c r="K163" s="311">
        <f>SUMIFS('Distribución OyA Detalle'!$G:$G,'Distribución OyA Detalle'!$A:$A,4,'Distribución OyA Detalle'!$D:$D,A163)</f>
        <v>0</v>
      </c>
      <c r="L163" s="712" t="e">
        <f>+K163/C163</f>
        <v>#DIV/0!</v>
      </c>
    </row>
    <row r="164" spans="1:12" ht="15.9" customHeight="1">
      <c r="A164" s="74" t="s">
        <v>189</v>
      </c>
      <c r="B164" s="308" t="s">
        <v>579</v>
      </c>
      <c r="C164" s="311">
        <f>SUM(E164+G164+I164+K164)</f>
        <v>19949275</v>
      </c>
      <c r="D164" s="262">
        <f>SUM(F164+H164+J164+L164)</f>
        <v>1</v>
      </c>
      <c r="E164" s="311">
        <f>SUMIFS('Distribución OyA Detalle'!$G:$G,'Distribución OyA Detalle'!$A:$A,1,'Distribución OyA Detalle'!$D:$D,A164)</f>
        <v>4713055</v>
      </c>
      <c r="F164" s="262">
        <f>+E164/C164</f>
        <v>0.23625194399295213</v>
      </c>
      <c r="G164" s="311">
        <f>SUMIFS('Distribución OyA Detalle'!$G:$G,'Distribución OyA Detalle'!$A:$A,2,'Distribución OyA Detalle'!$D:$D,A164)</f>
        <v>0</v>
      </c>
      <c r="H164" s="262">
        <f>G164/C164</f>
        <v>0</v>
      </c>
      <c r="I164" s="311">
        <f>SUMIFS('Distribución OyA Detalle'!$G:$G,'Distribución OyA Detalle'!$A:$A,3,'Distribución OyA Detalle'!$D:$D,A164)</f>
        <v>15236220</v>
      </c>
      <c r="J164" s="262">
        <f>I164/C164</f>
        <v>0.76374805600704787</v>
      </c>
      <c r="K164" s="311">
        <f>SUMIFS('Distribución OyA Detalle'!$G:$G,'Distribución OyA Detalle'!$A:$A,4,'Distribución OyA Detalle'!$D:$D,A164)</f>
        <v>0</v>
      </c>
      <c r="L164" s="712">
        <f>+K164/C164</f>
        <v>0</v>
      </c>
    </row>
    <row r="165" spans="1:12" ht="9.9" customHeight="1">
      <c r="B165" s="308"/>
      <c r="C165" s="269"/>
      <c r="D165" s="262"/>
      <c r="E165" s="269"/>
      <c r="F165" s="262"/>
      <c r="G165" s="269"/>
      <c r="H165" s="262"/>
      <c r="I165" s="269"/>
      <c r="J165" s="262"/>
      <c r="K165" s="269"/>
      <c r="L165" s="712"/>
    </row>
    <row r="166" spans="1:12" ht="15.9" customHeight="1">
      <c r="B166" s="306" t="s">
        <v>580</v>
      </c>
      <c r="C166" s="307">
        <f>SUM(C168:C175)</f>
        <v>54188385</v>
      </c>
      <c r="D166" s="349">
        <f>SUM(F166+H166+J166)</f>
        <v>0.98154586079655259</v>
      </c>
      <c r="E166" s="307">
        <f>SUM(E168:E175)</f>
        <v>15695800</v>
      </c>
      <c r="F166" s="349">
        <f>+E166/C166</f>
        <v>0.28965247810946942</v>
      </c>
      <c r="G166" s="307">
        <f>SUM(G168:G175)</f>
        <v>0</v>
      </c>
      <c r="H166" s="349">
        <f>G166/C166</f>
        <v>0</v>
      </c>
      <c r="I166" s="307">
        <f>SUM(I168:I175)</f>
        <v>37492585</v>
      </c>
      <c r="J166" s="349">
        <f>I166/C166</f>
        <v>0.69189338268708322</v>
      </c>
      <c r="K166" s="307">
        <f>SUM(K168:K175)</f>
        <v>1000000</v>
      </c>
      <c r="L166" s="350">
        <f>+K166/C166</f>
        <v>1.8454139203447382E-2</v>
      </c>
    </row>
    <row r="167" spans="1:12" ht="9.9" customHeight="1">
      <c r="B167" s="308"/>
      <c r="C167" s="269"/>
      <c r="D167" s="262"/>
      <c r="E167" s="269"/>
      <c r="F167" s="262"/>
      <c r="G167" s="269"/>
      <c r="H167" s="262"/>
      <c r="I167" s="269"/>
      <c r="J167" s="262"/>
      <c r="K167" s="269"/>
      <c r="L167" s="712"/>
    </row>
    <row r="168" spans="1:12" ht="17.399999999999999" collapsed="1">
      <c r="A168" s="74" t="s">
        <v>192</v>
      </c>
      <c r="B168" s="308" t="s">
        <v>581</v>
      </c>
      <c r="C168" s="311">
        <f t="shared" ref="C168:C175" si="45">SUM(E168+G168+I168+K168)</f>
        <v>5906628</v>
      </c>
      <c r="D168" s="262">
        <f t="shared" ref="D168:D175" si="46">SUM(F168+H168+J168+L168)</f>
        <v>1</v>
      </c>
      <c r="E168" s="311">
        <f>SUMIFS('Distribución OyA Detalle'!$G:$G,'Distribución OyA Detalle'!$A:$A,1,'Distribución OyA Detalle'!$D:$D,A168)</f>
        <v>2158868</v>
      </c>
      <c r="F168" s="262">
        <f t="shared" ref="F168:F175" si="47">+E168/C168</f>
        <v>0.3654992323877515</v>
      </c>
      <c r="G168" s="311">
        <f>SUMIFS('Distribución OyA Detalle'!$G:$G,'Distribución OyA Detalle'!$A:$A,2,'Distribución OyA Detalle'!$D:$D,A168)</f>
        <v>0</v>
      </c>
      <c r="H168" s="262">
        <f t="shared" ref="H168:H175" si="48">G168/C168</f>
        <v>0</v>
      </c>
      <c r="I168" s="311">
        <f>SUMIFS('Distribución OyA Detalle'!$G:$G,'Distribución OyA Detalle'!$A:$A,3,'Distribución OyA Detalle'!$D:$D,A168)</f>
        <v>3347760</v>
      </c>
      <c r="J168" s="262">
        <f t="shared" ref="J168:J175" si="49">I168/C168</f>
        <v>0.56678023400153188</v>
      </c>
      <c r="K168" s="311">
        <f>SUMIFS('Distribución OyA Detalle'!$G:$G,'Distribución OyA Detalle'!$A:$A,4,'Distribución OyA Detalle'!$D:$D,A168)</f>
        <v>400000</v>
      </c>
      <c r="L168" s="712">
        <f t="shared" ref="L168:L175" si="50">+K168/C168</f>
        <v>6.7720533610716643E-2</v>
      </c>
    </row>
    <row r="169" spans="1:12" ht="17.399999999999999">
      <c r="A169" s="74" t="s">
        <v>194</v>
      </c>
      <c r="B169" s="308" t="s">
        <v>582</v>
      </c>
      <c r="C169" s="311">
        <f t="shared" si="45"/>
        <v>929800</v>
      </c>
      <c r="D169" s="262">
        <f t="shared" si="46"/>
        <v>1</v>
      </c>
      <c r="E169" s="311">
        <f>SUMIFS('Distribución OyA Detalle'!$G:$G,'Distribución OyA Detalle'!$A:$A,1,'Distribución OyA Detalle'!$D:$D,A169)</f>
        <v>877300</v>
      </c>
      <c r="F169" s="262">
        <f t="shared" si="47"/>
        <v>0.94353624435362449</v>
      </c>
      <c r="G169" s="311">
        <f>SUMIFS('Distribución OyA Detalle'!$G:$G,'Distribución OyA Detalle'!$A:$A,2,'Distribución OyA Detalle'!$D:$D,A169)</f>
        <v>0</v>
      </c>
      <c r="H169" s="262">
        <f t="shared" si="48"/>
        <v>0</v>
      </c>
      <c r="I169" s="311">
        <f>SUMIFS('Distribución OyA Detalle'!$G:$G,'Distribución OyA Detalle'!$A:$A,3,'Distribución OyA Detalle'!$D:$D,A169)</f>
        <v>52500</v>
      </c>
      <c r="J169" s="262">
        <f t="shared" si="49"/>
        <v>5.6463755646375562E-2</v>
      </c>
      <c r="K169" s="311">
        <f>SUMIFS('Distribución OyA Detalle'!$G:$G,'Distribución OyA Detalle'!$A:$A,4,'Distribución OyA Detalle'!$D:$D,A169)</f>
        <v>0</v>
      </c>
      <c r="L169" s="712">
        <f t="shared" si="50"/>
        <v>0</v>
      </c>
    </row>
    <row r="170" spans="1:12" ht="17.399999999999999" collapsed="1">
      <c r="A170" s="74" t="s">
        <v>195</v>
      </c>
      <c r="B170" s="308" t="s">
        <v>583</v>
      </c>
      <c r="C170" s="311">
        <f t="shared" si="45"/>
        <v>5285058</v>
      </c>
      <c r="D170" s="262">
        <f t="shared" si="46"/>
        <v>1</v>
      </c>
      <c r="E170" s="311">
        <f>SUMIFS('Distribución OyA Detalle'!$G:$G,'Distribución OyA Detalle'!$A:$A,1,'Distribución OyA Detalle'!$D:$D,A170)</f>
        <v>3802448</v>
      </c>
      <c r="F170" s="262">
        <f t="shared" si="47"/>
        <v>0.71947138517685139</v>
      </c>
      <c r="G170" s="311">
        <f>SUMIFS('Distribución OyA Detalle'!$G:$G,'Distribución OyA Detalle'!$A:$A,2,'Distribución OyA Detalle'!$D:$D,A170)</f>
        <v>0</v>
      </c>
      <c r="H170" s="262">
        <f t="shared" si="48"/>
        <v>0</v>
      </c>
      <c r="I170" s="311">
        <f>SUMIFS('Distribución OyA Detalle'!$G:$G,'Distribución OyA Detalle'!$A:$A,3,'Distribución OyA Detalle'!$D:$D,A170)</f>
        <v>1082610</v>
      </c>
      <c r="J170" s="262">
        <f t="shared" si="49"/>
        <v>0.20484354192517851</v>
      </c>
      <c r="K170" s="311">
        <f>SUMIFS('Distribución OyA Detalle'!$G:$G,'Distribución OyA Detalle'!$A:$A,4,'Distribución OyA Detalle'!$D:$D,A170)</f>
        <v>400000</v>
      </c>
      <c r="L170" s="712">
        <f t="shared" si="50"/>
        <v>7.5685072897970093E-2</v>
      </c>
    </row>
    <row r="171" spans="1:12" ht="17.399999999999999">
      <c r="A171" s="74" t="s">
        <v>197</v>
      </c>
      <c r="B171" s="308" t="s">
        <v>584</v>
      </c>
      <c r="C171" s="311">
        <f t="shared" si="45"/>
        <v>36140243</v>
      </c>
      <c r="D171" s="262">
        <f t="shared" si="46"/>
        <v>1</v>
      </c>
      <c r="E171" s="311">
        <f>SUMIFS('Distribución OyA Detalle'!$G:$G,'Distribución OyA Detalle'!$A:$A,1,'Distribución OyA Detalle'!$D:$D,A171)</f>
        <v>4104628</v>
      </c>
      <c r="F171" s="262">
        <f t="shared" si="47"/>
        <v>0.11357499726828069</v>
      </c>
      <c r="G171" s="311">
        <f>SUMIFS('Distribución OyA Detalle'!$G:$G,'Distribución OyA Detalle'!$A:$A,2,'Distribución OyA Detalle'!$D:$D,A171)</f>
        <v>0</v>
      </c>
      <c r="H171" s="262">
        <f t="shared" si="48"/>
        <v>0</v>
      </c>
      <c r="I171" s="311">
        <f>SUMIFS('Distribución OyA Detalle'!$G:$G,'Distribución OyA Detalle'!$A:$A,3,'Distribución OyA Detalle'!$D:$D,A171)</f>
        <v>32035615</v>
      </c>
      <c r="J171" s="262">
        <f t="shared" si="49"/>
        <v>0.88642500273171931</v>
      </c>
      <c r="K171" s="311">
        <f>SUMIFS('Distribución OyA Detalle'!$G:$G,'Distribución OyA Detalle'!$A:$A,4,'Distribución OyA Detalle'!$D:$D,A171)</f>
        <v>0</v>
      </c>
      <c r="L171" s="712">
        <f t="shared" si="50"/>
        <v>0</v>
      </c>
    </row>
    <row r="172" spans="1:12" ht="17.399999999999999">
      <c r="A172" s="74" t="s">
        <v>199</v>
      </c>
      <c r="B172" s="308" t="s">
        <v>585</v>
      </c>
      <c r="C172" s="311">
        <f t="shared" si="45"/>
        <v>3699556</v>
      </c>
      <c r="D172" s="262">
        <f t="shared" si="46"/>
        <v>1</v>
      </c>
      <c r="E172" s="311">
        <f>SUMIFS('Distribución OyA Detalle'!$G:$G,'Distribución OyA Detalle'!$A:$A,1,'Distribución OyA Detalle'!$D:$D,A172)</f>
        <v>3579856</v>
      </c>
      <c r="F172" s="262">
        <f t="shared" si="47"/>
        <v>0.96764476602057115</v>
      </c>
      <c r="G172" s="311">
        <f>SUMIFS('Distribución OyA Detalle'!$G:$G,'Distribución OyA Detalle'!$A:$A,2,'Distribución OyA Detalle'!$D:$D,A172)</f>
        <v>0</v>
      </c>
      <c r="H172" s="262">
        <f t="shared" si="48"/>
        <v>0</v>
      </c>
      <c r="I172" s="311">
        <f>SUMIFS('Distribución OyA Detalle'!$G:$G,'Distribución OyA Detalle'!$A:$A,3,'Distribución OyA Detalle'!$D:$D,A172)</f>
        <v>119700</v>
      </c>
      <c r="J172" s="262">
        <f t="shared" si="49"/>
        <v>3.2355233979428882E-2</v>
      </c>
      <c r="K172" s="311">
        <f>SUMIFS('Distribución OyA Detalle'!$G:$G,'Distribución OyA Detalle'!$A:$A,4,'Distribución OyA Detalle'!$D:$D,A172)</f>
        <v>0</v>
      </c>
      <c r="L172" s="712">
        <f t="shared" si="50"/>
        <v>0</v>
      </c>
    </row>
    <row r="173" spans="1:12" ht="17.399999999999999" outlineLevel="1">
      <c r="A173" s="74" t="s">
        <v>201</v>
      </c>
      <c r="B173" s="308" t="s">
        <v>586</v>
      </c>
      <c r="C173" s="311">
        <f t="shared" si="45"/>
        <v>82000</v>
      </c>
      <c r="D173" s="262">
        <f t="shared" si="46"/>
        <v>1</v>
      </c>
      <c r="E173" s="311">
        <f>SUMIFS('Distribución OyA Detalle'!$G:$G,'Distribución OyA Detalle'!$A:$A,1,'Distribución OyA Detalle'!$D:$D,A173)</f>
        <v>82000</v>
      </c>
      <c r="F173" s="262">
        <f t="shared" si="47"/>
        <v>1</v>
      </c>
      <c r="G173" s="311">
        <f>SUMIFS('Distribución OyA Detalle'!$G:$G,'Distribución OyA Detalle'!$A:$A,2,'Distribución OyA Detalle'!$D:$D,A173)</f>
        <v>0</v>
      </c>
      <c r="H173" s="262">
        <f t="shared" si="48"/>
        <v>0</v>
      </c>
      <c r="I173" s="311">
        <f>SUMIFS('Distribución OyA Detalle'!$G:$G,'Distribución OyA Detalle'!$A:$A,3,'Distribución OyA Detalle'!$D:$D,A173)</f>
        <v>0</v>
      </c>
      <c r="J173" s="262">
        <f t="shared" si="49"/>
        <v>0</v>
      </c>
      <c r="K173" s="311">
        <f>SUMIFS('Distribución OyA Detalle'!$G:$G,'Distribución OyA Detalle'!$A:$A,4,'Distribución OyA Detalle'!$D:$D,A173)</f>
        <v>0</v>
      </c>
      <c r="L173" s="712">
        <f t="shared" si="50"/>
        <v>0</v>
      </c>
    </row>
    <row r="174" spans="1:12" ht="15.9" hidden="1" customHeight="1" outlineLevel="1">
      <c r="A174" s="74" t="s">
        <v>314</v>
      </c>
      <c r="B174" s="308" t="s">
        <v>351</v>
      </c>
      <c r="C174" s="311">
        <f t="shared" si="45"/>
        <v>0</v>
      </c>
      <c r="D174" s="262" t="e">
        <f t="shared" si="46"/>
        <v>#DIV/0!</v>
      </c>
      <c r="E174" s="311">
        <f>SUMIFS('Distribución OyA Detalle'!$G:$G,'Distribución OyA Detalle'!$A:$A,1,'Distribución OyA Detalle'!$D:$D,A174)</f>
        <v>0</v>
      </c>
      <c r="F174" s="262" t="e">
        <f t="shared" si="47"/>
        <v>#DIV/0!</v>
      </c>
      <c r="G174" s="311">
        <f>SUMIFS('Distribución OyA Detalle'!$G:$G,'Distribución OyA Detalle'!$A:$A,2,'Distribución OyA Detalle'!$D:$D,A174)</f>
        <v>0</v>
      </c>
      <c r="H174" s="262" t="e">
        <f t="shared" si="48"/>
        <v>#DIV/0!</v>
      </c>
      <c r="I174" s="311">
        <f>SUMIFS('Distribución OyA Detalle'!$G:$G,'Distribución OyA Detalle'!$A:$A,3,'Distribución OyA Detalle'!$D:$D,A174)</f>
        <v>0</v>
      </c>
      <c r="J174" s="262" t="e">
        <f t="shared" si="49"/>
        <v>#DIV/0!</v>
      </c>
      <c r="K174" s="311">
        <f>SUMIFS('Distribución OyA Detalle'!$G:$G,'Distribución OyA Detalle'!$A:$A,4,'Distribución OyA Detalle'!$D:$D,A174)</f>
        <v>0</v>
      </c>
      <c r="L174" s="712" t="e">
        <f t="shared" si="50"/>
        <v>#DIV/0!</v>
      </c>
    </row>
    <row r="175" spans="1:12" ht="17.399999999999999" outlineLevel="1">
      <c r="A175" s="74" t="s">
        <v>203</v>
      </c>
      <c r="B175" s="308" t="s">
        <v>587</v>
      </c>
      <c r="C175" s="311">
        <f t="shared" si="45"/>
        <v>2145100</v>
      </c>
      <c r="D175" s="262">
        <f t="shared" si="46"/>
        <v>1</v>
      </c>
      <c r="E175" s="311">
        <f>SUMIFS('Distribución OyA Detalle'!$G:$G,'Distribución OyA Detalle'!$A:$A,1,'Distribución OyA Detalle'!$D:$D,A175)</f>
        <v>1090700</v>
      </c>
      <c r="F175" s="262">
        <f t="shared" si="47"/>
        <v>0.50846114400261055</v>
      </c>
      <c r="G175" s="311">
        <f>SUMIFS('Distribución OyA Detalle'!$G:$G,'Distribución OyA Detalle'!$A:$A,2,'Distribución OyA Detalle'!$D:$D,A175)</f>
        <v>0</v>
      </c>
      <c r="H175" s="262">
        <f t="shared" si="48"/>
        <v>0</v>
      </c>
      <c r="I175" s="311">
        <f>SUMIFS('Distribución OyA Detalle'!$G:$G,'Distribución OyA Detalle'!$A:$A,3,'Distribución OyA Detalle'!$D:$D,A175)</f>
        <v>854400</v>
      </c>
      <c r="J175" s="262">
        <f t="shared" si="49"/>
        <v>0.39830310941214864</v>
      </c>
      <c r="K175" s="311">
        <f>SUMIFS('Distribución OyA Detalle'!$G:$G,'Distribución OyA Detalle'!$A:$A,4,'Distribución OyA Detalle'!$D:$D,A175)</f>
        <v>200000</v>
      </c>
      <c r="L175" s="712">
        <f t="shared" si="50"/>
        <v>9.3235746585240781E-2</v>
      </c>
    </row>
    <row r="176" spans="1:12" ht="7.95" customHeight="1" outlineLevel="1">
      <c r="B176" s="308"/>
      <c r="C176" s="311"/>
      <c r="D176" s="262"/>
      <c r="E176" s="311"/>
      <c r="F176" s="262"/>
      <c r="G176" s="311"/>
      <c r="H176" s="262"/>
      <c r="I176" s="311"/>
      <c r="J176" s="262"/>
      <c r="K176" s="311"/>
      <c r="L176" s="712"/>
    </row>
    <row r="177" spans="1:12" ht="15.9" customHeight="1">
      <c r="B177" s="317" t="s">
        <v>963</v>
      </c>
      <c r="C177" s="318">
        <f>+C181</f>
        <v>2196631825.3100014</v>
      </c>
      <c r="D177" s="347">
        <f>SUM(F177+H177+J177+L177)</f>
        <v>1</v>
      </c>
      <c r="E177" s="318">
        <f>+E181</f>
        <v>2196631825.3100014</v>
      </c>
      <c r="F177" s="347">
        <f>+E177/C177</f>
        <v>1</v>
      </c>
      <c r="G177" s="318">
        <f>+G181</f>
        <v>0</v>
      </c>
      <c r="H177" s="347">
        <f>G177/C177</f>
        <v>0</v>
      </c>
      <c r="I177" s="318">
        <f>+I181</f>
        <v>0</v>
      </c>
      <c r="J177" s="347">
        <f>I177/C177</f>
        <v>0</v>
      </c>
      <c r="K177" s="318">
        <f>+K181</f>
        <v>0</v>
      </c>
      <c r="L177" s="348">
        <f>+K177/C177</f>
        <v>0</v>
      </c>
    </row>
    <row r="178" spans="1:12" ht="9.9" customHeight="1">
      <c r="B178" s="316"/>
      <c r="C178" s="761"/>
      <c r="D178" s="723"/>
      <c r="E178" s="160"/>
      <c r="F178" s="723"/>
      <c r="G178" s="160"/>
      <c r="H178" s="723"/>
      <c r="I178" s="160"/>
      <c r="J178" s="723"/>
      <c r="K178" s="160"/>
      <c r="L178" s="747"/>
    </row>
    <row r="179" spans="1:12" ht="15.9" customHeight="1">
      <c r="B179" s="306" t="s">
        <v>778</v>
      </c>
      <c r="C179" s="307">
        <f>SUM(C181:C182)</f>
        <v>2196631825.3100014</v>
      </c>
      <c r="D179" s="349">
        <f>SUM(F179+H179+J179)</f>
        <v>1</v>
      </c>
      <c r="E179" s="307">
        <f>SUM(E181:E182)</f>
        <v>2196631825.3100014</v>
      </c>
      <c r="F179" s="349">
        <f>+E179/C179</f>
        <v>1</v>
      </c>
      <c r="G179" s="307">
        <f>SUM(G181:G182)</f>
        <v>0</v>
      </c>
      <c r="H179" s="349">
        <f>G179/C179</f>
        <v>0</v>
      </c>
      <c r="I179" s="307">
        <f>SUM(I181:I182)</f>
        <v>0</v>
      </c>
      <c r="J179" s="349">
        <f>I179/C179</f>
        <v>0</v>
      </c>
      <c r="K179" s="307">
        <f>SUM(K181:K182)</f>
        <v>0</v>
      </c>
      <c r="L179" s="350">
        <f>+K179/C179</f>
        <v>0</v>
      </c>
    </row>
    <row r="180" spans="1:12" ht="7.95" customHeight="1">
      <c r="B180" s="319"/>
      <c r="C180" s="352"/>
      <c r="D180" s="351"/>
      <c r="E180" s="320"/>
      <c r="F180" s="351"/>
      <c r="G180" s="320"/>
      <c r="H180" s="351"/>
      <c r="I180" s="320"/>
      <c r="J180" s="351"/>
      <c r="K180" s="320"/>
      <c r="L180" s="749"/>
    </row>
    <row r="181" spans="1:12" ht="15.9" customHeight="1" outlineLevel="1">
      <c r="A181" s="74" t="s">
        <v>648</v>
      </c>
      <c r="B181" s="308" t="s">
        <v>649</v>
      </c>
      <c r="C181" s="311">
        <f>SUM(E181+G181+I181+K181)</f>
        <v>2196631825.3100014</v>
      </c>
      <c r="D181" s="262">
        <f>SUM(F181+H181+J181+L181)</f>
        <v>1</v>
      </c>
      <c r="E181" s="311">
        <f>SUMIFS('Distribución OyA Detalle'!$G:$G,'Distribución OyA Detalle'!$A:$A,1,'Distribución OyA Detalle'!$D:$D,A181)</f>
        <v>2196631825.3100014</v>
      </c>
      <c r="F181" s="262">
        <f>+E181/C181</f>
        <v>1</v>
      </c>
      <c r="G181" s="311">
        <f>SUMIFS('Distribución OyA Detalle'!$G:$G,'Distribución OyA Detalle'!$A:$A,2,'Distribución OyA Detalle'!$D:$D,A181)</f>
        <v>0</v>
      </c>
      <c r="H181" s="262">
        <f>G181/C181</f>
        <v>0</v>
      </c>
      <c r="I181" s="311">
        <f>SUMIFS('Distribución OyA Detalle'!$G:$G,'Distribución OyA Detalle'!$A:$A,3,'Distribución OyA Detalle'!$D:$D,A181)</f>
        <v>0</v>
      </c>
      <c r="J181" s="262">
        <f>I181/C181</f>
        <v>0</v>
      </c>
      <c r="K181" s="311">
        <f>SUMIFS('Distribución OyA Detalle'!$G:$G,'Distribución OyA Detalle'!$A:$A,4,'Distribución OyA Detalle'!$D:$D,A181)</f>
        <v>0</v>
      </c>
      <c r="L181" s="712">
        <f>+K181/C181</f>
        <v>0</v>
      </c>
    </row>
    <row r="182" spans="1:12" ht="7.95" customHeight="1">
      <c r="B182" s="309"/>
      <c r="C182" s="310"/>
      <c r="D182" s="273"/>
      <c r="E182" s="310"/>
      <c r="F182" s="273"/>
      <c r="G182" s="310"/>
      <c r="H182" s="273"/>
      <c r="I182" s="310"/>
      <c r="J182" s="273"/>
      <c r="K182" s="310"/>
      <c r="L182" s="745"/>
    </row>
    <row r="183" spans="1:12" ht="15.9" customHeight="1">
      <c r="B183" s="317" t="s">
        <v>964</v>
      </c>
      <c r="C183" s="318">
        <f>+C185+C196</f>
        <v>1299287233.96</v>
      </c>
      <c r="D183" s="347">
        <f>SUM(F183+H183+J183+L183)</f>
        <v>1</v>
      </c>
      <c r="E183" s="318">
        <f>+E185+E196</f>
        <v>593150598.46000004</v>
      </c>
      <c r="F183" s="347">
        <f>+E183/C183</f>
        <v>0.45651999262101639</v>
      </c>
      <c r="G183" s="318">
        <f>+G185+G196</f>
        <v>3000000</v>
      </c>
      <c r="H183" s="347">
        <f>G183/C183</f>
        <v>2.3089582669542016E-3</v>
      </c>
      <c r="I183" s="318">
        <f>+I185+I196</f>
        <v>703136635.5</v>
      </c>
      <c r="J183" s="347">
        <f>I183/C183</f>
        <v>0.5411710491120294</v>
      </c>
      <c r="K183" s="318">
        <f>+K185+K196</f>
        <v>0</v>
      </c>
      <c r="L183" s="348">
        <f>+K183/C183</f>
        <v>0</v>
      </c>
    </row>
    <row r="184" spans="1:12" ht="9.9" customHeight="1">
      <c r="B184" s="265"/>
      <c r="C184" s="269"/>
      <c r="D184" s="262"/>
      <c r="E184" s="269"/>
      <c r="F184" s="262"/>
      <c r="G184" s="269"/>
      <c r="H184" s="262"/>
      <c r="I184" s="269"/>
      <c r="J184" s="262"/>
      <c r="K184" s="269"/>
      <c r="L184" s="712"/>
    </row>
    <row r="185" spans="1:12" ht="15.9" customHeight="1">
      <c r="B185" s="306" t="s">
        <v>205</v>
      </c>
      <c r="C185" s="307">
        <f>SUM(C187:C194)</f>
        <v>782803280.90999997</v>
      </c>
      <c r="D185" s="349">
        <f>SUM(F185+H185+J185)</f>
        <v>1</v>
      </c>
      <c r="E185" s="307">
        <f>SUM(E187:E194)</f>
        <v>96005718.409999996</v>
      </c>
      <c r="F185" s="349">
        <f>+E185/C185</f>
        <v>0.12264347985153362</v>
      </c>
      <c r="G185" s="307">
        <f>SUM(G187:G194)</f>
        <v>3000000</v>
      </c>
      <c r="H185" s="349">
        <f>G185/C185</f>
        <v>3.8323804628316504E-3</v>
      </c>
      <c r="I185" s="307">
        <f>SUM(I187:I194)</f>
        <v>683797562.5</v>
      </c>
      <c r="J185" s="349">
        <f>I185/C185</f>
        <v>0.8735241396856348</v>
      </c>
      <c r="K185" s="307">
        <f>SUM(K187:K194)</f>
        <v>0</v>
      </c>
      <c r="L185" s="350">
        <f>+K185/C185</f>
        <v>0</v>
      </c>
    </row>
    <row r="186" spans="1:12" ht="7.95" customHeight="1">
      <c r="B186" s="265"/>
      <c r="C186" s="269"/>
      <c r="D186" s="262"/>
      <c r="E186" s="269"/>
      <c r="F186" s="262"/>
      <c r="G186" s="269"/>
      <c r="H186" s="262"/>
      <c r="I186" s="269"/>
      <c r="J186" s="262"/>
      <c r="K186" s="269"/>
      <c r="L186" s="712"/>
    </row>
    <row r="187" spans="1:12" ht="15.9" hidden="1" customHeight="1">
      <c r="A187" s="74" t="s">
        <v>356</v>
      </c>
      <c r="B187" s="87" t="s">
        <v>634</v>
      </c>
      <c r="C187" s="311">
        <f t="shared" ref="C187:C194" si="51">SUM(E187+G187+I187+K187)</f>
        <v>0</v>
      </c>
      <c r="D187" s="262" t="e">
        <f t="shared" ref="D187:D194" si="52">SUM(F187+H187+J187+L187)</f>
        <v>#DIV/0!</v>
      </c>
      <c r="E187" s="311">
        <f>SUMIFS('Distribución OyA Detalle'!$G:$G,'Distribución OyA Detalle'!$A:$A,1,'Distribución OyA Detalle'!$D:$D,A187)</f>
        <v>0</v>
      </c>
      <c r="F187" s="262" t="e">
        <f t="shared" ref="F187:F194" si="53">+E187/C187</f>
        <v>#DIV/0!</v>
      </c>
      <c r="G187" s="311">
        <f>SUMIFS('Distribución OyA Detalle'!$G:$G,'Distribución OyA Detalle'!$A:$A,2,'Distribución OyA Detalle'!$D:$D,A187)</f>
        <v>0</v>
      </c>
      <c r="H187" s="262" t="e">
        <f t="shared" ref="H187:H194" si="54">G187/C187</f>
        <v>#DIV/0!</v>
      </c>
      <c r="I187" s="311">
        <f>SUMIFS('Distribución OyA Detalle'!$G:$G,'Distribución OyA Detalle'!$A:$A,3,'Distribución OyA Detalle'!$D:$D,A187)</f>
        <v>0</v>
      </c>
      <c r="J187" s="262" t="e">
        <f t="shared" ref="J187:J194" si="55">I187/C187</f>
        <v>#DIV/0!</v>
      </c>
      <c r="K187" s="311">
        <f>SUMIFS('Distribución OyA Detalle'!$G:$G,'Distribución OyA Detalle'!$A:$A,4,'Distribución OyA Detalle'!$D:$D,A187)</f>
        <v>0</v>
      </c>
      <c r="L187" s="712" t="e">
        <f t="shared" ref="L187:L194" si="56">+K187/C187</f>
        <v>#DIV/0!</v>
      </c>
    </row>
    <row r="188" spans="1:12" ht="17.399999999999999" outlineLevel="1">
      <c r="A188" s="74" t="s">
        <v>206</v>
      </c>
      <c r="B188" s="312" t="s">
        <v>635</v>
      </c>
      <c r="C188" s="311">
        <f t="shared" si="51"/>
        <v>300000000</v>
      </c>
      <c r="D188" s="262">
        <f t="shared" si="52"/>
        <v>1</v>
      </c>
      <c r="E188" s="311">
        <f>SUMIFS('Distribución OyA Detalle'!$G:$G,'Distribución OyA Detalle'!$A:$A,1,'Distribución OyA Detalle'!$D:$D,A188)</f>
        <v>0</v>
      </c>
      <c r="F188" s="262">
        <f t="shared" si="53"/>
        <v>0</v>
      </c>
      <c r="G188" s="311">
        <f>SUMIFS('Distribución OyA Detalle'!$G:$G,'Distribución OyA Detalle'!$A:$A,2,'Distribución OyA Detalle'!$D:$D,A188)</f>
        <v>0</v>
      </c>
      <c r="H188" s="262">
        <f t="shared" si="54"/>
        <v>0</v>
      </c>
      <c r="I188" s="311">
        <f>SUMIFS('Distribución OyA Detalle'!$G:$G,'Distribución OyA Detalle'!$A:$A,3,'Distribución OyA Detalle'!$D:$D,A188)</f>
        <v>300000000</v>
      </c>
      <c r="J188" s="262">
        <f t="shared" si="55"/>
        <v>1</v>
      </c>
      <c r="K188" s="311">
        <f>SUMIFS('Distribución OyA Detalle'!$G:$G,'Distribución OyA Detalle'!$A:$A,4,'Distribución OyA Detalle'!$D:$D,A188)</f>
        <v>0</v>
      </c>
      <c r="L188" s="712">
        <f t="shared" si="56"/>
        <v>0</v>
      </c>
    </row>
    <row r="189" spans="1:12" ht="17.399999999999999">
      <c r="A189" s="74" t="s">
        <v>208</v>
      </c>
      <c r="B189" s="312" t="s">
        <v>636</v>
      </c>
      <c r="C189" s="311">
        <f t="shared" si="51"/>
        <v>53303999.659999996</v>
      </c>
      <c r="D189" s="262">
        <f t="shared" si="52"/>
        <v>1</v>
      </c>
      <c r="E189" s="311">
        <f>SUMIFS('Distribución OyA Detalle'!$G:$G,'Distribución OyA Detalle'!$A:$A,1,'Distribución OyA Detalle'!$D:$D,A189)</f>
        <v>5643999.6600000001</v>
      </c>
      <c r="F189" s="262">
        <f t="shared" si="53"/>
        <v>0.10588323007654771</v>
      </c>
      <c r="G189" s="311">
        <f>SUMIFS('Distribución OyA Detalle'!$G:$G,'Distribución OyA Detalle'!$A:$A,2,'Distribución OyA Detalle'!$D:$D,A189)</f>
        <v>3000000</v>
      </c>
      <c r="H189" s="262">
        <f t="shared" si="54"/>
        <v>5.6280954883977281E-2</v>
      </c>
      <c r="I189" s="311">
        <f>SUMIFS('Distribución OyA Detalle'!$G:$G,'Distribución OyA Detalle'!$A:$A,3,'Distribución OyA Detalle'!$D:$D,A189)</f>
        <v>44660000</v>
      </c>
      <c r="J189" s="262">
        <f t="shared" si="55"/>
        <v>0.83783581503947513</v>
      </c>
      <c r="K189" s="311">
        <f>SUMIFS('Distribución OyA Detalle'!$G:$G,'Distribución OyA Detalle'!$A:$A,4,'Distribución OyA Detalle'!$D:$D,A189)</f>
        <v>0</v>
      </c>
      <c r="L189" s="712">
        <f t="shared" si="56"/>
        <v>0</v>
      </c>
    </row>
    <row r="190" spans="1:12" ht="15.9" hidden="1" customHeight="1" collapsed="1">
      <c r="A190" s="74" t="s">
        <v>210</v>
      </c>
      <c r="B190" s="312" t="s">
        <v>637</v>
      </c>
      <c r="C190" s="311">
        <f t="shared" si="51"/>
        <v>0</v>
      </c>
      <c r="D190" s="262" t="e">
        <f t="shared" si="52"/>
        <v>#DIV/0!</v>
      </c>
      <c r="E190" s="311">
        <f>SUMIFS('Distribución OyA Detalle'!$G:$G,'Distribución OyA Detalle'!$A:$A,1,'Distribución OyA Detalle'!$D:$D,A190)</f>
        <v>0</v>
      </c>
      <c r="F190" s="262" t="e">
        <f t="shared" si="53"/>
        <v>#DIV/0!</v>
      </c>
      <c r="G190" s="311">
        <f>SUMIFS('Distribución OyA Detalle'!$G:$G,'Distribución OyA Detalle'!$A:$A,2,'Distribución OyA Detalle'!$D:$D,A190)</f>
        <v>0</v>
      </c>
      <c r="H190" s="262" t="e">
        <f t="shared" si="54"/>
        <v>#DIV/0!</v>
      </c>
      <c r="I190" s="311">
        <f>SUMIFS('Distribución OyA Detalle'!$G:$G,'Distribución OyA Detalle'!$A:$A,3,'Distribución OyA Detalle'!$D:$D,A190)</f>
        <v>0</v>
      </c>
      <c r="J190" s="262" t="e">
        <f t="shared" si="55"/>
        <v>#DIV/0!</v>
      </c>
      <c r="K190" s="311">
        <f>SUMIFS('Distribución OyA Detalle'!$G:$G,'Distribución OyA Detalle'!$A:$A,4,'Distribución OyA Detalle'!$D:$D,A190)</f>
        <v>0</v>
      </c>
      <c r="L190" s="712" t="e">
        <f t="shared" si="56"/>
        <v>#DIV/0!</v>
      </c>
    </row>
    <row r="191" spans="1:12" ht="17.399999999999999">
      <c r="A191" s="74" t="s">
        <v>212</v>
      </c>
      <c r="B191" s="312" t="s">
        <v>638</v>
      </c>
      <c r="C191" s="311">
        <f t="shared" si="51"/>
        <v>429499281.25</v>
      </c>
      <c r="D191" s="262">
        <f t="shared" si="52"/>
        <v>1</v>
      </c>
      <c r="E191" s="311">
        <f>SUMIFS('Distribución OyA Detalle'!$G:$G,'Distribución OyA Detalle'!$A:$A,1,'Distribución OyA Detalle'!$D:$D,A191)</f>
        <v>90361718.75</v>
      </c>
      <c r="F191" s="262">
        <f t="shared" si="53"/>
        <v>0.21038852145925449</v>
      </c>
      <c r="G191" s="311">
        <f>SUMIFS('Distribución OyA Detalle'!$G:$G,'Distribución OyA Detalle'!$A:$A,2,'Distribución OyA Detalle'!$D:$D,A191)</f>
        <v>0</v>
      </c>
      <c r="H191" s="262">
        <f t="shared" si="54"/>
        <v>0</v>
      </c>
      <c r="I191" s="311">
        <f>SUMIFS('Distribución OyA Detalle'!$G:$G,'Distribución OyA Detalle'!$A:$A,3,'Distribución OyA Detalle'!$D:$D,A191)</f>
        <v>339137562.5</v>
      </c>
      <c r="J191" s="262">
        <f t="shared" si="55"/>
        <v>0.78961147854074554</v>
      </c>
      <c r="K191" s="311">
        <f>SUMIFS('Distribución OyA Detalle'!$G:$G,'Distribución OyA Detalle'!$A:$A,4,'Distribución OyA Detalle'!$D:$D,A191)</f>
        <v>0</v>
      </c>
      <c r="L191" s="712">
        <f t="shared" si="56"/>
        <v>0</v>
      </c>
    </row>
    <row r="192" spans="1:12" ht="15.9" hidden="1" customHeight="1" outlineLevel="1">
      <c r="A192" s="74" t="s">
        <v>214</v>
      </c>
      <c r="B192" s="312" t="s">
        <v>639</v>
      </c>
      <c r="C192" s="311">
        <f t="shared" si="51"/>
        <v>0</v>
      </c>
      <c r="D192" s="262" t="e">
        <f t="shared" si="52"/>
        <v>#DIV/0!</v>
      </c>
      <c r="E192" s="311">
        <f>SUMIFS('Distribución OyA Detalle'!$G:$G,'Distribución OyA Detalle'!$A:$A,1,'Distribución OyA Detalle'!$D:$D,A192)</f>
        <v>0</v>
      </c>
      <c r="F192" s="262" t="e">
        <f t="shared" si="53"/>
        <v>#DIV/0!</v>
      </c>
      <c r="G192" s="311">
        <f>SUMIFS('Distribución OyA Detalle'!$G:$G,'Distribución OyA Detalle'!$A:$A,2,'Distribución OyA Detalle'!$D:$D,A192)</f>
        <v>0</v>
      </c>
      <c r="H192" s="262" t="e">
        <f t="shared" si="54"/>
        <v>#DIV/0!</v>
      </c>
      <c r="I192" s="311">
        <f>SUMIFS('Distribución OyA Detalle'!$G:$G,'Distribución OyA Detalle'!$A:$A,3,'Distribución OyA Detalle'!$D:$D,A192)</f>
        <v>0</v>
      </c>
      <c r="J192" s="262" t="e">
        <f t="shared" si="55"/>
        <v>#DIV/0!</v>
      </c>
      <c r="K192" s="311">
        <f>SUMIFS('Distribución OyA Detalle'!$G:$G,'Distribución OyA Detalle'!$A:$A,4,'Distribución OyA Detalle'!$D:$D,A192)</f>
        <v>0</v>
      </c>
      <c r="L192" s="712" t="e">
        <f t="shared" si="56"/>
        <v>#DIV/0!</v>
      </c>
    </row>
    <row r="193" spans="1:12" ht="15.9" hidden="1" customHeight="1" outlineLevel="1">
      <c r="A193" s="74" t="s">
        <v>216</v>
      </c>
      <c r="B193" s="312" t="s">
        <v>640</v>
      </c>
      <c r="C193" s="311">
        <f t="shared" si="51"/>
        <v>0</v>
      </c>
      <c r="D193" s="262" t="e">
        <f t="shared" si="52"/>
        <v>#DIV/0!</v>
      </c>
      <c r="E193" s="311">
        <f>SUMIFS('Distribución OyA Detalle'!$G:$G,'Distribución OyA Detalle'!$A:$A,1,'Distribución OyA Detalle'!$D:$D,A193)</f>
        <v>0</v>
      </c>
      <c r="F193" s="262" t="e">
        <f t="shared" si="53"/>
        <v>#DIV/0!</v>
      </c>
      <c r="G193" s="311">
        <f>SUMIFS('Distribución OyA Detalle'!$G:$G,'Distribución OyA Detalle'!$A:$A,2,'Distribución OyA Detalle'!$D:$D,A193)</f>
        <v>0</v>
      </c>
      <c r="H193" s="262" t="e">
        <f t="shared" si="54"/>
        <v>#DIV/0!</v>
      </c>
      <c r="I193" s="311">
        <f>SUMIFS('Distribución OyA Detalle'!$G:$G,'Distribución OyA Detalle'!$A:$A,3,'Distribución OyA Detalle'!$D:$D,A193)</f>
        <v>0</v>
      </c>
      <c r="J193" s="262" t="e">
        <f t="shared" si="55"/>
        <v>#DIV/0!</v>
      </c>
      <c r="K193" s="311">
        <f>SUMIFS('Distribución OyA Detalle'!$G:$G,'Distribución OyA Detalle'!$A:$A,4,'Distribución OyA Detalle'!$D:$D,A193)</f>
        <v>0</v>
      </c>
      <c r="L193" s="712" t="e">
        <f t="shared" si="56"/>
        <v>#DIV/0!</v>
      </c>
    </row>
    <row r="194" spans="1:12" ht="15.9" hidden="1" customHeight="1" collapsed="1">
      <c r="A194" s="74" t="s">
        <v>218</v>
      </c>
      <c r="B194" s="321" t="s">
        <v>641</v>
      </c>
      <c r="C194" s="311">
        <f t="shared" si="51"/>
        <v>0</v>
      </c>
      <c r="D194" s="262" t="e">
        <f t="shared" si="52"/>
        <v>#DIV/0!</v>
      </c>
      <c r="E194" s="311">
        <f>SUMIFS('Distribución OyA Detalle'!$G:$G,'Distribución OyA Detalle'!$A:$A,1,'Distribución OyA Detalle'!$D:$D,A194)</f>
        <v>0</v>
      </c>
      <c r="F194" s="262" t="e">
        <f t="shared" si="53"/>
        <v>#DIV/0!</v>
      </c>
      <c r="G194" s="311">
        <f>SUMIFS('Distribución OyA Detalle'!$G:$G,'Distribución OyA Detalle'!$A:$A,2,'Distribución OyA Detalle'!$D:$D,A194)</f>
        <v>0</v>
      </c>
      <c r="H194" s="262" t="e">
        <f t="shared" si="54"/>
        <v>#DIV/0!</v>
      </c>
      <c r="I194" s="311">
        <f>SUMIFS('Distribución OyA Detalle'!$G:$G,'Distribución OyA Detalle'!$A:$A,3,'Distribución OyA Detalle'!$D:$D,A194)</f>
        <v>0</v>
      </c>
      <c r="J194" s="262" t="e">
        <f t="shared" si="55"/>
        <v>#DIV/0!</v>
      </c>
      <c r="K194" s="311">
        <f>SUMIFS('Distribución OyA Detalle'!$G:$G,'Distribución OyA Detalle'!$A:$A,4,'Distribución OyA Detalle'!$D:$D,A194)</f>
        <v>0</v>
      </c>
      <c r="L194" s="712" t="e">
        <f t="shared" si="56"/>
        <v>#DIV/0!</v>
      </c>
    </row>
    <row r="195" spans="1:12" ht="7.95" customHeight="1" outlineLevel="1">
      <c r="B195" s="308"/>
      <c r="C195" s="269"/>
      <c r="D195" s="262"/>
      <c r="E195" s="269"/>
      <c r="F195" s="262"/>
      <c r="G195" s="269"/>
      <c r="H195" s="262"/>
      <c r="I195" s="269"/>
      <c r="J195" s="262"/>
      <c r="K195" s="269"/>
      <c r="L195" s="712"/>
    </row>
    <row r="196" spans="1:12" ht="15.9" customHeight="1" outlineLevel="1">
      <c r="B196" s="306" t="s">
        <v>642</v>
      </c>
      <c r="C196" s="307">
        <f>SUM(C198:C200)</f>
        <v>516483953.05000001</v>
      </c>
      <c r="D196" s="349">
        <f>SUM(F196+H196+J196)</f>
        <v>1</v>
      </c>
      <c r="E196" s="307">
        <f>SUM(E198:E200)</f>
        <v>497144880.05000001</v>
      </c>
      <c r="F196" s="349">
        <f>+E196/C196</f>
        <v>0.96255629456482295</v>
      </c>
      <c r="G196" s="307">
        <f>SUM(G198:G200)</f>
        <v>0</v>
      </c>
      <c r="H196" s="349">
        <f>G196/C196</f>
        <v>0</v>
      </c>
      <c r="I196" s="307">
        <f>SUM(I198:I200)</f>
        <v>19339073</v>
      </c>
      <c r="J196" s="349">
        <f>I196/C196</f>
        <v>3.744370543517702E-2</v>
      </c>
      <c r="K196" s="307">
        <f>SUM(K198:K200)</f>
        <v>0</v>
      </c>
      <c r="L196" s="350">
        <f>+K196/C196</f>
        <v>0</v>
      </c>
    </row>
    <row r="197" spans="1:12" ht="9.9" customHeight="1" outlineLevel="1">
      <c r="B197" s="308"/>
      <c r="C197" s="269"/>
      <c r="D197" s="262"/>
      <c r="E197" s="269"/>
      <c r="F197" s="262"/>
      <c r="G197" s="269"/>
      <c r="H197" s="262"/>
      <c r="I197" s="269"/>
      <c r="J197" s="262"/>
      <c r="K197" s="269"/>
      <c r="L197" s="712"/>
    </row>
    <row r="198" spans="1:12" ht="17.399999999999999" outlineLevel="1">
      <c r="A198" s="74" t="s">
        <v>352</v>
      </c>
      <c r="B198" s="308" t="s">
        <v>353</v>
      </c>
      <c r="C198" s="311">
        <f t="shared" ref="C198:D200" si="57">SUM(E198+G198+I198+K198)</f>
        <v>516483953.05000001</v>
      </c>
      <c r="D198" s="262">
        <f t="shared" si="57"/>
        <v>1</v>
      </c>
      <c r="E198" s="311">
        <f>SUMIFS('Distribución OyA Detalle'!$G:$G,'Distribución OyA Detalle'!$A:$A,1,'Distribución OyA Detalle'!$D:$D,A198)</f>
        <v>497144880.05000001</v>
      </c>
      <c r="F198" s="262">
        <f>+E198/C198</f>
        <v>0.96255629456482295</v>
      </c>
      <c r="G198" s="311">
        <f>SUMIFS('Distribución OyA Detalle'!$G:$G,'Distribución OyA Detalle'!$A:$A,2,'Distribución OyA Detalle'!$D:$D,A198)</f>
        <v>0</v>
      </c>
      <c r="H198" s="262">
        <f>G198/C198</f>
        <v>0</v>
      </c>
      <c r="I198" s="311">
        <f>SUMIFS('Distribución OyA Detalle'!$G:$G,'Distribución OyA Detalle'!$A:$A,3,'Distribución OyA Detalle'!$D:$D,A198)</f>
        <v>19339073</v>
      </c>
      <c r="J198" s="262">
        <f>I198/C198</f>
        <v>3.744370543517702E-2</v>
      </c>
      <c r="K198" s="311">
        <f>SUMIFS('Distribución OyA Detalle'!$G:$G,'Distribución OyA Detalle'!$A:$A,4,'Distribución OyA Detalle'!$D:$D,A198)</f>
        <v>0</v>
      </c>
      <c r="L198" s="712">
        <f>+K198/C198</f>
        <v>0</v>
      </c>
    </row>
    <row r="199" spans="1:12" ht="17.399999999999999" hidden="1" outlineLevel="1">
      <c r="A199" s="74" t="s">
        <v>643</v>
      </c>
      <c r="B199" s="308" t="s">
        <v>644</v>
      </c>
      <c r="C199" s="311">
        <f t="shared" si="57"/>
        <v>0</v>
      </c>
      <c r="D199" s="262" t="e">
        <f t="shared" si="57"/>
        <v>#DIV/0!</v>
      </c>
      <c r="E199" s="311">
        <f>SUMIFS('Distribución OyA Detalle'!$G:$G,'Distribución OyA Detalle'!$A:$A,1,'Distribución OyA Detalle'!$D:$D,A199)</f>
        <v>0</v>
      </c>
      <c r="F199" s="262" t="e">
        <f>+E199/C199</f>
        <v>#DIV/0!</v>
      </c>
      <c r="G199" s="311">
        <f>SUMIFS('Distribución OyA Detalle'!$G:$G,'Distribución OyA Detalle'!$A:$A,2,'Distribución OyA Detalle'!$D:$D,A199)</f>
        <v>0</v>
      </c>
      <c r="H199" s="262" t="e">
        <f>G199/C199</f>
        <v>#DIV/0!</v>
      </c>
      <c r="I199" s="311">
        <f>SUMIFS('Distribución OyA Detalle'!$G:$G,'Distribución OyA Detalle'!$A:$A,3,'Distribución OyA Detalle'!$D:$D,A199)</f>
        <v>0</v>
      </c>
      <c r="J199" s="262" t="e">
        <f>I199/C199</f>
        <v>#DIV/0!</v>
      </c>
      <c r="K199" s="311">
        <f>SUMIFS('Distribución OyA Detalle'!$G:$G,'Distribución OyA Detalle'!$A:$A,4,'Distribución OyA Detalle'!$D:$D,A199)</f>
        <v>0</v>
      </c>
      <c r="L199" s="712" t="e">
        <f>+K199/C199</f>
        <v>#DIV/0!</v>
      </c>
    </row>
    <row r="200" spans="1:12" ht="17.399999999999999" hidden="1" outlineLevel="1">
      <c r="A200" s="74" t="s">
        <v>227</v>
      </c>
      <c r="B200" s="308" t="s">
        <v>645</v>
      </c>
      <c r="C200" s="311">
        <f t="shared" si="57"/>
        <v>0</v>
      </c>
      <c r="D200" s="262" t="e">
        <f t="shared" si="57"/>
        <v>#DIV/0!</v>
      </c>
      <c r="E200" s="311">
        <f>SUMIFS('Distribución OyA Detalle'!$G:$G,'Distribución OyA Detalle'!$A:$A,1,'Distribución OyA Detalle'!$D:$D,A200)</f>
        <v>0</v>
      </c>
      <c r="F200" s="262" t="e">
        <f>+E200/C200</f>
        <v>#DIV/0!</v>
      </c>
      <c r="G200" s="311">
        <f>SUMIFS('Distribución OyA Detalle'!$G:$G,'Distribución OyA Detalle'!$A:$A,2,'Distribución OyA Detalle'!$D:$D,A200)</f>
        <v>0</v>
      </c>
      <c r="H200" s="262" t="e">
        <f>G200/C200</f>
        <v>#DIV/0!</v>
      </c>
      <c r="I200" s="311">
        <f>SUMIFS('Distribución OyA Detalle'!$G:$G,'Distribución OyA Detalle'!$A:$A,3,'Distribución OyA Detalle'!$D:$D,A200)</f>
        <v>0</v>
      </c>
      <c r="J200" s="262" t="e">
        <f>I200/C200</f>
        <v>#DIV/0!</v>
      </c>
      <c r="K200" s="311">
        <f>SUMIFS('Distribución OyA Detalle'!$G:$G,'Distribución OyA Detalle'!$A:$A,4,'Distribución OyA Detalle'!$D:$D,A200)</f>
        <v>0</v>
      </c>
      <c r="L200" s="712" t="e">
        <f>+K200/C200</f>
        <v>#DIV/0!</v>
      </c>
    </row>
    <row r="201" spans="1:12" ht="9.9" customHeight="1">
      <c r="B201" s="265"/>
      <c r="C201" s="269"/>
      <c r="D201" s="262"/>
      <c r="E201" s="269"/>
      <c r="F201" s="262"/>
      <c r="G201" s="269"/>
      <c r="H201" s="262"/>
      <c r="I201" s="269"/>
      <c r="J201" s="262"/>
      <c r="K201" s="269"/>
      <c r="L201" s="712"/>
    </row>
    <row r="202" spans="1:12" ht="15.9" customHeight="1">
      <c r="B202" s="317" t="s">
        <v>229</v>
      </c>
      <c r="C202" s="318">
        <f>+C204+C223+C235+C231+C216</f>
        <v>654919272</v>
      </c>
      <c r="D202" s="347">
        <f>SUM(F202+H202+J202+L202)</f>
        <v>1</v>
      </c>
      <c r="E202" s="318">
        <f>+E204+E223+E235+E231+E216</f>
        <v>137000000</v>
      </c>
      <c r="F202" s="347">
        <f>+E202/C202</f>
        <v>0.20918608728924379</v>
      </c>
      <c r="G202" s="318">
        <f>+G204+G223+G235+G231+G216</f>
        <v>0</v>
      </c>
      <c r="H202" s="347">
        <f>G202/C202</f>
        <v>0</v>
      </c>
      <c r="I202" s="318">
        <f>+I204+I223+I235+I231+I216</f>
        <v>516719272</v>
      </c>
      <c r="J202" s="347">
        <f>I202/C202</f>
        <v>0.78898162581479203</v>
      </c>
      <c r="K202" s="318">
        <f>+K204+K223+K235+K231+K216</f>
        <v>1200000</v>
      </c>
      <c r="L202" s="348">
        <f>+K202/C202</f>
        <v>1.8322868959641792E-3</v>
      </c>
    </row>
    <row r="203" spans="1:12" ht="9.9" customHeight="1">
      <c r="B203" s="265"/>
      <c r="C203" s="269"/>
      <c r="D203" s="262"/>
      <c r="E203" s="269"/>
      <c r="F203" s="262"/>
      <c r="G203" s="269"/>
      <c r="H203" s="262"/>
      <c r="I203" s="269"/>
      <c r="J203" s="262"/>
      <c r="K203" s="269"/>
      <c r="L203" s="712"/>
    </row>
    <row r="204" spans="1:12" ht="15.9" customHeight="1">
      <c r="B204" s="306" t="s">
        <v>588</v>
      </c>
      <c r="C204" s="307">
        <f>SUM(C206:C214)</f>
        <v>471894272</v>
      </c>
      <c r="D204" s="349">
        <f>SUM(F204+H204+J204)</f>
        <v>1</v>
      </c>
      <c r="E204" s="307">
        <f>SUM(E206:E214)</f>
        <v>60000000</v>
      </c>
      <c r="F204" s="349">
        <f>+E204/C204</f>
        <v>0.12714712502380193</v>
      </c>
      <c r="G204" s="307">
        <f>SUM(G206:G214)</f>
        <v>0</v>
      </c>
      <c r="H204" s="349">
        <f>G204/C204</f>
        <v>0</v>
      </c>
      <c r="I204" s="307">
        <f>SUM(I206:I214)</f>
        <v>411894272</v>
      </c>
      <c r="J204" s="349">
        <f>I204/C204</f>
        <v>0.87285287497619801</v>
      </c>
      <c r="K204" s="307">
        <f>SUM(K206:K214)</f>
        <v>0</v>
      </c>
      <c r="L204" s="350">
        <f>+K204/C204</f>
        <v>0</v>
      </c>
    </row>
    <row r="205" spans="1:12" ht="9.9" customHeight="1">
      <c r="B205" s="265"/>
      <c r="C205" s="269"/>
      <c r="D205" s="262"/>
      <c r="E205" s="269"/>
      <c r="F205" s="262"/>
      <c r="G205" s="269"/>
      <c r="H205" s="262"/>
      <c r="I205" s="269"/>
      <c r="J205" s="262"/>
      <c r="K205" s="269"/>
      <c r="L205" s="712"/>
    </row>
    <row r="206" spans="1:12" ht="17.399999999999999" collapsed="1">
      <c r="A206" s="74" t="s">
        <v>302</v>
      </c>
      <c r="B206" s="265" t="s">
        <v>354</v>
      </c>
      <c r="C206" s="311">
        <f t="shared" ref="C206:C214" si="58">SUM(E206+G206+I206+K206)</f>
        <v>471894272</v>
      </c>
      <c r="D206" s="262">
        <f t="shared" ref="D206:D214" si="59">SUM(F206+H206+J206+L206)</f>
        <v>1</v>
      </c>
      <c r="E206" s="311">
        <f>SUMIFS('Distribución OyA Detalle'!$G:$G,'Distribución OyA Detalle'!$A:$A,1,'Distribución OyA Detalle'!$D:$D,A206)</f>
        <v>60000000</v>
      </c>
      <c r="F206" s="262">
        <f t="shared" ref="F206:F214" si="60">+E206/C206</f>
        <v>0.12714712502380193</v>
      </c>
      <c r="G206" s="311">
        <f>SUMIFS('Distribución OyA Detalle'!$G:$G,'Distribución OyA Detalle'!$A:$A,2,'Distribución OyA Detalle'!$D:$D,A206)</f>
        <v>0</v>
      </c>
      <c r="H206" s="262">
        <f t="shared" ref="H206:H214" si="61">G206/C206</f>
        <v>0</v>
      </c>
      <c r="I206" s="311">
        <f>SUMIFS('Distribución OyA Detalle'!$G:$G,'Distribución OyA Detalle'!$A:$A,3,'Distribución OyA Detalle'!$D:$D,A206)</f>
        <v>411894272</v>
      </c>
      <c r="J206" s="262">
        <f t="shared" ref="J206:J214" si="62">I206/C206</f>
        <v>0.87285287497619801</v>
      </c>
      <c r="K206" s="311">
        <f>SUMIFS('Distribución OyA Detalle'!$G:$G,'Distribución OyA Detalle'!$A:$A,4,'Distribución OyA Detalle'!$D:$D,A206)</f>
        <v>0</v>
      </c>
      <c r="L206" s="712">
        <f t="shared" ref="L206:L214" si="63">+K206/C206</f>
        <v>0</v>
      </c>
    </row>
    <row r="207" spans="1:12" ht="17.399999999999999" hidden="1">
      <c r="A207" s="74" t="s">
        <v>231</v>
      </c>
      <c r="B207" s="265" t="s">
        <v>589</v>
      </c>
      <c r="C207" s="311">
        <f t="shared" si="58"/>
        <v>0</v>
      </c>
      <c r="D207" s="262" t="e">
        <f t="shared" si="59"/>
        <v>#DIV/0!</v>
      </c>
      <c r="E207" s="311">
        <f>SUMIFS('Distribución OyA Detalle'!$G:$G,'Distribución OyA Detalle'!$A:$A,1,'Distribución OyA Detalle'!$D:$D,A207)</f>
        <v>0</v>
      </c>
      <c r="F207" s="262" t="e">
        <f t="shared" si="60"/>
        <v>#DIV/0!</v>
      </c>
      <c r="G207" s="311">
        <f>SUMIFS('Distribución OyA Detalle'!$G:$G,'Distribución OyA Detalle'!$A:$A,2,'Distribución OyA Detalle'!$D:$D,A207)</f>
        <v>0</v>
      </c>
      <c r="H207" s="262" t="e">
        <f t="shared" si="61"/>
        <v>#DIV/0!</v>
      </c>
      <c r="I207" s="311">
        <f>SUMIFS('Distribución OyA Detalle'!$G:$G,'Distribución OyA Detalle'!$A:$A,3,'Distribución OyA Detalle'!$D:$D,A207)</f>
        <v>0</v>
      </c>
      <c r="J207" s="262" t="e">
        <f t="shared" si="62"/>
        <v>#DIV/0!</v>
      </c>
      <c r="K207" s="311">
        <f>SUMIFS('Distribución OyA Detalle'!$G:$G,'Distribución OyA Detalle'!$A:$A,4,'Distribución OyA Detalle'!$D:$D,A207)</f>
        <v>0</v>
      </c>
      <c r="L207" s="712" t="e">
        <f t="shared" si="63"/>
        <v>#DIV/0!</v>
      </c>
    </row>
    <row r="208" spans="1:12" ht="17.399999999999999" hidden="1">
      <c r="A208" s="74" t="s">
        <v>590</v>
      </c>
      <c r="B208" s="265" t="s">
        <v>591</v>
      </c>
      <c r="C208" s="311">
        <f t="shared" si="58"/>
        <v>0</v>
      </c>
      <c r="D208" s="262" t="e">
        <f t="shared" si="59"/>
        <v>#DIV/0!</v>
      </c>
      <c r="E208" s="311">
        <f>SUMIFS('Distribución OyA Detalle'!$G:$G,'Distribución OyA Detalle'!$A:$A,1,'Distribución OyA Detalle'!$D:$D,A208)</f>
        <v>0</v>
      </c>
      <c r="F208" s="262" t="e">
        <f t="shared" si="60"/>
        <v>#DIV/0!</v>
      </c>
      <c r="G208" s="311">
        <f>SUMIFS('Distribución OyA Detalle'!$G:$G,'Distribución OyA Detalle'!$A:$A,2,'Distribución OyA Detalle'!$D:$D,A208)</f>
        <v>0</v>
      </c>
      <c r="H208" s="262" t="e">
        <f t="shared" si="61"/>
        <v>#DIV/0!</v>
      </c>
      <c r="I208" s="311">
        <f>SUMIFS('Distribución OyA Detalle'!$G:$G,'Distribución OyA Detalle'!$A:$A,3,'Distribución OyA Detalle'!$D:$D,A208)</f>
        <v>0</v>
      </c>
      <c r="J208" s="262" t="e">
        <f t="shared" si="62"/>
        <v>#DIV/0!</v>
      </c>
      <c r="K208" s="311">
        <f>SUMIFS('Distribución OyA Detalle'!$G:$G,'Distribución OyA Detalle'!$A:$A,4,'Distribución OyA Detalle'!$D:$D,A208)</f>
        <v>0</v>
      </c>
      <c r="L208" s="712" t="e">
        <f t="shared" si="63"/>
        <v>#DIV/0!</v>
      </c>
    </row>
    <row r="209" spans="1:12" ht="17.399999999999999" hidden="1">
      <c r="A209" s="74" t="s">
        <v>592</v>
      </c>
      <c r="B209" s="265" t="s">
        <v>593</v>
      </c>
      <c r="C209" s="311">
        <f t="shared" si="58"/>
        <v>0</v>
      </c>
      <c r="D209" s="262" t="e">
        <f t="shared" si="59"/>
        <v>#DIV/0!</v>
      </c>
      <c r="E209" s="311">
        <f>SUMIFS('Distribución OyA Detalle'!$G:$G,'Distribución OyA Detalle'!$A:$A,1,'Distribución OyA Detalle'!$D:$D,A209)</f>
        <v>0</v>
      </c>
      <c r="F209" s="262" t="e">
        <f t="shared" si="60"/>
        <v>#DIV/0!</v>
      </c>
      <c r="G209" s="311">
        <f>SUMIFS('Distribución OyA Detalle'!$G:$G,'Distribución OyA Detalle'!$A:$A,2,'Distribución OyA Detalle'!$D:$D,A209)</f>
        <v>0</v>
      </c>
      <c r="H209" s="262" t="e">
        <f t="shared" si="61"/>
        <v>#DIV/0!</v>
      </c>
      <c r="I209" s="311">
        <f>SUMIFS('Distribución OyA Detalle'!$G:$G,'Distribución OyA Detalle'!$A:$A,3,'Distribución OyA Detalle'!$D:$D,A209)</f>
        <v>0</v>
      </c>
      <c r="J209" s="262" t="e">
        <f t="shared" si="62"/>
        <v>#DIV/0!</v>
      </c>
      <c r="K209" s="311">
        <f>SUMIFS('Distribución OyA Detalle'!$G:$G,'Distribución OyA Detalle'!$A:$A,4,'Distribución OyA Detalle'!$D:$D,A209)</f>
        <v>0</v>
      </c>
      <c r="L209" s="712" t="e">
        <f t="shared" si="63"/>
        <v>#DIV/0!</v>
      </c>
    </row>
    <row r="210" spans="1:12" ht="17.399999999999999" hidden="1">
      <c r="A210" s="74" t="s">
        <v>594</v>
      </c>
      <c r="B210" s="265" t="s">
        <v>595</v>
      </c>
      <c r="C210" s="311">
        <f t="shared" si="58"/>
        <v>0</v>
      </c>
      <c r="D210" s="262" t="e">
        <f t="shared" si="59"/>
        <v>#DIV/0!</v>
      </c>
      <c r="E210" s="311">
        <f>SUMIFS('Distribución OyA Detalle'!$G:$G,'Distribución OyA Detalle'!$A:$A,1,'Distribución OyA Detalle'!$D:$D,A210)</f>
        <v>0</v>
      </c>
      <c r="F210" s="262" t="e">
        <f t="shared" si="60"/>
        <v>#DIV/0!</v>
      </c>
      <c r="G210" s="311">
        <f>SUMIFS('Distribución OyA Detalle'!$G:$G,'Distribución OyA Detalle'!$A:$A,2,'Distribución OyA Detalle'!$D:$D,A210)</f>
        <v>0</v>
      </c>
      <c r="H210" s="262" t="e">
        <f t="shared" si="61"/>
        <v>#DIV/0!</v>
      </c>
      <c r="I210" s="311">
        <f>SUMIFS('Distribución OyA Detalle'!$G:$G,'Distribución OyA Detalle'!$A:$A,3,'Distribución OyA Detalle'!$D:$D,A210)</f>
        <v>0</v>
      </c>
      <c r="J210" s="262" t="e">
        <f t="shared" si="62"/>
        <v>#DIV/0!</v>
      </c>
      <c r="K210" s="311">
        <f>SUMIFS('Distribución OyA Detalle'!$G:$G,'Distribución OyA Detalle'!$A:$A,4,'Distribución OyA Detalle'!$D:$D,A210)</f>
        <v>0</v>
      </c>
      <c r="L210" s="712" t="e">
        <f t="shared" si="63"/>
        <v>#DIV/0!</v>
      </c>
    </row>
    <row r="211" spans="1:12" ht="17.399999999999999" hidden="1">
      <c r="A211" s="74" t="s">
        <v>596</v>
      </c>
      <c r="B211" s="265" t="s">
        <v>597</v>
      </c>
      <c r="C211" s="311">
        <f t="shared" si="58"/>
        <v>0</v>
      </c>
      <c r="D211" s="262" t="e">
        <f t="shared" si="59"/>
        <v>#DIV/0!</v>
      </c>
      <c r="E211" s="311">
        <f>SUMIFS('Distribución OyA Detalle'!$G:$G,'Distribución OyA Detalle'!$A:$A,1,'Distribución OyA Detalle'!$D:$D,A211)</f>
        <v>0</v>
      </c>
      <c r="F211" s="262" t="e">
        <f t="shared" si="60"/>
        <v>#DIV/0!</v>
      </c>
      <c r="G211" s="311">
        <f>SUMIFS('Distribución OyA Detalle'!$G:$G,'Distribución OyA Detalle'!$A:$A,2,'Distribución OyA Detalle'!$D:$D,A211)</f>
        <v>0</v>
      </c>
      <c r="H211" s="262" t="e">
        <f t="shared" si="61"/>
        <v>#DIV/0!</v>
      </c>
      <c r="I211" s="311">
        <f>SUMIFS('Distribución OyA Detalle'!$G:$G,'Distribución OyA Detalle'!$A:$A,3,'Distribución OyA Detalle'!$D:$D,A211)</f>
        <v>0</v>
      </c>
      <c r="J211" s="262" t="e">
        <f t="shared" si="62"/>
        <v>#DIV/0!</v>
      </c>
      <c r="K211" s="311">
        <f>SUMIFS('Distribución OyA Detalle'!$G:$G,'Distribución OyA Detalle'!$A:$A,4,'Distribución OyA Detalle'!$D:$D,A211)</f>
        <v>0</v>
      </c>
      <c r="L211" s="712" t="e">
        <f t="shared" si="63"/>
        <v>#DIV/0!</v>
      </c>
    </row>
    <row r="212" spans="1:12" ht="17.399999999999999" hidden="1">
      <c r="A212" s="74" t="s">
        <v>598</v>
      </c>
      <c r="B212" s="265" t="s">
        <v>599</v>
      </c>
      <c r="C212" s="311">
        <f t="shared" si="58"/>
        <v>0</v>
      </c>
      <c r="D212" s="262" t="e">
        <f t="shared" si="59"/>
        <v>#DIV/0!</v>
      </c>
      <c r="E212" s="311">
        <f>SUMIFS('Distribución OyA Detalle'!$G:$G,'Distribución OyA Detalle'!$A:$A,1,'Distribución OyA Detalle'!$D:$D,A212)</f>
        <v>0</v>
      </c>
      <c r="F212" s="262" t="e">
        <f t="shared" si="60"/>
        <v>#DIV/0!</v>
      </c>
      <c r="G212" s="311">
        <f>SUMIFS('Distribución OyA Detalle'!$G:$G,'Distribución OyA Detalle'!$A:$A,2,'Distribución OyA Detalle'!$D:$D,A212)</f>
        <v>0</v>
      </c>
      <c r="H212" s="262" t="e">
        <f t="shared" si="61"/>
        <v>#DIV/0!</v>
      </c>
      <c r="I212" s="311">
        <f>SUMIFS('Distribución OyA Detalle'!$G:$G,'Distribución OyA Detalle'!$A:$A,3,'Distribución OyA Detalle'!$D:$D,A212)</f>
        <v>0</v>
      </c>
      <c r="J212" s="262" t="e">
        <f t="shared" si="62"/>
        <v>#DIV/0!</v>
      </c>
      <c r="K212" s="311">
        <f>SUMIFS('Distribución OyA Detalle'!$G:$G,'Distribución OyA Detalle'!$A:$A,4,'Distribución OyA Detalle'!$D:$D,A212)</f>
        <v>0</v>
      </c>
      <c r="L212" s="712" t="e">
        <f t="shared" si="63"/>
        <v>#DIV/0!</v>
      </c>
    </row>
    <row r="213" spans="1:12" ht="17.399999999999999" hidden="1">
      <c r="A213" s="74" t="s">
        <v>600</v>
      </c>
      <c r="B213" s="265" t="s">
        <v>601</v>
      </c>
      <c r="C213" s="311">
        <f t="shared" si="58"/>
        <v>0</v>
      </c>
      <c r="D213" s="262" t="e">
        <f t="shared" si="59"/>
        <v>#DIV/0!</v>
      </c>
      <c r="E213" s="311">
        <f>SUMIFS('Distribución OyA Detalle'!$G:$G,'Distribución OyA Detalle'!$A:$A,1,'Distribución OyA Detalle'!$D:$D,A213)</f>
        <v>0</v>
      </c>
      <c r="F213" s="262" t="e">
        <f t="shared" si="60"/>
        <v>#DIV/0!</v>
      </c>
      <c r="G213" s="311">
        <f>SUMIFS('Distribución OyA Detalle'!$G:$G,'Distribución OyA Detalle'!$A:$A,2,'Distribución OyA Detalle'!$D:$D,A213)</f>
        <v>0</v>
      </c>
      <c r="H213" s="262" t="e">
        <f t="shared" si="61"/>
        <v>#DIV/0!</v>
      </c>
      <c r="I213" s="311">
        <f>SUMIFS('Distribución OyA Detalle'!$G:$G,'Distribución OyA Detalle'!$A:$A,3,'Distribución OyA Detalle'!$D:$D,A213)</f>
        <v>0</v>
      </c>
      <c r="J213" s="262" t="e">
        <f t="shared" si="62"/>
        <v>#DIV/0!</v>
      </c>
      <c r="K213" s="311">
        <f>SUMIFS('Distribución OyA Detalle'!$G:$G,'Distribución OyA Detalle'!$A:$A,4,'Distribución OyA Detalle'!$D:$D,A213)</f>
        <v>0</v>
      </c>
      <c r="L213" s="712" t="e">
        <f t="shared" si="63"/>
        <v>#DIV/0!</v>
      </c>
    </row>
    <row r="214" spans="1:12" ht="17.399999999999999" hidden="1">
      <c r="A214" s="74" t="s">
        <v>602</v>
      </c>
      <c r="B214" s="265" t="s">
        <v>603</v>
      </c>
      <c r="C214" s="311">
        <f t="shared" si="58"/>
        <v>0</v>
      </c>
      <c r="D214" s="262" t="e">
        <f t="shared" si="59"/>
        <v>#DIV/0!</v>
      </c>
      <c r="E214" s="311">
        <f>SUMIFS('Distribución OyA Detalle'!$G:$G,'Distribución OyA Detalle'!$A:$A,1,'Distribución OyA Detalle'!$D:$D,A214)</f>
        <v>0</v>
      </c>
      <c r="F214" s="262" t="e">
        <f t="shared" si="60"/>
        <v>#DIV/0!</v>
      </c>
      <c r="G214" s="311">
        <f>SUMIFS('Distribución OyA Detalle'!$G:$G,'Distribución OyA Detalle'!$A:$A,2,'Distribución OyA Detalle'!$D:$D,A214)</f>
        <v>0</v>
      </c>
      <c r="H214" s="262" t="e">
        <f t="shared" si="61"/>
        <v>#DIV/0!</v>
      </c>
      <c r="I214" s="311">
        <f>SUMIFS('Distribución OyA Detalle'!$G:$G,'Distribución OyA Detalle'!$A:$A,3,'Distribución OyA Detalle'!$D:$D,A214)</f>
        <v>0</v>
      </c>
      <c r="J214" s="262" t="e">
        <f t="shared" si="62"/>
        <v>#DIV/0!</v>
      </c>
      <c r="K214" s="311">
        <f>SUMIFS('Distribución OyA Detalle'!$G:$G,'Distribución OyA Detalle'!$A:$A,4,'Distribución OyA Detalle'!$D:$D,A214)</f>
        <v>0</v>
      </c>
      <c r="L214" s="712" t="e">
        <f t="shared" si="63"/>
        <v>#DIV/0!</v>
      </c>
    </row>
    <row r="215" spans="1:12" ht="9.9" customHeight="1">
      <c r="B215" s="323"/>
      <c r="C215" s="760"/>
      <c r="D215" s="273"/>
      <c r="E215" s="310"/>
      <c r="F215" s="273"/>
      <c r="G215" s="310"/>
      <c r="H215" s="273"/>
      <c r="I215" s="310"/>
      <c r="J215" s="273"/>
      <c r="K215" s="310"/>
      <c r="L215" s="745"/>
    </row>
    <row r="216" spans="1:12" ht="15.9" customHeight="1">
      <c r="B216" s="306" t="s">
        <v>611</v>
      </c>
      <c r="C216" s="307">
        <f>SUM(C218:C221)</f>
        <v>7000000</v>
      </c>
      <c r="D216" s="349">
        <f>SUM(F216+H216+J216)</f>
        <v>1</v>
      </c>
      <c r="E216" s="307">
        <f>SUM(E218:E221)</f>
        <v>7000000</v>
      </c>
      <c r="F216" s="349">
        <f>+E216/C216</f>
        <v>1</v>
      </c>
      <c r="G216" s="307">
        <f>SUM(G218:G221)</f>
        <v>0</v>
      </c>
      <c r="H216" s="349">
        <f>G216/C216</f>
        <v>0</v>
      </c>
      <c r="I216" s="307">
        <f>SUM(I218:I221)</f>
        <v>0</v>
      </c>
      <c r="J216" s="349">
        <f>I216/C216</f>
        <v>0</v>
      </c>
      <c r="K216" s="307">
        <f>SUM(K218:K221)</f>
        <v>0</v>
      </c>
      <c r="L216" s="350">
        <f>+K216/C216</f>
        <v>0</v>
      </c>
    </row>
    <row r="217" spans="1:12" ht="5.4" customHeight="1">
      <c r="B217" s="265"/>
      <c r="C217" s="269"/>
      <c r="D217" s="262"/>
      <c r="E217" s="269"/>
      <c r="F217" s="262"/>
      <c r="G217" s="269"/>
      <c r="H217" s="262"/>
      <c r="I217" s="269"/>
      <c r="J217" s="262"/>
      <c r="K217" s="269"/>
      <c r="L217" s="712"/>
    </row>
    <row r="218" spans="1:12" ht="15.9" hidden="1" customHeight="1" collapsed="1">
      <c r="A218" s="74" t="s">
        <v>612</v>
      </c>
      <c r="B218" s="265" t="s">
        <v>613</v>
      </c>
      <c r="C218" s="311">
        <f t="shared" ref="C218:D221" si="64">SUM(E218+G218+I218+K218)</f>
        <v>0</v>
      </c>
      <c r="D218" s="262" t="e">
        <f t="shared" si="64"/>
        <v>#DIV/0!</v>
      </c>
      <c r="E218" s="311">
        <f>SUMIFS('Distribución OyA Detalle'!$G:$G,'Distribución OyA Detalle'!$A:$A,1,'Distribución OyA Detalle'!$D:$D,A218)</f>
        <v>0</v>
      </c>
      <c r="F218" s="262" t="e">
        <f>+E218/C218</f>
        <v>#DIV/0!</v>
      </c>
      <c r="G218" s="311">
        <f>SUMIFS('Distribución OyA Detalle'!$G:$G,'Distribución OyA Detalle'!$A:$A,2,'Distribución OyA Detalle'!$D:$D,A218)</f>
        <v>0</v>
      </c>
      <c r="H218" s="262" t="e">
        <f>G218/C218</f>
        <v>#DIV/0!</v>
      </c>
      <c r="I218" s="311">
        <f>SUMIFS('Distribución OyA Detalle'!$G:$G,'Distribución OyA Detalle'!$A:$A,3,'Distribución OyA Detalle'!$D:$D,A218)</f>
        <v>0</v>
      </c>
      <c r="J218" s="262" t="e">
        <f>I218/C218</f>
        <v>#DIV/0!</v>
      </c>
      <c r="K218" s="311">
        <f>SUMIFS('Distribución OyA Detalle'!$G:$G,'Distribución OyA Detalle'!$A:$A,4,'Distribución OyA Detalle'!$D:$D,A218)</f>
        <v>0</v>
      </c>
      <c r="L218" s="712" t="e">
        <f>+K218/C218</f>
        <v>#DIV/0!</v>
      </c>
    </row>
    <row r="219" spans="1:12" ht="15.9" customHeight="1">
      <c r="A219" s="74" t="s">
        <v>614</v>
      </c>
      <c r="B219" s="265" t="s">
        <v>615</v>
      </c>
      <c r="C219" s="311">
        <f t="shared" si="64"/>
        <v>7000000</v>
      </c>
      <c r="D219" s="262">
        <f t="shared" si="64"/>
        <v>1</v>
      </c>
      <c r="E219" s="311">
        <f>SUMIFS('Distribución OyA Detalle'!$G:$G,'Distribución OyA Detalle'!$A:$A,1,'Distribución OyA Detalle'!$D:$D,A219)</f>
        <v>7000000</v>
      </c>
      <c r="F219" s="262">
        <f>+E219/C219</f>
        <v>1</v>
      </c>
      <c r="G219" s="311">
        <f>SUMIFS('Distribución OyA Detalle'!$G:$G,'Distribución OyA Detalle'!$A:$A,2,'Distribución OyA Detalle'!$D:$D,A219)</f>
        <v>0</v>
      </c>
      <c r="H219" s="262">
        <f>G219/C219</f>
        <v>0</v>
      </c>
      <c r="I219" s="311">
        <f>SUMIFS('Distribución OyA Detalle'!$G:$G,'Distribución OyA Detalle'!$A:$A,3,'Distribución OyA Detalle'!$D:$D,A219)</f>
        <v>0</v>
      </c>
      <c r="J219" s="262">
        <f>I219/C219</f>
        <v>0</v>
      </c>
      <c r="K219" s="311">
        <f>SUMIFS('Distribución OyA Detalle'!$G:$G,'Distribución OyA Detalle'!$A:$A,4,'Distribución OyA Detalle'!$D:$D,A219)</f>
        <v>0</v>
      </c>
      <c r="L219" s="712">
        <f>+K219/C219</f>
        <v>0</v>
      </c>
    </row>
    <row r="220" spans="1:12" ht="15.9" hidden="1" customHeight="1">
      <c r="A220" s="74" t="s">
        <v>616</v>
      </c>
      <c r="B220" s="265" t="s">
        <v>617</v>
      </c>
      <c r="C220" s="311">
        <f t="shared" si="64"/>
        <v>0</v>
      </c>
      <c r="D220" s="262" t="e">
        <f t="shared" si="64"/>
        <v>#DIV/0!</v>
      </c>
      <c r="E220" s="311">
        <f>SUMIFS('Distribución OyA Detalle'!$G:$G,'Distribución OyA Detalle'!$A:$A,1,'Distribución OyA Detalle'!$D:$D,A220)</f>
        <v>0</v>
      </c>
      <c r="F220" s="262" t="e">
        <f>+E220/C220</f>
        <v>#DIV/0!</v>
      </c>
      <c r="G220" s="311">
        <f>SUMIFS('Distribución OyA Detalle'!$G:$G,'Distribución OyA Detalle'!$A:$A,2,'Distribución OyA Detalle'!$D:$D,A220)</f>
        <v>0</v>
      </c>
      <c r="H220" s="262" t="e">
        <f>G220/C220</f>
        <v>#DIV/0!</v>
      </c>
      <c r="I220" s="311">
        <f>SUMIFS('Distribución OyA Detalle'!$G:$G,'Distribución OyA Detalle'!$A:$A,3,'Distribución OyA Detalle'!$D:$D,A220)</f>
        <v>0</v>
      </c>
      <c r="J220" s="262" t="e">
        <f>I220/C220</f>
        <v>#DIV/0!</v>
      </c>
      <c r="K220" s="311">
        <f>SUMIFS('Distribución OyA Detalle'!$G:$G,'Distribución OyA Detalle'!$A:$A,4,'Distribución OyA Detalle'!$D:$D,A220)</f>
        <v>0</v>
      </c>
      <c r="L220" s="712" t="e">
        <f>+K220/C220</f>
        <v>#DIV/0!</v>
      </c>
    </row>
    <row r="221" spans="1:12" ht="15.9" hidden="1" customHeight="1">
      <c r="A221" s="74" t="s">
        <v>618</v>
      </c>
      <c r="B221" s="265" t="s">
        <v>619</v>
      </c>
      <c r="C221" s="311">
        <f t="shared" si="64"/>
        <v>0</v>
      </c>
      <c r="D221" s="262" t="e">
        <f t="shared" si="64"/>
        <v>#DIV/0!</v>
      </c>
      <c r="E221" s="311">
        <f>SUMIFS('Distribución OyA Detalle'!$G:$G,'Distribución OyA Detalle'!$A:$A,1,'Distribución OyA Detalle'!$D:$D,A221)</f>
        <v>0</v>
      </c>
      <c r="F221" s="262" t="e">
        <f>+E221/C221</f>
        <v>#DIV/0!</v>
      </c>
      <c r="G221" s="311">
        <f>SUMIFS('Distribución OyA Detalle'!$G:$G,'Distribución OyA Detalle'!$A:$A,2,'Distribución OyA Detalle'!$D:$D,A221)</f>
        <v>0</v>
      </c>
      <c r="H221" s="262" t="e">
        <f>G221/C221</f>
        <v>#DIV/0!</v>
      </c>
      <c r="I221" s="311">
        <f>SUMIFS('Distribución OyA Detalle'!$G:$G,'Distribución OyA Detalle'!$A:$A,3,'Distribución OyA Detalle'!$D:$D,A221)</f>
        <v>0</v>
      </c>
      <c r="J221" s="262" t="e">
        <f>I221/C221</f>
        <v>#DIV/0!</v>
      </c>
      <c r="K221" s="311">
        <f>SUMIFS('Distribución OyA Detalle'!$G:$G,'Distribución OyA Detalle'!$A:$A,4,'Distribución OyA Detalle'!$D:$D,A221)</f>
        <v>0</v>
      </c>
      <c r="L221" s="712" t="e">
        <f>+K221/C221</f>
        <v>#DIV/0!</v>
      </c>
    </row>
    <row r="222" spans="1:12" ht="5.4" customHeight="1">
      <c r="B222" s="323"/>
      <c r="C222" s="310"/>
      <c r="D222" s="273"/>
      <c r="E222" s="310"/>
      <c r="F222" s="273"/>
      <c r="G222" s="310"/>
      <c r="H222" s="273"/>
      <c r="I222" s="310"/>
      <c r="J222" s="273"/>
      <c r="K222" s="310"/>
      <c r="L222" s="745"/>
    </row>
    <row r="223" spans="1:12" ht="15.9" customHeight="1">
      <c r="B223" s="306" t="s">
        <v>233</v>
      </c>
      <c r="C223" s="307">
        <f>SUM(C225:C229)</f>
        <v>134825000</v>
      </c>
      <c r="D223" s="349">
        <f>SUM(F223+H223+J223)</f>
        <v>1</v>
      </c>
      <c r="E223" s="307">
        <f>SUM(E225:E229)</f>
        <v>70000000</v>
      </c>
      <c r="F223" s="349">
        <f>+E223/C223</f>
        <v>0.51919154459484518</v>
      </c>
      <c r="G223" s="307">
        <f>SUM(G225:G229)</f>
        <v>0</v>
      </c>
      <c r="H223" s="349">
        <f>G223/C223</f>
        <v>0</v>
      </c>
      <c r="I223" s="307">
        <f>SUM(I225:I229)</f>
        <v>64825000</v>
      </c>
      <c r="J223" s="349">
        <f>I223/C223</f>
        <v>0.48080845540515482</v>
      </c>
      <c r="K223" s="307">
        <f>SUM(K225)</f>
        <v>0</v>
      </c>
      <c r="L223" s="350">
        <f>+K223/C223</f>
        <v>0</v>
      </c>
    </row>
    <row r="224" spans="1:12" ht="5.4" customHeight="1" collapsed="1">
      <c r="B224" s="265"/>
      <c r="C224" s="269"/>
      <c r="D224" s="262"/>
      <c r="E224" s="269"/>
      <c r="F224" s="262"/>
      <c r="G224" s="269"/>
      <c r="H224" s="262"/>
      <c r="I224" s="269"/>
      <c r="J224" s="262"/>
      <c r="K224" s="269"/>
      <c r="L224" s="712"/>
    </row>
    <row r="225" spans="1:12" ht="17.399999999999999">
      <c r="A225" s="74" t="s">
        <v>294</v>
      </c>
      <c r="B225" s="265" t="s">
        <v>620</v>
      </c>
      <c r="C225" s="311">
        <f t="shared" ref="C225:D229" si="65">SUM(E225+G225+I225+K225)</f>
        <v>134825000</v>
      </c>
      <c r="D225" s="262">
        <f t="shared" si="65"/>
        <v>1</v>
      </c>
      <c r="E225" s="311">
        <f>SUMIFS('Distribución OyA Detalle'!$G:$G,'Distribución OyA Detalle'!$A:$A,1,'Distribución OyA Detalle'!$D:$D,A225)</f>
        <v>70000000</v>
      </c>
      <c r="F225" s="262">
        <f>+E225/C225</f>
        <v>0.51919154459484518</v>
      </c>
      <c r="G225" s="311">
        <f>SUMIFS('Distribución OyA Detalle'!$G:$G,'Distribución OyA Detalle'!$A:$A,2,'Distribución OyA Detalle'!$D:$D,A225)</f>
        <v>0</v>
      </c>
      <c r="H225" s="262">
        <f>G225/C225</f>
        <v>0</v>
      </c>
      <c r="I225" s="311">
        <f>SUMIFS('Distribución OyA Detalle'!$G:$G,'Distribución OyA Detalle'!$A:$A,3,'Distribución OyA Detalle'!$D:$D,A225)</f>
        <v>64825000</v>
      </c>
      <c r="J225" s="262">
        <f>I225/C225</f>
        <v>0.48080845540515482</v>
      </c>
      <c r="K225" s="311">
        <f>SUMIFS('Distribución OyA Detalle'!$G:$G,'Distribución OyA Detalle'!$A:$A,4,'Distribución OyA Detalle'!$D:$D,A225)</f>
        <v>0</v>
      </c>
      <c r="L225" s="712">
        <f>+K225/C225</f>
        <v>0</v>
      </c>
    </row>
    <row r="226" spans="1:12" ht="17.399999999999999" hidden="1">
      <c r="A226" s="74" t="s">
        <v>621</v>
      </c>
      <c r="B226" s="265" t="s">
        <v>622</v>
      </c>
      <c r="C226" s="311">
        <f t="shared" si="65"/>
        <v>0</v>
      </c>
      <c r="D226" s="262" t="e">
        <f t="shared" si="65"/>
        <v>#DIV/0!</v>
      </c>
      <c r="E226" s="311">
        <f>SUMIFS('Distribución OyA Detalle'!$G:$G,'Distribución OyA Detalle'!$A:$A,1,'Distribución OyA Detalle'!$D:$D,A226)</f>
        <v>0</v>
      </c>
      <c r="F226" s="262" t="e">
        <f>+E226/C226</f>
        <v>#DIV/0!</v>
      </c>
      <c r="G226" s="311">
        <f>SUMIFS('Distribución OyA Detalle'!$G:$G,'Distribución OyA Detalle'!$A:$A,2,'Distribución OyA Detalle'!$D:$D,A226)</f>
        <v>0</v>
      </c>
      <c r="H226" s="262" t="e">
        <f>G226/C226</f>
        <v>#DIV/0!</v>
      </c>
      <c r="I226" s="311">
        <f>SUMIFS('Distribución OyA Detalle'!$G:$G,'Distribución OyA Detalle'!$A:$A,3,'Distribución OyA Detalle'!$D:$D,A226)</f>
        <v>0</v>
      </c>
      <c r="J226" s="262" t="e">
        <f>I226/C226</f>
        <v>#DIV/0!</v>
      </c>
      <c r="K226" s="311">
        <f>SUMIFS('Distribución OyA Detalle'!$G:$G,'Distribución OyA Detalle'!$A:$A,4,'Distribución OyA Detalle'!$D:$D,A226)</f>
        <v>0</v>
      </c>
      <c r="L226" s="712" t="e">
        <f>+K226/C226</f>
        <v>#DIV/0!</v>
      </c>
    </row>
    <row r="227" spans="1:12" ht="17.399999999999999" hidden="1">
      <c r="A227" s="74" t="s">
        <v>623</v>
      </c>
      <c r="B227" s="265" t="s">
        <v>624</v>
      </c>
      <c r="C227" s="311">
        <f t="shared" si="65"/>
        <v>0</v>
      </c>
      <c r="D227" s="262" t="e">
        <f t="shared" si="65"/>
        <v>#DIV/0!</v>
      </c>
      <c r="E227" s="311">
        <f>SUMIFS('Distribución OyA Detalle'!$G:$G,'Distribución OyA Detalle'!$A:$A,1,'Distribución OyA Detalle'!$D:$D,A227)</f>
        <v>0</v>
      </c>
      <c r="F227" s="262" t="e">
        <f>+E227/C227</f>
        <v>#DIV/0!</v>
      </c>
      <c r="G227" s="311">
        <f>SUMIFS('Distribución OyA Detalle'!$G:$G,'Distribución OyA Detalle'!$A:$A,2,'Distribución OyA Detalle'!$D:$D,A227)</f>
        <v>0</v>
      </c>
      <c r="H227" s="262" t="e">
        <f>G227/C227</f>
        <v>#DIV/0!</v>
      </c>
      <c r="I227" s="311">
        <f>SUMIFS('Distribución OyA Detalle'!$G:$G,'Distribución OyA Detalle'!$A:$A,3,'Distribución OyA Detalle'!$D:$D,A227)</f>
        <v>0</v>
      </c>
      <c r="J227" s="262" t="e">
        <f>I227/C227</f>
        <v>#DIV/0!</v>
      </c>
      <c r="K227" s="311">
        <f>SUMIFS('Distribución OyA Detalle'!$G:$G,'Distribución OyA Detalle'!$A:$A,4,'Distribución OyA Detalle'!$D:$D,A227)</f>
        <v>0</v>
      </c>
      <c r="L227" s="712" t="e">
        <f>+K227/C227</f>
        <v>#DIV/0!</v>
      </c>
    </row>
    <row r="228" spans="1:12" ht="17.399999999999999" hidden="1">
      <c r="A228" s="74" t="s">
        <v>625</v>
      </c>
      <c r="B228" s="265" t="s">
        <v>626</v>
      </c>
      <c r="C228" s="311">
        <f t="shared" si="65"/>
        <v>0</v>
      </c>
      <c r="D228" s="262" t="e">
        <f t="shared" si="65"/>
        <v>#DIV/0!</v>
      </c>
      <c r="E228" s="311">
        <f>SUMIFS('Distribución OyA Detalle'!$G:$G,'Distribución OyA Detalle'!$A:$A,1,'Distribución OyA Detalle'!$D:$D,A228)</f>
        <v>0</v>
      </c>
      <c r="F228" s="262" t="e">
        <f>+E228/C228</f>
        <v>#DIV/0!</v>
      </c>
      <c r="G228" s="311">
        <f>SUMIFS('Distribución OyA Detalle'!$G:$G,'Distribución OyA Detalle'!$A:$A,2,'Distribución OyA Detalle'!$D:$D,A228)</f>
        <v>0</v>
      </c>
      <c r="H228" s="262" t="e">
        <f>G228/C228</f>
        <v>#DIV/0!</v>
      </c>
      <c r="I228" s="311">
        <f>SUMIFS('Distribución OyA Detalle'!$G:$G,'Distribución OyA Detalle'!$A:$A,3,'Distribución OyA Detalle'!$D:$D,A228)</f>
        <v>0</v>
      </c>
      <c r="J228" s="262" t="e">
        <f>I228/C228</f>
        <v>#DIV/0!</v>
      </c>
      <c r="K228" s="311">
        <f>SUMIFS('Distribución OyA Detalle'!$G:$G,'Distribución OyA Detalle'!$A:$A,4,'Distribución OyA Detalle'!$D:$D,A228)</f>
        <v>0</v>
      </c>
      <c r="L228" s="712" t="e">
        <f>+K228/C228</f>
        <v>#DIV/0!</v>
      </c>
    </row>
    <row r="229" spans="1:12" ht="17.399999999999999" hidden="1">
      <c r="A229" s="74" t="s">
        <v>627</v>
      </c>
      <c r="B229" s="265" t="s">
        <v>628</v>
      </c>
      <c r="C229" s="311">
        <f t="shared" si="65"/>
        <v>0</v>
      </c>
      <c r="D229" s="262" t="e">
        <f t="shared" si="65"/>
        <v>#DIV/0!</v>
      </c>
      <c r="E229" s="311">
        <f>SUMIFS('Distribución OyA Detalle'!$G:$G,'Distribución OyA Detalle'!$A:$A,1,'Distribución OyA Detalle'!$D:$D,A229)</f>
        <v>0</v>
      </c>
      <c r="F229" s="262" t="e">
        <f>+E229/C229</f>
        <v>#DIV/0!</v>
      </c>
      <c r="G229" s="311">
        <f>SUMIFS('Distribución OyA Detalle'!$G:$G,'Distribución OyA Detalle'!$A:$A,2,'Distribución OyA Detalle'!$D:$D,A229)</f>
        <v>0</v>
      </c>
      <c r="H229" s="262" t="e">
        <f>G229/C229</f>
        <v>#DIV/0!</v>
      </c>
      <c r="I229" s="311">
        <f>SUMIFS('Distribución OyA Detalle'!$G:$G,'Distribución OyA Detalle'!$A:$A,3,'Distribución OyA Detalle'!$D:$D,A229)</f>
        <v>0</v>
      </c>
      <c r="J229" s="262" t="e">
        <f>I229/C229</f>
        <v>#DIV/0!</v>
      </c>
      <c r="K229" s="311">
        <f>SUMIFS('Distribución OyA Detalle'!$G:$G,'Distribución OyA Detalle'!$A:$A,4,'Distribución OyA Detalle'!$D:$D,A229)</f>
        <v>0</v>
      </c>
      <c r="L229" s="712" t="e">
        <f>+K229/C229</f>
        <v>#DIV/0!</v>
      </c>
    </row>
    <row r="230" spans="1:12" ht="4.95" customHeight="1">
      <c r="B230" s="265"/>
      <c r="C230" s="269"/>
      <c r="D230" s="262"/>
      <c r="E230" s="269"/>
      <c r="F230" s="262"/>
      <c r="G230" s="269"/>
      <c r="H230" s="262"/>
      <c r="I230" s="269"/>
      <c r="J230" s="262"/>
      <c r="K230" s="269"/>
      <c r="L230" s="712"/>
    </row>
    <row r="231" spans="1:12" ht="15.9" hidden="1" customHeight="1">
      <c r="B231" s="306" t="s">
        <v>629</v>
      </c>
      <c r="C231" s="307">
        <f>SUM(C233)</f>
        <v>0</v>
      </c>
      <c r="D231" s="349" t="e">
        <f>SUM(F231+H231+J231)</f>
        <v>#DIV/0!</v>
      </c>
      <c r="E231" s="307">
        <f>SUM(E233)</f>
        <v>0</v>
      </c>
      <c r="F231" s="349" t="e">
        <f>+E231/C231</f>
        <v>#DIV/0!</v>
      </c>
      <c r="G231" s="307">
        <f>SUM(G233)</f>
        <v>0</v>
      </c>
      <c r="H231" s="349" t="e">
        <f>G231/C231</f>
        <v>#DIV/0!</v>
      </c>
      <c r="I231" s="307">
        <f>SUM(I233)</f>
        <v>0</v>
      </c>
      <c r="J231" s="349" t="e">
        <f>I231/C231</f>
        <v>#DIV/0!</v>
      </c>
      <c r="K231" s="307">
        <f>SUM(K233)</f>
        <v>0</v>
      </c>
      <c r="L231" s="350">
        <v>0</v>
      </c>
    </row>
    <row r="232" spans="1:12" ht="7.95" hidden="1" customHeight="1">
      <c r="B232" s="265"/>
      <c r="C232" s="269"/>
      <c r="D232" s="262"/>
      <c r="E232" s="269"/>
      <c r="F232" s="262"/>
      <c r="G232" s="269"/>
      <c r="H232" s="262"/>
      <c r="I232" s="269"/>
      <c r="J232" s="262"/>
      <c r="K232" s="269"/>
      <c r="L232" s="712"/>
    </row>
    <row r="233" spans="1:12" ht="15.9" hidden="1" customHeight="1">
      <c r="A233" s="74" t="s">
        <v>323</v>
      </c>
      <c r="B233" s="265" t="s">
        <v>324</v>
      </c>
      <c r="C233" s="311">
        <f>SUM(E233+G233+I233+K233)</f>
        <v>0</v>
      </c>
      <c r="D233" s="262" t="e">
        <f>SUM(F233+H233+J233+L233)</f>
        <v>#DIV/0!</v>
      </c>
      <c r="E233" s="311">
        <f>SUMIFS('Distribución OyA Detalle'!$G:$G,'Distribución OyA Detalle'!$A:$A,1,'Distribución OyA Detalle'!$D:$D,A233)</f>
        <v>0</v>
      </c>
      <c r="F233" s="262" t="e">
        <f>+E233/C233</f>
        <v>#DIV/0!</v>
      </c>
      <c r="G233" s="311">
        <f>SUMIFS('Distribución OyA Detalle'!$G:$G,'Distribución OyA Detalle'!$A:$A,2,'Distribución OyA Detalle'!$D:$D,A233)</f>
        <v>0</v>
      </c>
      <c r="H233" s="262" t="e">
        <f>G233/C233</f>
        <v>#DIV/0!</v>
      </c>
      <c r="I233" s="311">
        <f>SUMIFS('Distribución OyA Detalle'!$G:$G,'Distribución OyA Detalle'!$A:$A,3,'Distribución OyA Detalle'!$D:$D,A233)</f>
        <v>0</v>
      </c>
      <c r="J233" s="262" t="e">
        <f>I233/C233</f>
        <v>#DIV/0!</v>
      </c>
      <c r="K233" s="311">
        <f>SUMIFS('Distribución OyA Detalle'!$G:$G,'Distribución OyA Detalle'!$A:$A,4,'Distribución OyA Detalle'!$D:$D,A233)</f>
        <v>0</v>
      </c>
      <c r="L233" s="712" t="e">
        <f>+K233/C233</f>
        <v>#DIV/0!</v>
      </c>
    </row>
    <row r="234" spans="1:12" ht="9.9" hidden="1" customHeight="1">
      <c r="B234" s="265"/>
      <c r="C234" s="269"/>
      <c r="D234" s="262"/>
      <c r="E234" s="269"/>
      <c r="F234" s="262"/>
      <c r="G234" s="269"/>
      <c r="H234" s="262"/>
      <c r="I234" s="269"/>
      <c r="J234" s="262"/>
      <c r="K234" s="269"/>
      <c r="L234" s="712"/>
    </row>
    <row r="235" spans="1:12" ht="15.9" customHeight="1">
      <c r="B235" s="306" t="s">
        <v>247</v>
      </c>
      <c r="C235" s="307">
        <f>SUM(C237:C238)</f>
        <v>41200000</v>
      </c>
      <c r="D235" s="724">
        <f>SUM(F235+H235+J235+L235)</f>
        <v>1</v>
      </c>
      <c r="E235" s="307">
        <f>SUM(E237:E238)</f>
        <v>0</v>
      </c>
      <c r="F235" s="724">
        <f>+E235/C235</f>
        <v>0</v>
      </c>
      <c r="G235" s="307">
        <f>SUM(G237:G238)</f>
        <v>0</v>
      </c>
      <c r="H235" s="724">
        <f>G235/C235</f>
        <v>0</v>
      </c>
      <c r="I235" s="307">
        <f>SUM(I237:I238)</f>
        <v>40000000</v>
      </c>
      <c r="J235" s="724">
        <f>I235/C235</f>
        <v>0.970873786407767</v>
      </c>
      <c r="K235" s="307">
        <f>SUM(K237:K238)</f>
        <v>1200000</v>
      </c>
      <c r="L235" s="350">
        <f>+K235/C235</f>
        <v>2.9126213592233011E-2</v>
      </c>
    </row>
    <row r="236" spans="1:12" ht="9.9" customHeight="1">
      <c r="B236" s="265"/>
      <c r="C236" s="269"/>
      <c r="D236" s="262"/>
      <c r="E236" s="269"/>
      <c r="F236" s="262"/>
      <c r="G236" s="269"/>
      <c r="H236" s="262"/>
      <c r="I236" s="269"/>
      <c r="J236" s="262"/>
      <c r="K236" s="269"/>
      <c r="L236" s="712"/>
    </row>
    <row r="237" spans="1:12" ht="17.399999999999999">
      <c r="A237" s="74" t="s">
        <v>235</v>
      </c>
      <c r="B237" s="87" t="s">
        <v>632</v>
      </c>
      <c r="C237" s="311">
        <f>SUM(E237+G237+I237+K237)</f>
        <v>40000000</v>
      </c>
      <c r="D237" s="262">
        <f>SUM(F237+H237+J237+L237)</f>
        <v>1</v>
      </c>
      <c r="E237" s="311">
        <f>SUMIFS('Distribución OyA Detalle'!$G:$G,'Distribución OyA Detalle'!$A:$A,1,'Distribución OyA Detalle'!$D:$D,A237)</f>
        <v>0</v>
      </c>
      <c r="F237" s="262">
        <f>+E237/C237</f>
        <v>0</v>
      </c>
      <c r="G237" s="311">
        <f>SUMIFS('Distribución OyA Detalle'!$G:$G,'Distribución OyA Detalle'!$A:$A,2,'Distribución OyA Detalle'!$D:$D,A237)</f>
        <v>0</v>
      </c>
      <c r="H237" s="262">
        <f>G237/C237</f>
        <v>0</v>
      </c>
      <c r="I237" s="311">
        <f>SUMIFS('Distribución OyA Detalle'!$G:$G,'Distribución OyA Detalle'!$A:$A,3,'Distribución OyA Detalle'!$D:$D,A237)</f>
        <v>40000000</v>
      </c>
      <c r="J237" s="262">
        <f>I237/C237</f>
        <v>1</v>
      </c>
      <c r="K237" s="311">
        <f>SUMIFS('Distribución OyA Detalle'!$G:$G,'Distribución OyA Detalle'!$A:$A,4,'Distribución OyA Detalle'!$D:$D,A237)</f>
        <v>0</v>
      </c>
      <c r="L237" s="712">
        <f>+K237/C237</f>
        <v>0</v>
      </c>
    </row>
    <row r="238" spans="1:12" ht="17.399999999999999">
      <c r="A238" s="74" t="s">
        <v>307</v>
      </c>
      <c r="B238" s="87" t="s">
        <v>633</v>
      </c>
      <c r="C238" s="311">
        <f>SUM(E238+G238+I238+K238)</f>
        <v>1200000</v>
      </c>
      <c r="D238" s="262">
        <f>SUM(F238+H238+J238+L238)</f>
        <v>1</v>
      </c>
      <c r="E238" s="311">
        <f>SUMIFS('Distribución OyA Detalle'!$G:$G,'Distribución OyA Detalle'!$A:$A,1,'Distribución OyA Detalle'!$D:$D,A238)</f>
        <v>0</v>
      </c>
      <c r="F238" s="262">
        <f>+E238/C238</f>
        <v>0</v>
      </c>
      <c r="G238" s="311">
        <f>SUMIFS('Distribución OyA Detalle'!$G:$G,'Distribución OyA Detalle'!$A:$A,2,'Distribución OyA Detalle'!$D:$D,A238)</f>
        <v>0</v>
      </c>
      <c r="H238" s="262">
        <f>G238/C238</f>
        <v>0</v>
      </c>
      <c r="I238" s="311">
        <f>SUMIFS('Distribución OyA Detalle'!$G:$G,'Distribución OyA Detalle'!$A:$A,3,'Distribución OyA Detalle'!$D:$D,A238)</f>
        <v>0</v>
      </c>
      <c r="J238" s="262">
        <f>I238/C238</f>
        <v>0</v>
      </c>
      <c r="K238" s="311">
        <f>SUMIFS('Distribución OyA Detalle'!$G:$G,'Distribución OyA Detalle'!$A:$A,4,'Distribución OyA Detalle'!$D:$D,A238)</f>
        <v>1200000</v>
      </c>
      <c r="L238" s="712">
        <f>+K238/C238</f>
        <v>1</v>
      </c>
    </row>
    <row r="239" spans="1:12" ht="7.95" hidden="1" customHeight="1">
      <c r="B239" s="308"/>
      <c r="C239" s="269"/>
      <c r="D239" s="262"/>
      <c r="E239" s="269"/>
      <c r="F239" s="262"/>
      <c r="G239" s="269"/>
      <c r="H239" s="262"/>
      <c r="I239" s="269"/>
      <c r="J239" s="262"/>
      <c r="K239" s="269"/>
      <c r="L239" s="712"/>
    </row>
    <row r="240" spans="1:12" ht="17.399999999999999" hidden="1">
      <c r="B240" s="317" t="s">
        <v>968</v>
      </c>
      <c r="C240" s="318">
        <f>+C242</f>
        <v>0</v>
      </c>
      <c r="D240" s="347" t="e">
        <f>SUM(F240+H240+J240)</f>
        <v>#DIV/0!</v>
      </c>
      <c r="E240" s="318">
        <f>+E242</f>
        <v>0</v>
      </c>
      <c r="F240" s="347" t="e">
        <f>+E240/C240</f>
        <v>#DIV/0!</v>
      </c>
      <c r="G240" s="318">
        <f>+G242</f>
        <v>0</v>
      </c>
      <c r="H240" s="347" t="e">
        <f>G240/C240</f>
        <v>#DIV/0!</v>
      </c>
      <c r="I240" s="318">
        <f>+I242</f>
        <v>0</v>
      </c>
      <c r="J240" s="347" t="e">
        <f>I240/C240</f>
        <v>#DIV/0!</v>
      </c>
      <c r="K240" s="318">
        <f>+K242</f>
        <v>0</v>
      </c>
      <c r="L240" s="348" t="e">
        <f>+K240/C240</f>
        <v>#DIV/0!</v>
      </c>
    </row>
    <row r="241" spans="1:12" ht="7.95" hidden="1" customHeight="1" outlineLevel="1">
      <c r="B241" s="265"/>
      <c r="C241" s="269"/>
      <c r="D241" s="262"/>
      <c r="E241" s="269"/>
      <c r="F241" s="262"/>
      <c r="G241" s="269"/>
      <c r="H241" s="262"/>
      <c r="I241" s="269"/>
      <c r="J241" s="262"/>
      <c r="K241" s="269"/>
      <c r="L241" s="712"/>
    </row>
    <row r="242" spans="1:12" ht="17.399999999999999" hidden="1" collapsed="1">
      <c r="B242" s="306" t="s">
        <v>287</v>
      </c>
      <c r="C242" s="307">
        <f>SUM(C244:C245)</f>
        <v>0</v>
      </c>
      <c r="D242" s="349" t="e">
        <f>SUM(F242+H242+J242)</f>
        <v>#DIV/0!</v>
      </c>
      <c r="E242" s="307">
        <f>SUM(E244:E245)</f>
        <v>0</v>
      </c>
      <c r="F242" s="349" t="e">
        <f>+E242/C242</f>
        <v>#DIV/0!</v>
      </c>
      <c r="G242" s="307">
        <f>SUM(G244:G245)</f>
        <v>0</v>
      </c>
      <c r="H242" s="349" t="e">
        <f>G242/C242</f>
        <v>#DIV/0!</v>
      </c>
      <c r="I242" s="307">
        <f>SUM(I244:I245)</f>
        <v>0</v>
      </c>
      <c r="J242" s="349" t="e">
        <f>I242/C242</f>
        <v>#DIV/0!</v>
      </c>
      <c r="K242" s="307">
        <f>SUM(K244:K245)</f>
        <v>0</v>
      </c>
      <c r="L242" s="350" t="e">
        <f>+K242/C242</f>
        <v>#DIV/0!</v>
      </c>
    </row>
    <row r="243" spans="1:12" ht="7.95" hidden="1" customHeight="1" collapsed="1">
      <c r="B243" s="265"/>
      <c r="C243" s="269"/>
      <c r="D243" s="262"/>
      <c r="E243" s="269"/>
      <c r="F243" s="262"/>
      <c r="G243" s="269"/>
      <c r="H243" s="262"/>
      <c r="I243" s="269"/>
      <c r="J243" s="262"/>
      <c r="K243" s="269"/>
      <c r="L243" s="712"/>
    </row>
    <row r="244" spans="1:12" ht="17.399999999999999" hidden="1" outlineLevel="1">
      <c r="A244" s="74" t="s">
        <v>238</v>
      </c>
      <c r="B244" s="265" t="s">
        <v>650</v>
      </c>
      <c r="C244" s="311">
        <f>SUM(E244+G244+I244+K244)</f>
        <v>0</v>
      </c>
      <c r="D244" s="262" t="e">
        <f>SUM(F244+H244+J244+L244)</f>
        <v>#DIV/0!</v>
      </c>
      <c r="E244" s="311">
        <f>SUMIFS('Distribución OyA Detalle'!$G:$G,'Distribución OyA Detalle'!$A:$A,1,'Distribución OyA Detalle'!$D:$D,A244)</f>
        <v>0</v>
      </c>
      <c r="F244" s="262" t="e">
        <f>+E244/C244</f>
        <v>#DIV/0!</v>
      </c>
      <c r="G244" s="311">
        <f>SUMIFS('Distribución OyA Detalle'!$G:$G,'Distribución OyA Detalle'!$A:$A,2,'Distribución OyA Detalle'!$D:$D,A244)</f>
        <v>0</v>
      </c>
      <c r="H244" s="262" t="e">
        <f>G244/C244</f>
        <v>#DIV/0!</v>
      </c>
      <c r="I244" s="311">
        <f>SUMIFS('Distribución OyA Detalle'!$G:$G,'Distribución OyA Detalle'!$A:$A,3,'Distribución OyA Detalle'!$D:$D,A244)</f>
        <v>0</v>
      </c>
      <c r="J244" s="262" t="e">
        <f>I244/C244</f>
        <v>#DIV/0!</v>
      </c>
      <c r="K244" s="311">
        <f>SUMIFS('Distribución OyA Detalle'!$G:$G,'Distribución OyA Detalle'!$A:$A,4,'Distribución OyA Detalle'!$D:$D,A244)</f>
        <v>0</v>
      </c>
      <c r="L244" s="712" t="e">
        <f>+K244/C244</f>
        <v>#DIV/0!</v>
      </c>
    </row>
    <row r="245" spans="1:12" ht="17.399999999999999" hidden="1" collapsed="1">
      <c r="A245" s="74" t="s">
        <v>239</v>
      </c>
      <c r="B245" s="308" t="s">
        <v>651</v>
      </c>
      <c r="C245" s="311">
        <f>SUM(E245+G245+I245+K245)</f>
        <v>0</v>
      </c>
      <c r="D245" s="262" t="e">
        <f>SUM(F245+H245+J245+L245)</f>
        <v>#DIV/0!</v>
      </c>
      <c r="E245" s="311">
        <f>SUMIFS('Distribución OyA Detalle'!$G:$G,'Distribución OyA Detalle'!$A:$A,1,'Distribución OyA Detalle'!$D:$D,A245)</f>
        <v>0</v>
      </c>
      <c r="F245" s="262" t="e">
        <f>+E245/C245</f>
        <v>#DIV/0!</v>
      </c>
      <c r="G245" s="311">
        <f>SUMIFS('Distribución OyA Detalle'!$G:$G,'Distribución OyA Detalle'!$A:$A,2,'Distribución OyA Detalle'!$D:$D,A245)</f>
        <v>0</v>
      </c>
      <c r="H245" s="262" t="e">
        <f>G245/C245</f>
        <v>#DIV/0!</v>
      </c>
      <c r="I245" s="311">
        <f>SUMIFS('Distribución OyA Detalle'!$G:$G,'Distribución OyA Detalle'!$A:$A,3,'Distribución OyA Detalle'!$D:$D,A245)</f>
        <v>0</v>
      </c>
      <c r="J245" s="262" t="e">
        <f>I245/C245</f>
        <v>#DIV/0!</v>
      </c>
      <c r="K245" s="311">
        <f>SUMIFS('Distribución OyA Detalle'!$G:$G,'Distribución OyA Detalle'!$A:$A,4,'Distribución OyA Detalle'!$D:$D,A245)</f>
        <v>0</v>
      </c>
      <c r="L245" s="712" t="e">
        <f>+K245/C245</f>
        <v>#DIV/0!</v>
      </c>
    </row>
    <row r="246" spans="1:12" ht="7.95" customHeight="1" thickBot="1">
      <c r="B246" s="308"/>
      <c r="C246" s="311"/>
      <c r="D246" s="262"/>
      <c r="E246" s="269"/>
      <c r="F246" s="262"/>
      <c r="G246" s="269"/>
      <c r="H246" s="262"/>
      <c r="I246" s="269"/>
      <c r="J246" s="262"/>
      <c r="K246" s="269"/>
      <c r="L246" s="712"/>
    </row>
    <row r="247" spans="1:12" ht="24" customHeight="1" thickBot="1">
      <c r="B247" s="324" t="s">
        <v>20</v>
      </c>
      <c r="C247" s="325">
        <f>+C240+C202+C183+C134+C48+C13+C177</f>
        <v>17913627699.540001</v>
      </c>
      <c r="D247" s="725">
        <f>F247+H247+J247+L247</f>
        <v>1</v>
      </c>
      <c r="E247" s="325">
        <f>+E240+E202+E183+E134+E48+E13+E177</f>
        <v>6424442149.0400009</v>
      </c>
      <c r="F247" s="725">
        <f>+E247/C247</f>
        <v>0.35863434569453356</v>
      </c>
      <c r="G247" s="325">
        <f>+G240+G202+G183+G134+G48+G13+G177</f>
        <v>569125000</v>
      </c>
      <c r="H247" s="725">
        <f>G247/C247</f>
        <v>3.1770505089519889E-2</v>
      </c>
      <c r="I247" s="325">
        <f>+I240+I202+I183+I134+I48+I13+I177</f>
        <v>10268184550.5</v>
      </c>
      <c r="J247" s="725">
        <f>I247/C247</f>
        <v>0.57320520012614051</v>
      </c>
      <c r="K247" s="325">
        <f>+K240+K202+K183+K134+K48+K13+K177</f>
        <v>651876000</v>
      </c>
      <c r="L247" s="750">
        <f>+K247/C247</f>
        <v>3.6389949089806042E-2</v>
      </c>
    </row>
    <row r="248" spans="1:12" ht="9.9" customHeight="1" thickBot="1">
      <c r="B248" s="97"/>
      <c r="C248" s="762"/>
      <c r="D248" s="289"/>
      <c r="E248" s="762"/>
      <c r="F248" s="732"/>
      <c r="G248" s="762"/>
      <c r="H248" s="735"/>
      <c r="I248" s="762"/>
      <c r="J248" s="735"/>
      <c r="K248" s="762"/>
      <c r="L248" s="751"/>
    </row>
    <row r="249" spans="1:12" ht="18" thickBot="1">
      <c r="B249" s="326"/>
      <c r="C249" s="763"/>
      <c r="D249" s="726"/>
      <c r="E249" s="763"/>
      <c r="F249" s="733"/>
      <c r="G249" s="763"/>
      <c r="H249" s="733"/>
      <c r="I249" s="763"/>
      <c r="J249" s="733"/>
      <c r="K249" s="763"/>
      <c r="L249" s="752"/>
    </row>
    <row r="250" spans="1:12" ht="15.6" thickTop="1"/>
    <row r="251" spans="1:12">
      <c r="D251" s="753"/>
      <c r="F251" s="753"/>
      <c r="H251" s="753"/>
      <c r="J251" s="753"/>
      <c r="K251" s="753"/>
      <c r="L251" s="753"/>
    </row>
    <row r="252" spans="1:12" hidden="1">
      <c r="C252" s="753">
        <f>+'Distribución OyA Detalle'!G1056</f>
        <v>0</v>
      </c>
    </row>
    <row r="253" spans="1:12" hidden="1">
      <c r="C253" s="358">
        <f>+C252-C247</f>
        <v>-17913627699.540001</v>
      </c>
      <c r="D253" s="727"/>
      <c r="E253" s="358"/>
      <c r="F253" s="727"/>
      <c r="G253" s="358"/>
      <c r="H253" s="727"/>
      <c r="I253" s="358"/>
      <c r="J253" s="727"/>
      <c r="K253" s="358"/>
    </row>
    <row r="254" spans="1:12" hidden="1"/>
  </sheetData>
  <mergeCells count="6">
    <mergeCell ref="C10:C11"/>
    <mergeCell ref="B8:L8"/>
    <mergeCell ref="B3:L3"/>
    <mergeCell ref="B4:J4"/>
    <mergeCell ref="B6:L6"/>
    <mergeCell ref="B7:L7"/>
  </mergeCells>
  <phoneticPr fontId="0" type="noConversion"/>
  <conditionalFormatting sqref="D1:D139 D143:D145 D150:D152 D160:D162 D165:D167 D182:D186 D177:D180 D195:D197 D201:D205 D215:D217 D222:D224 D230:D232 D234:D236 D239:D243 D246:D250 D252:D65536">
    <cfRule type="containsText" dxfId="29" priority="20" operator="containsText" text="#¡DIV/0!">
      <formula>NOT(ISERROR(SEARCH("#¡DIV/0!",D1)))</formula>
    </cfRule>
  </conditionalFormatting>
  <conditionalFormatting sqref="D140:D142">
    <cfRule type="containsText" dxfId="28" priority="19" operator="containsText" text="#¡DIV/0!">
      <formula>NOT(ISERROR(SEARCH("#¡DIV/0!",D140)))</formula>
    </cfRule>
  </conditionalFormatting>
  <conditionalFormatting sqref="D146:D149">
    <cfRule type="containsText" dxfId="27" priority="18" operator="containsText" text="#¡DIV/0!">
      <formula>NOT(ISERROR(SEARCH("#¡DIV/0!",D146)))</formula>
    </cfRule>
  </conditionalFormatting>
  <conditionalFormatting sqref="D181">
    <cfRule type="containsText" dxfId="26" priority="13" operator="containsText" text="#¡DIV/0!">
      <formula>NOT(ISERROR(SEARCH("#¡DIV/0!",D181)))</formula>
    </cfRule>
  </conditionalFormatting>
  <conditionalFormatting sqref="D153:D159">
    <cfRule type="containsText" dxfId="25" priority="16" operator="containsText" text="#¡DIV/0!">
      <formula>NOT(ISERROR(SEARCH("#¡DIV/0!",D153)))</formula>
    </cfRule>
  </conditionalFormatting>
  <conditionalFormatting sqref="D163:D164">
    <cfRule type="containsText" dxfId="24" priority="15" operator="containsText" text="#¡DIV/0!">
      <formula>NOT(ISERROR(SEARCH("#¡DIV/0!",D163)))</formula>
    </cfRule>
  </conditionalFormatting>
  <conditionalFormatting sqref="D168:D176">
    <cfRule type="containsText" dxfId="23" priority="14" operator="containsText" text="#¡DIV/0!">
      <formula>NOT(ISERROR(SEARCH("#¡DIV/0!",D168)))</formula>
    </cfRule>
  </conditionalFormatting>
  <conditionalFormatting sqref="D187:D194">
    <cfRule type="containsText" dxfId="22" priority="8" operator="containsText" text="#¡DIV/0!">
      <formula>NOT(ISERROR(SEARCH("#¡DIV/0!",D187)))</formula>
    </cfRule>
  </conditionalFormatting>
  <conditionalFormatting sqref="D198:D200">
    <cfRule type="containsText" dxfId="21" priority="7" operator="containsText" text="#¡DIV/0!">
      <formula>NOT(ISERROR(SEARCH("#¡DIV/0!",D198)))</formula>
    </cfRule>
  </conditionalFormatting>
  <conditionalFormatting sqref="D206:D214">
    <cfRule type="containsText" dxfId="20" priority="6" operator="containsText" text="#¡DIV/0!">
      <formula>NOT(ISERROR(SEARCH("#¡DIV/0!",D206)))</formula>
    </cfRule>
  </conditionalFormatting>
  <conditionalFormatting sqref="D218:D221">
    <cfRule type="containsText" dxfId="19" priority="5" operator="containsText" text="#¡DIV/0!">
      <formula>NOT(ISERROR(SEARCH("#¡DIV/0!",D218)))</formula>
    </cfRule>
  </conditionalFormatting>
  <conditionalFormatting sqref="D225:D229">
    <cfRule type="containsText" dxfId="18" priority="4" operator="containsText" text="#¡DIV/0!">
      <formula>NOT(ISERROR(SEARCH("#¡DIV/0!",D225)))</formula>
    </cfRule>
  </conditionalFormatting>
  <conditionalFormatting sqref="D233">
    <cfRule type="containsText" dxfId="17" priority="3" operator="containsText" text="#¡DIV/0!">
      <formula>NOT(ISERROR(SEARCH("#¡DIV/0!",D233)))</formula>
    </cfRule>
  </conditionalFormatting>
  <conditionalFormatting sqref="D237:D238">
    <cfRule type="containsText" dxfId="16" priority="2" operator="containsText" text="#¡DIV/0!">
      <formula>NOT(ISERROR(SEARCH("#¡DIV/0!",D237)))</formula>
    </cfRule>
  </conditionalFormatting>
  <conditionalFormatting sqref="D244:D245">
    <cfRule type="containsText" dxfId="15" priority="1" operator="containsText" text="#¡DIV/0!">
      <formula>NOT(ISERROR(SEARCH("#¡DIV/0!",D244)))</formula>
    </cfRule>
  </conditionalFormatting>
  <printOptions horizontalCentered="1"/>
  <pageMargins left="0.39370078740157483" right="0.39370078740157483" top="0.78740157480314965" bottom="0.78740157480314965" header="0.59055118110236227" footer="0.59055118110236227"/>
  <pageSetup scale="61" firstPageNumber="6" fitToHeight="4" orientation="landscape" useFirstPageNumber="1" r:id="rId1"/>
  <headerFooter alignWithMargins="0">
    <oddFooter>&amp;C&amp;"Tw Cen MT,Normal"&amp;P</oddFooter>
  </headerFooter>
  <rowBreaks count="3" manualBreakCount="3">
    <brk id="64" max="16383" man="1"/>
    <brk id="116" max="11" man="1"/>
    <brk id="182" max="16383" man="1"/>
  </rowBreaks>
  <ignoredErrors>
    <ignoredError sqref="D246:H246 D231:F232 D230 F230 D86:F88 D47:H47 F16:F18 D57:F59 D65:F67 D60:D64 F60:F64 D75:F77 D74 F74 D78:D85 F78:F85 D93:F95 D89:D92 F89:F92 D99:F101 D96 F96 D105:F107 F102:F104 D117:F117 D124:F126 D120 F120 D133:F137 D143:F143 D150:F152 D113:D116 F113:F116 D132 D160:F162 D165:F167 E195:F195 D204:F205 D222:F222 D239:F243 H16 D48:F51 H182:H186 H230:H232 J246:L246 J13:J16 J182:J186 J230:J232 L182:L186 L230 L232 E196:K197 L197 D234:F236 D201:E201 F201:F203 G201 I201 K201 D247 H247 D203:E203 D202 G203 I203 K203 F247 J247 L247 D177:D180 F177:J180 D216:K216 L13:L17 D16:D22 H35 F35 L34:L35 D34 D46 F46 H46 D15:H15 D13:D14 F13:F14 H13:H14 J46:J52 L46:L52 H48:H52 F52 J57:J72 L57:L72 H57:H72 F68:F72 D68:D72 J74:J96 L74:L96 H74:H96 J99:J111 L99:L111 H99:H111 F108:F111 D108 J113:J120 L113:L120 H113:H120 D119:F119 D118 F118 J124:J127 L124:L127 H124:H127 F127 D127 J132:J137 L132:L137 H133:H137 D138:D139 J143:J145 L143:L145 H143:H145 D145:F145 D144 F144 J160:J162 L160:L162 H160:H162 H150:H152 L150:L152 J150:J152 H165:H167 J165:J167 L165:L167 D182:F182 H195 J195 L195 D195:D197 D184:F186 D183 F183 H201:H205 J201:J205 L201:L205 L222:L224 J222:J224 H222:H224 D224:F224 D223 F223 H234:H236 J234:J236 L234:L236 H239:H243 J239:J243 L239:L243" formula="1"/>
    <ignoredError sqref="J34 H34 F34" formula="1" formulaRange="1"/>
    <ignoredError sqref="D109:D111" evalError="1"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3:L256"/>
  <sheetViews>
    <sheetView showGridLines="0" topLeftCell="C1" zoomScaleNormal="100" workbookViewId="0">
      <selection activeCell="L28" sqref="L28"/>
    </sheetView>
  </sheetViews>
  <sheetFormatPr baseColWidth="10" defaultColWidth="11.44140625" defaultRowHeight="17.399999999999999" outlineLevelRow="2"/>
  <cols>
    <col min="1" max="1" width="0" style="74" hidden="1" customWidth="1"/>
    <col min="2" max="2" width="70.6640625" style="6" customWidth="1"/>
    <col min="3" max="3" width="17.88671875" style="935" bestFit="1" customWidth="1"/>
    <col min="4" max="4" width="8.6640625" style="238" customWidth="1"/>
    <col min="5" max="5" width="16.6640625" style="935" customWidth="1"/>
    <col min="6" max="6" width="8.6640625" style="696" customWidth="1"/>
    <col min="7" max="7" width="16.88671875" style="935" customWidth="1"/>
    <col min="8" max="8" width="8.6640625" style="925" customWidth="1"/>
    <col min="9" max="9" width="18.33203125" style="935" bestFit="1" customWidth="1"/>
    <col min="10" max="10" width="8.6640625" style="696" customWidth="1"/>
    <col min="11" max="11" width="15.6640625" style="935" customWidth="1"/>
    <col min="12" max="12" width="8.6640625" style="696" customWidth="1"/>
    <col min="13" max="16384" width="11.44140625" style="6"/>
  </cols>
  <sheetData>
    <row r="3" spans="1:12">
      <c r="B3" s="1202" t="s">
        <v>0</v>
      </c>
      <c r="C3" s="1202"/>
      <c r="D3" s="1202"/>
      <c r="E3" s="1202"/>
      <c r="F3" s="1202"/>
      <c r="G3" s="1202"/>
      <c r="H3" s="1202"/>
      <c r="I3" s="1202"/>
      <c r="J3" s="1202"/>
      <c r="K3" s="1202"/>
      <c r="L3" s="1202"/>
    </row>
    <row r="4" spans="1:12" ht="18" thickBot="1">
      <c r="B4" s="929"/>
      <c r="C4" s="930"/>
      <c r="D4" s="927"/>
      <c r="E4" s="930"/>
      <c r="F4" s="927"/>
      <c r="G4" s="930"/>
      <c r="H4" s="927"/>
      <c r="I4" s="930"/>
      <c r="J4" s="927"/>
      <c r="K4" s="931"/>
      <c r="L4" s="932"/>
    </row>
    <row r="5" spans="1:12" ht="18" thickTop="1">
      <c r="B5" s="928"/>
      <c r="C5" s="933"/>
      <c r="D5" s="934"/>
      <c r="E5" s="933"/>
      <c r="F5" s="928"/>
      <c r="G5" s="933"/>
      <c r="H5" s="928"/>
      <c r="I5" s="933"/>
      <c r="J5" s="928"/>
    </row>
    <row r="6" spans="1:12">
      <c r="B6" s="1202" t="s">
        <v>1341</v>
      </c>
      <c r="C6" s="1202"/>
      <c r="D6" s="1202"/>
      <c r="E6" s="1202"/>
      <c r="F6" s="1202"/>
      <c r="G6" s="1202"/>
      <c r="H6" s="1202"/>
      <c r="I6" s="1202"/>
      <c r="J6" s="1202"/>
      <c r="K6" s="1202"/>
      <c r="L6" s="1202"/>
    </row>
    <row r="7" spans="1:12">
      <c r="B7" s="1203" t="s">
        <v>37</v>
      </c>
      <c r="C7" s="1203"/>
      <c r="D7" s="1203"/>
      <c r="E7" s="1203"/>
      <c r="F7" s="1203"/>
      <c r="G7" s="1203"/>
      <c r="H7" s="1203"/>
      <c r="I7" s="1203"/>
      <c r="J7" s="1203"/>
      <c r="K7" s="1203"/>
      <c r="L7" s="1203"/>
    </row>
    <row r="8" spans="1:12">
      <c r="B8" s="1202" t="s">
        <v>15</v>
      </c>
      <c r="C8" s="1202"/>
      <c r="D8" s="1202"/>
      <c r="E8" s="1202"/>
      <c r="F8" s="1202"/>
      <c r="G8" s="1202"/>
      <c r="H8" s="1202"/>
      <c r="I8" s="1202"/>
      <c r="J8" s="1202"/>
      <c r="K8" s="1202"/>
      <c r="L8" s="1202"/>
    </row>
    <row r="9" spans="1:12" ht="18" thickBot="1">
      <c r="D9" s="935"/>
      <c r="F9" s="935"/>
      <c r="H9" s="935"/>
      <c r="J9" s="935"/>
      <c r="L9" s="935"/>
    </row>
    <row r="10" spans="1:12">
      <c r="B10" s="936"/>
      <c r="C10" s="937"/>
      <c r="D10" s="938"/>
      <c r="E10" s="939" t="s">
        <v>26</v>
      </c>
      <c r="F10" s="940"/>
      <c r="G10" s="937" t="s">
        <v>27</v>
      </c>
      <c r="H10" s="940"/>
      <c r="I10" s="937" t="s">
        <v>28</v>
      </c>
      <c r="J10" s="940"/>
      <c r="K10" s="941" t="s">
        <v>309</v>
      </c>
      <c r="L10" s="942"/>
    </row>
    <row r="11" spans="1:12">
      <c r="B11" s="943" t="s">
        <v>48</v>
      </c>
      <c r="C11" s="944" t="s">
        <v>29</v>
      </c>
      <c r="D11" s="945" t="s">
        <v>5</v>
      </c>
      <c r="E11" s="1204" t="s">
        <v>428</v>
      </c>
      <c r="F11" s="946" t="s">
        <v>5</v>
      </c>
      <c r="G11" s="1204" t="s">
        <v>436</v>
      </c>
      <c r="H11" s="946" t="s">
        <v>5</v>
      </c>
      <c r="I11" s="1204" t="s">
        <v>435</v>
      </c>
      <c r="J11" s="946" t="s">
        <v>5</v>
      </c>
      <c r="K11" s="1204" t="s">
        <v>431</v>
      </c>
      <c r="L11" s="947" t="s">
        <v>5</v>
      </c>
    </row>
    <row r="12" spans="1:12" ht="18" thickBot="1">
      <c r="B12" s="948"/>
      <c r="C12" s="949"/>
      <c r="D12" s="950"/>
      <c r="E12" s="1205"/>
      <c r="F12" s="951"/>
      <c r="G12" s="1205"/>
      <c r="H12" s="952"/>
      <c r="I12" s="1205"/>
      <c r="J12" s="951"/>
      <c r="K12" s="1205"/>
      <c r="L12" s="953"/>
    </row>
    <row r="13" spans="1:12" ht="7.95" customHeight="1">
      <c r="B13" s="301"/>
      <c r="C13" s="954"/>
      <c r="D13" s="716"/>
      <c r="E13" s="954"/>
      <c r="F13" s="716"/>
      <c r="G13" s="954"/>
      <c r="H13" s="978"/>
      <c r="I13" s="954"/>
      <c r="J13" s="716"/>
      <c r="K13" s="954"/>
      <c r="L13" s="984"/>
    </row>
    <row r="14" spans="1:12" s="958" customFormat="1">
      <c r="A14" s="331"/>
      <c r="B14" s="955" t="s">
        <v>50</v>
      </c>
      <c r="C14" s="956">
        <f>+E14+G14+I14+K14</f>
        <v>10471326364.08</v>
      </c>
      <c r="D14" s="957">
        <f>+C14/$C$250</f>
        <v>0.58454527132708523</v>
      </c>
      <c r="E14" s="956">
        <f>+E15+E34</f>
        <v>2441676180.0799999</v>
      </c>
      <c r="F14" s="957">
        <f>+E14/$E$250</f>
        <v>0.38006041978988908</v>
      </c>
      <c r="G14" s="956">
        <f>+G15+G34</f>
        <v>498199000</v>
      </c>
      <c r="H14" s="957">
        <f>+G14/$G$250</f>
        <v>0.87537711399077534</v>
      </c>
      <c r="I14" s="956">
        <f>+I15+I34</f>
        <v>7109665184</v>
      </c>
      <c r="J14" s="957">
        <f>+I14/$I$250</f>
        <v>0.69239748750462426</v>
      </c>
      <c r="K14" s="956">
        <f>+K15+K34</f>
        <v>421786000</v>
      </c>
      <c r="L14" s="1003">
        <f>+K14/$K$250</f>
        <v>0.64703409850953253</v>
      </c>
    </row>
    <row r="15" spans="1:12" hidden="1" outlineLevel="1">
      <c r="B15" s="303" t="s">
        <v>22</v>
      </c>
      <c r="C15" s="756">
        <f>SUM(C17:C33)</f>
        <v>8406578364.0799999</v>
      </c>
      <c r="D15" s="734">
        <f>SUM(D17:D33)</f>
        <v>0.46928397224063501</v>
      </c>
      <c r="E15" s="756">
        <f>SUM(E17:E33)</f>
        <v>1963354180.0799999</v>
      </c>
      <c r="F15" s="959">
        <f>+E15/C15</f>
        <v>0.23354973867478671</v>
      </c>
      <c r="G15" s="756">
        <f>SUM(G17:G33)</f>
        <v>399768000</v>
      </c>
      <c r="H15" s="959"/>
      <c r="I15" s="756">
        <f>SUM(I17:I33)</f>
        <v>5704998184</v>
      </c>
      <c r="J15" s="959">
        <f>+I15/C15</f>
        <v>0.67863498523686749</v>
      </c>
      <c r="K15" s="756">
        <f>SUM(K17:K33)</f>
        <v>338458000</v>
      </c>
      <c r="L15" s="1004">
        <f>+K15/E15</f>
        <v>0.17238764326577541</v>
      </c>
    </row>
    <row r="16" spans="1:12" ht="1.95" customHeight="1" collapsed="1">
      <c r="B16" s="304"/>
      <c r="C16" s="757"/>
      <c r="D16" s="926"/>
      <c r="E16" s="757"/>
      <c r="F16" s="731"/>
      <c r="G16" s="757"/>
      <c r="H16" s="731"/>
      <c r="I16" s="757"/>
      <c r="J16" s="731"/>
      <c r="K16" s="757"/>
      <c r="L16" s="1005"/>
    </row>
    <row r="17" spans="1:12">
      <c r="A17" s="74" t="s">
        <v>67</v>
      </c>
      <c r="B17" s="960" t="s">
        <v>482</v>
      </c>
      <c r="C17" s="269">
        <f>+E17+G17+I17+K17</f>
        <v>3520746784</v>
      </c>
      <c r="D17" s="267">
        <f>+C17/$C$250</f>
        <v>0.19654013374914608</v>
      </c>
      <c r="E17" s="269">
        <f>SUMIF('OBJETO '!$A$16:$A$249,A17,'OBJETO '!$E$16:$E$249)</f>
        <v>1181335000</v>
      </c>
      <c r="F17" s="267">
        <f t="shared" ref="F17:F33" si="0">+E17/$E$250</f>
        <v>0.18388133515631797</v>
      </c>
      <c r="G17" s="269">
        <f>SUMIF('OBJETO '!$A$16:$A$249,A17,'OBJETO '!$G$16:$G$249)</f>
        <v>237020000</v>
      </c>
      <c r="H17" s="267">
        <f>+G17/$G$250</f>
        <v>0.41646386997584012</v>
      </c>
      <c r="I17" s="269">
        <f>SUMIF('OBJETO '!$A$16:$A$249,A17,'OBJETO '!$I$16:$I$249)</f>
        <v>1908969784</v>
      </c>
      <c r="J17" s="267">
        <f>+I17/$I$250</f>
        <v>0.18591112913986771</v>
      </c>
      <c r="K17" s="269">
        <f>SUMIF('OBJETO '!$A$16:$A$249,A17,'OBJETO '!$K$16:$K$249)</f>
        <v>193422000</v>
      </c>
      <c r="L17" s="268">
        <f>+K17/$K$250</f>
        <v>0.2967159398413195</v>
      </c>
    </row>
    <row r="18" spans="1:12" hidden="1">
      <c r="A18" s="74" t="s">
        <v>483</v>
      </c>
      <c r="B18" s="960" t="s">
        <v>484</v>
      </c>
      <c r="C18" s="269">
        <f t="shared" ref="C18:C33" si="1">+E18+G18+I18+K18</f>
        <v>0</v>
      </c>
      <c r="D18" s="267">
        <f t="shared" ref="D18:D33" si="2">+C18/$C$250</f>
        <v>0</v>
      </c>
      <c r="E18" s="269">
        <f>SUMIF('OBJETO '!$A$16:$A$249,A18,'OBJETO '!$E$16:$E$249)</f>
        <v>0</v>
      </c>
      <c r="F18" s="267">
        <f t="shared" si="0"/>
        <v>0</v>
      </c>
      <c r="G18" s="269">
        <f>SUMIF('OBJETO '!$A$16:$A$249,A18,'OBJETO '!$G$16:$G$249)</f>
        <v>0</v>
      </c>
      <c r="H18" s="267">
        <f t="shared" ref="H18:H33" si="3">+G18/$G$250</f>
        <v>0</v>
      </c>
      <c r="I18" s="269">
        <f>SUMIF('OBJETO '!$A$16:$A$249,A18,'OBJETO '!$I$16:$I$249)</f>
        <v>0</v>
      </c>
      <c r="J18" s="267">
        <f t="shared" ref="J18:J33" si="4">+I18/$I$250</f>
        <v>0</v>
      </c>
      <c r="K18" s="269">
        <f>SUMIF('OBJETO '!$A$16:$A$249,A18,'OBJETO '!$K$16:$K$249)</f>
        <v>0</v>
      </c>
      <c r="L18" s="268">
        <f t="shared" ref="L18:L33" si="5">+K18/$K$250</f>
        <v>0</v>
      </c>
    </row>
    <row r="19" spans="1:12">
      <c r="A19" s="74" t="s">
        <v>68</v>
      </c>
      <c r="B19" s="960" t="s">
        <v>485</v>
      </c>
      <c r="C19" s="269">
        <f t="shared" si="1"/>
        <v>2243616400</v>
      </c>
      <c r="D19" s="267">
        <f t="shared" si="2"/>
        <v>0.12524634527587136</v>
      </c>
      <c r="E19" s="269">
        <f>SUMIF('OBJETO '!$A$16:$A$249,A19,'OBJETO '!$E$16:$E$249)</f>
        <v>0</v>
      </c>
      <c r="F19" s="267">
        <f t="shared" si="0"/>
        <v>0</v>
      </c>
      <c r="G19" s="269">
        <f>SUMIF('OBJETO '!$A$16:$A$249,A19,'OBJETO '!$G$16:$G$249)</f>
        <v>0</v>
      </c>
      <c r="H19" s="267">
        <f t="shared" si="3"/>
        <v>0</v>
      </c>
      <c r="I19" s="269">
        <f>SUMIF('OBJETO '!$A$16:$A$249,A19,'OBJETO '!$I$16:$I$249)</f>
        <v>2243616400</v>
      </c>
      <c r="J19" s="267">
        <f t="shared" si="4"/>
        <v>0.21850176036140187</v>
      </c>
      <c r="K19" s="269">
        <f>SUMIF('OBJETO '!$A$16:$A$249,A19,'OBJETO '!$K$16:$K$249)</f>
        <v>0</v>
      </c>
      <c r="L19" s="268">
        <f t="shared" si="5"/>
        <v>0</v>
      </c>
    </row>
    <row r="20" spans="1:12" hidden="1">
      <c r="A20" s="74" t="s">
        <v>486</v>
      </c>
      <c r="B20" s="960" t="s">
        <v>487</v>
      </c>
      <c r="C20" s="269">
        <f t="shared" si="1"/>
        <v>0</v>
      </c>
      <c r="D20" s="267">
        <f t="shared" si="2"/>
        <v>0</v>
      </c>
      <c r="E20" s="269">
        <f>SUMIF('OBJETO '!$A$16:$A$249,A20,'OBJETO '!$E$16:$E$249)</f>
        <v>0</v>
      </c>
      <c r="F20" s="267">
        <f t="shared" si="0"/>
        <v>0</v>
      </c>
      <c r="G20" s="269">
        <f>SUMIF('OBJETO '!$A$16:$A$249,A20,'OBJETO '!$G$16:$G$249)</f>
        <v>0</v>
      </c>
      <c r="H20" s="267">
        <f t="shared" si="3"/>
        <v>0</v>
      </c>
      <c r="I20" s="269">
        <f>SUMIF('OBJETO '!$A$16:$A$249,A20,'OBJETO '!$I$16:$I$249)</f>
        <v>0</v>
      </c>
      <c r="J20" s="267">
        <f t="shared" si="4"/>
        <v>0</v>
      </c>
      <c r="K20" s="269">
        <f>SUMIF('OBJETO '!$A$16:$A$249,A20,'OBJETO '!$K$16:$K$249)</f>
        <v>0</v>
      </c>
      <c r="L20" s="268">
        <f t="shared" si="5"/>
        <v>0</v>
      </c>
    </row>
    <row r="21" spans="1:12">
      <c r="A21" s="74" t="s">
        <v>333</v>
      </c>
      <c r="B21" s="960" t="s">
        <v>488</v>
      </c>
      <c r="C21" s="269">
        <f t="shared" si="1"/>
        <v>5000000</v>
      </c>
      <c r="D21" s="267">
        <f t="shared" si="2"/>
        <v>2.7911711038453664E-4</v>
      </c>
      <c r="E21" s="269">
        <f>SUMIF('OBJETO '!$A$16:$A$249,A21,'OBJETO '!$E$16:$E$249)</f>
        <v>5000000</v>
      </c>
      <c r="F21" s="267">
        <f t="shared" si="0"/>
        <v>7.7827769073259467E-4</v>
      </c>
      <c r="G21" s="269">
        <f>SUMIF('OBJETO '!$A$16:$A$249,A21,'OBJETO '!$G$16:$G$249)</f>
        <v>0</v>
      </c>
      <c r="H21" s="267">
        <f t="shared" si="3"/>
        <v>0</v>
      </c>
      <c r="I21" s="269">
        <f>SUMIF('OBJETO '!$A$16:$A$249,A21,'OBJETO '!$I$16:$I$249)</f>
        <v>0</v>
      </c>
      <c r="J21" s="267">
        <f t="shared" si="4"/>
        <v>0</v>
      </c>
      <c r="K21" s="269">
        <f>SUMIF('OBJETO '!$A$16:$A$249,A21,'OBJETO '!$K$16:$K$249)</f>
        <v>0</v>
      </c>
      <c r="L21" s="268">
        <f t="shared" si="5"/>
        <v>0</v>
      </c>
    </row>
    <row r="22" spans="1:12">
      <c r="A22" s="74" t="s">
        <v>71</v>
      </c>
      <c r="B22" s="960" t="s">
        <v>489</v>
      </c>
      <c r="C22" s="269">
        <f t="shared" si="1"/>
        <v>199483000</v>
      </c>
      <c r="D22" s="267">
        <f t="shared" si="2"/>
        <v>1.1135823706167705E-2</v>
      </c>
      <c r="E22" s="269">
        <f>SUMIF('OBJETO '!$A$16:$A$249,A22,'OBJETO '!$E$16:$E$249)</f>
        <v>8862000</v>
      </c>
      <c r="F22" s="267">
        <f t="shared" si="0"/>
        <v>1.3794193790544508E-3</v>
      </c>
      <c r="G22" s="269">
        <f>SUMIF('OBJETO '!$A$16:$A$249,A22,'OBJETO '!$G$16:$G$249)</f>
        <v>718000</v>
      </c>
      <c r="H22" s="267">
        <f t="shared" si="3"/>
        <v>1.2615857676257414E-3</v>
      </c>
      <c r="I22" s="269">
        <f>SUMIF('OBJETO '!$A$16:$A$249,A22,'OBJETO '!$I$16:$I$249)</f>
        <v>188175000</v>
      </c>
      <c r="J22" s="267">
        <f t="shared" si="4"/>
        <v>1.83260243399927E-2</v>
      </c>
      <c r="K22" s="269">
        <f>SUMIF('OBJETO '!$A$16:$A$249,A22,'OBJETO '!$K$16:$K$249)</f>
        <v>1728000</v>
      </c>
      <c r="L22" s="268">
        <f t="shared" si="5"/>
        <v>2.6508108904147415E-3</v>
      </c>
    </row>
    <row r="23" spans="1:12">
      <c r="A23" s="74" t="s">
        <v>477</v>
      </c>
      <c r="B23" s="960" t="s">
        <v>478</v>
      </c>
      <c r="C23" s="269">
        <f t="shared" si="1"/>
        <v>2119180.08</v>
      </c>
      <c r="D23" s="267">
        <f t="shared" si="2"/>
        <v>1.1829988406281425E-4</v>
      </c>
      <c r="E23" s="269">
        <f>SUMIF('OBJETO '!$A$16:$A$249,A23,'OBJETO '!$E$16:$E$249)</f>
        <v>2119180.08</v>
      </c>
      <c r="F23" s="267">
        <f t="shared" si="0"/>
        <v>3.2986211578178308E-4</v>
      </c>
      <c r="G23" s="269">
        <f>SUMIF('OBJETO '!$A$16:$A$249,A23,'OBJETO '!$G$16:$G$249)</f>
        <v>0</v>
      </c>
      <c r="H23" s="267">
        <f t="shared" si="3"/>
        <v>0</v>
      </c>
      <c r="I23" s="269">
        <f>SUMIF('OBJETO '!$A$16:$A$249,A23,'OBJETO '!$I$16:$I$249)</f>
        <v>0</v>
      </c>
      <c r="J23" s="267">
        <f t="shared" si="4"/>
        <v>0</v>
      </c>
      <c r="K23" s="269">
        <f>SUMIF('OBJETO '!$A$16:$A$249,A23,'OBJETO '!$K$16:$K$249)</f>
        <v>0</v>
      </c>
      <c r="L23" s="268">
        <f t="shared" si="5"/>
        <v>0</v>
      </c>
    </row>
    <row r="24" spans="1:12" hidden="1">
      <c r="A24" s="74" t="s">
        <v>481</v>
      </c>
      <c r="B24" s="960" t="s">
        <v>490</v>
      </c>
      <c r="C24" s="269">
        <f t="shared" si="1"/>
        <v>0</v>
      </c>
      <c r="D24" s="267">
        <f t="shared" si="2"/>
        <v>0</v>
      </c>
      <c r="E24" s="269">
        <f>SUMIF('OBJETO '!$A$16:$A$249,A24,'OBJETO '!$E$16:$E$249)</f>
        <v>0</v>
      </c>
      <c r="F24" s="267">
        <f t="shared" si="0"/>
        <v>0</v>
      </c>
      <c r="G24" s="269">
        <f>SUMIF('OBJETO '!$A$16:$A$249,A24,'OBJETO '!$G$16:$G$249)</f>
        <v>0</v>
      </c>
      <c r="H24" s="267">
        <f t="shared" si="3"/>
        <v>0</v>
      </c>
      <c r="I24" s="269">
        <f>SUMIF('OBJETO '!$A$16:$A$249,A24,'OBJETO '!$I$16:$I$249)</f>
        <v>0</v>
      </c>
      <c r="J24" s="267">
        <f t="shared" si="4"/>
        <v>0</v>
      </c>
      <c r="K24" s="269">
        <f>SUMIF('OBJETO '!$A$16:$A$249,A24,'OBJETO '!$K$16:$K$249)</f>
        <v>0</v>
      </c>
      <c r="L24" s="268">
        <f t="shared" si="5"/>
        <v>0</v>
      </c>
    </row>
    <row r="25" spans="1:12" hidden="1">
      <c r="A25" s="74" t="s">
        <v>491</v>
      </c>
      <c r="B25" s="960" t="s">
        <v>492</v>
      </c>
      <c r="C25" s="269">
        <f t="shared" si="1"/>
        <v>0</v>
      </c>
      <c r="D25" s="267">
        <f t="shared" si="2"/>
        <v>0</v>
      </c>
      <c r="E25" s="269">
        <f>SUMIF('OBJETO '!$A$16:$A$249,A25,'OBJETO '!$E$16:$E$249)</f>
        <v>0</v>
      </c>
      <c r="F25" s="267">
        <f t="shared" si="0"/>
        <v>0</v>
      </c>
      <c r="G25" s="269">
        <f>SUMIF('OBJETO '!$A$16:$A$249,A25,'OBJETO '!$G$16:$G$249)</f>
        <v>0</v>
      </c>
      <c r="H25" s="267">
        <f t="shared" si="3"/>
        <v>0</v>
      </c>
      <c r="I25" s="269">
        <f>SUMIF('OBJETO '!$A$16:$A$249,A25,'OBJETO '!$I$16:$I$249)</f>
        <v>0</v>
      </c>
      <c r="J25" s="267">
        <f t="shared" si="4"/>
        <v>0</v>
      </c>
      <c r="K25" s="269">
        <f>SUMIF('OBJETO '!$A$16:$A$249,A25,'OBJETO '!$K$16:$K$249)</f>
        <v>0</v>
      </c>
      <c r="L25" s="268">
        <f t="shared" si="5"/>
        <v>0</v>
      </c>
    </row>
    <row r="26" spans="1:12">
      <c r="A26" s="74" t="s">
        <v>72</v>
      </c>
      <c r="B26" s="960" t="s">
        <v>17</v>
      </c>
      <c r="C26" s="269">
        <f t="shared" si="1"/>
        <v>13500000</v>
      </c>
      <c r="D26" s="267">
        <f t="shared" si="2"/>
        <v>7.5361619803824902E-4</v>
      </c>
      <c r="E26" s="269">
        <f>SUMIF('OBJETO '!$A$16:$A$249,A26,'OBJETO '!$E$16:$E$249)</f>
        <v>13500000</v>
      </c>
      <c r="F26" s="267">
        <f t="shared" si="0"/>
        <v>2.1013497649780056E-3</v>
      </c>
      <c r="G26" s="269">
        <f>SUMIF('OBJETO '!$A$16:$A$249,A26,'OBJETO '!$G$16:$G$249)</f>
        <v>0</v>
      </c>
      <c r="H26" s="267">
        <f t="shared" si="3"/>
        <v>0</v>
      </c>
      <c r="I26" s="269">
        <f>SUMIF('OBJETO '!$A$16:$A$249,A26,'OBJETO '!$I$16:$I$249)</f>
        <v>0</v>
      </c>
      <c r="J26" s="267">
        <f t="shared" si="4"/>
        <v>0</v>
      </c>
      <c r="K26" s="269">
        <f>SUMIF('OBJETO '!$A$16:$A$249,A26,'OBJETO '!$K$16:$K$249)</f>
        <v>0</v>
      </c>
      <c r="L26" s="268">
        <f t="shared" si="5"/>
        <v>0</v>
      </c>
    </row>
    <row r="27" spans="1:12">
      <c r="A27" s="74" t="s">
        <v>75</v>
      </c>
      <c r="B27" s="960" t="s">
        <v>368</v>
      </c>
      <c r="C27" s="269">
        <f t="shared" si="1"/>
        <v>531693000</v>
      </c>
      <c r="D27" s="267">
        <f t="shared" si="2"/>
        <v>2.9680922754337091E-2</v>
      </c>
      <c r="E27" s="269">
        <f>SUMIF('OBJETO '!$A$16:$A$249,A27,'OBJETO '!$E$16:$E$249)</f>
        <v>187667000</v>
      </c>
      <c r="F27" s="267">
        <f t="shared" si="0"/>
        <v>2.921140787734277E-2</v>
      </c>
      <c r="G27" s="269">
        <f>SUMIF('OBJETO '!$A$16:$A$249,A27,'OBJETO '!$G$16:$G$249)</f>
        <v>36608000</v>
      </c>
      <c r="H27" s="267">
        <f t="shared" si="3"/>
        <v>6.4323303316494621E-2</v>
      </c>
      <c r="I27" s="269">
        <f>SUMIF('OBJETO '!$A$16:$A$249,A27,'OBJETO '!$I$16:$I$249)</f>
        <v>263217000</v>
      </c>
      <c r="J27" s="267">
        <f t="shared" si="4"/>
        <v>2.5634229566626057E-2</v>
      </c>
      <c r="K27" s="269">
        <f>SUMIF('OBJETO '!$A$16:$A$249,A27,'OBJETO '!$K$16:$K$249)</f>
        <v>44201000</v>
      </c>
      <c r="L27" s="268">
        <f t="shared" si="5"/>
        <v>6.7805840374549758E-2</v>
      </c>
    </row>
    <row r="28" spans="1:12">
      <c r="A28" s="74" t="s">
        <v>76</v>
      </c>
      <c r="B28" s="960" t="s">
        <v>369</v>
      </c>
      <c r="C28" s="269">
        <f t="shared" si="1"/>
        <v>515841000</v>
      </c>
      <c r="D28" s="267">
        <f t="shared" si="2"/>
        <v>2.8796009867573955E-2</v>
      </c>
      <c r="E28" s="269">
        <f>SUMIF('OBJETO '!$A$16:$A$249,A28,'OBJETO '!$E$16:$E$249)</f>
        <v>223390000</v>
      </c>
      <c r="F28" s="267">
        <f t="shared" si="0"/>
        <v>3.477189066655087E-2</v>
      </c>
      <c r="G28" s="269">
        <f>SUMIF('OBJETO '!$A$16:$A$249,A28,'OBJETO '!$G$16:$G$249)</f>
        <v>52035000</v>
      </c>
      <c r="H28" s="267">
        <f t="shared" si="3"/>
        <v>9.1429826488029872E-2</v>
      </c>
      <c r="I28" s="269">
        <f>SUMIF('OBJETO '!$A$16:$A$249,A28,'OBJETO '!$I$16:$I$249)</f>
        <v>202137000</v>
      </c>
      <c r="J28" s="267">
        <f t="shared" si="4"/>
        <v>1.9685758373923765E-2</v>
      </c>
      <c r="K28" s="269">
        <f>SUMIF('OBJETO '!$A$16:$A$249,A28,'OBJETO '!$K$16:$K$249)</f>
        <v>38279000</v>
      </c>
      <c r="L28" s="268">
        <f t="shared" si="5"/>
        <v>5.8721290552190906E-2</v>
      </c>
    </row>
    <row r="29" spans="1:12">
      <c r="A29" s="74" t="s">
        <v>77</v>
      </c>
      <c r="B29" s="960" t="s">
        <v>14</v>
      </c>
      <c r="C29" s="269">
        <f t="shared" si="1"/>
        <v>644115000</v>
      </c>
      <c r="D29" s="267">
        <f t="shared" si="2"/>
        <v>3.5956703511067167E-2</v>
      </c>
      <c r="E29" s="269">
        <f>SUMIF('OBJETO '!$A$16:$A$249,A29,'OBJETO '!$E$16:$E$249)</f>
        <v>149252000</v>
      </c>
      <c r="F29" s="267">
        <f t="shared" si="0"/>
        <v>2.3231900379444247E-2</v>
      </c>
      <c r="G29" s="269">
        <f>SUMIF('OBJETO '!$A$16:$A$249,A29,'OBJETO '!$G$16:$G$249)</f>
        <v>30697000</v>
      </c>
      <c r="H29" s="267">
        <f t="shared" si="3"/>
        <v>5.3937184274104988E-2</v>
      </c>
      <c r="I29" s="269">
        <f>SUMIF('OBJETO '!$A$16:$A$249,A29,'OBJETO '!$I$16:$I$249)</f>
        <v>438158000</v>
      </c>
      <c r="J29" s="267">
        <f t="shared" si="4"/>
        <v>4.267141848153326E-2</v>
      </c>
      <c r="K29" s="269">
        <f>SUMIF('OBJETO '!$A$16:$A$249,A29,'OBJETO '!$K$16:$K$249)</f>
        <v>26008000</v>
      </c>
      <c r="L29" s="268">
        <f t="shared" si="5"/>
        <v>3.9897158355270024E-2</v>
      </c>
    </row>
    <row r="30" spans="1:12">
      <c r="A30" s="74" t="s">
        <v>78</v>
      </c>
      <c r="B30" s="961" t="s">
        <v>370</v>
      </c>
      <c r="C30" s="269">
        <f t="shared" si="1"/>
        <v>606843000</v>
      </c>
      <c r="D30" s="267">
        <f t="shared" si="2"/>
        <v>3.3876052923416673E-2</v>
      </c>
      <c r="E30" s="269">
        <f>SUMIF('OBJETO '!$A$16:$A$249,A30,'OBJETO '!$E$16:$E$249)</f>
        <v>140186000</v>
      </c>
      <c r="F30" s="267">
        <f t="shared" si="0"/>
        <v>2.1820727270607906E-2</v>
      </c>
      <c r="G30" s="269">
        <f>SUMIF('OBJETO '!$A$16:$A$249,A30,'OBJETO '!$G$16:$G$249)</f>
        <v>29034000</v>
      </c>
      <c r="H30" s="267">
        <f t="shared" si="3"/>
        <v>5.1015154842960687E-2</v>
      </c>
      <c r="I30" s="269">
        <f>SUMIF('OBJETO '!$A$16:$A$249,A30,'OBJETO '!$I$16:$I$249)</f>
        <v>413264000</v>
      </c>
      <c r="J30" s="267">
        <f t="shared" si="4"/>
        <v>4.0247036656531121E-2</v>
      </c>
      <c r="K30" s="269">
        <f>SUMIF('OBJETO '!$A$16:$A$249,A30,'OBJETO '!$K$16:$K$249)</f>
        <v>24359000</v>
      </c>
      <c r="L30" s="268">
        <f t="shared" si="5"/>
        <v>3.7367536157183266E-2</v>
      </c>
    </row>
    <row r="31" spans="1:12">
      <c r="A31" s="74" t="s">
        <v>79</v>
      </c>
      <c r="B31" s="960" t="s">
        <v>493</v>
      </c>
      <c r="C31" s="269">
        <f t="shared" si="1"/>
        <v>123621000</v>
      </c>
      <c r="D31" s="267">
        <f t="shared" si="2"/>
        <v>6.9009472605693614E-3</v>
      </c>
      <c r="E31" s="269">
        <f>SUMIF('OBJETO '!$A$16:$A$249,A31,'OBJETO '!$E$16:$E$249)</f>
        <v>52043000</v>
      </c>
      <c r="F31" s="267">
        <f t="shared" si="0"/>
        <v>8.1007811717592852E-3</v>
      </c>
      <c r="G31" s="269">
        <f>SUMIF('OBJETO '!$A$16:$A$249,A31,'OBJETO '!$G$16:$G$249)</f>
        <v>13656000</v>
      </c>
      <c r="H31" s="267">
        <f t="shared" si="3"/>
        <v>2.3994728750274544E-2</v>
      </c>
      <c r="I31" s="269">
        <f>SUMIF('OBJETO '!$A$16:$A$249,A31,'OBJETO '!$I$16:$I$249)</f>
        <v>47461000</v>
      </c>
      <c r="J31" s="267">
        <f t="shared" si="4"/>
        <v>4.6221413110157754E-3</v>
      </c>
      <c r="K31" s="269">
        <f>SUMIF('OBJETO '!$A$16:$A$249,A31,'OBJETO '!$K$16:$K$249)</f>
        <v>10461000</v>
      </c>
      <c r="L31" s="268">
        <f t="shared" si="5"/>
        <v>1.6047530511937854E-2</v>
      </c>
    </row>
    <row r="32" spans="1:12" hidden="1">
      <c r="A32" s="74" t="s">
        <v>494</v>
      </c>
      <c r="B32" s="960" t="s">
        <v>495</v>
      </c>
      <c r="C32" s="269">
        <f t="shared" si="1"/>
        <v>0</v>
      </c>
      <c r="D32" s="267">
        <f t="shared" si="2"/>
        <v>0</v>
      </c>
      <c r="E32" s="269">
        <f>SUMIF('OBJETO '!$A$16:$A$249,A32,'OBJETO '!$E$16:$E$249)</f>
        <v>0</v>
      </c>
      <c r="F32" s="267">
        <f t="shared" si="0"/>
        <v>0</v>
      </c>
      <c r="G32" s="269">
        <f>SUMIF('OBJETO '!$A$16:$A$249,A32,'OBJETO '!$G$16:$G$249)</f>
        <v>0</v>
      </c>
      <c r="H32" s="267">
        <f t="shared" si="3"/>
        <v>0</v>
      </c>
      <c r="I32" s="269">
        <f>SUMIF('OBJETO '!$A$16:$A$249,A32,'OBJETO '!$I$16:$I$249)</f>
        <v>0</v>
      </c>
      <c r="J32" s="267">
        <f t="shared" si="4"/>
        <v>0</v>
      </c>
      <c r="K32" s="269">
        <f>SUMIF('OBJETO '!$A$16:$A$249,A32,'OBJETO '!$K$16:$K$249)</f>
        <v>0</v>
      </c>
      <c r="L32" s="268">
        <f t="shared" si="5"/>
        <v>0</v>
      </c>
    </row>
    <row r="33" spans="1:12" hidden="1">
      <c r="A33" s="74" t="s">
        <v>337</v>
      </c>
      <c r="B33" s="960" t="s">
        <v>338</v>
      </c>
      <c r="C33" s="269">
        <f t="shared" si="1"/>
        <v>0</v>
      </c>
      <c r="D33" s="267">
        <f t="shared" si="2"/>
        <v>0</v>
      </c>
      <c r="E33" s="269">
        <f>SUMIF('OBJETO '!$A$16:$A$249,A33,'OBJETO '!$E$16:$E$249)</f>
        <v>0</v>
      </c>
      <c r="F33" s="267">
        <f t="shared" si="0"/>
        <v>0</v>
      </c>
      <c r="G33" s="269">
        <f>SUMIF('OBJETO '!$A$16:$A$249,A33,'OBJETO '!$G$16:$G$249)</f>
        <v>0</v>
      </c>
      <c r="H33" s="267">
        <f t="shared" si="3"/>
        <v>0</v>
      </c>
      <c r="I33" s="269">
        <f>SUMIF('OBJETO '!$A$16:$A$249,A33,'OBJETO '!$I$16:$I$249)</f>
        <v>0</v>
      </c>
      <c r="J33" s="267">
        <f t="shared" si="4"/>
        <v>0</v>
      </c>
      <c r="K33" s="269">
        <f>SUMIF('OBJETO '!$A$16:$A$249,A33,'OBJETO '!$K$16:$K$249)</f>
        <v>0</v>
      </c>
      <c r="L33" s="268">
        <f t="shared" si="5"/>
        <v>0</v>
      </c>
    </row>
    <row r="34" spans="1:12" hidden="1" outlineLevel="1">
      <c r="B34" s="303" t="s">
        <v>52</v>
      </c>
      <c r="C34" s="756">
        <f>SUM(C35:C44)</f>
        <v>2064748000</v>
      </c>
      <c r="D34" s="734">
        <f t="shared" ref="D34:D44" si="6">+C34/$C$250</f>
        <v>0.11526129908645026</v>
      </c>
      <c r="E34" s="756">
        <f>SUM(E35:E44)</f>
        <v>478322000</v>
      </c>
      <c r="F34" s="734">
        <f>+E34/C34</f>
        <v>0.23166120030144113</v>
      </c>
      <c r="G34" s="756">
        <f>SUM(G35:G44)</f>
        <v>98431000</v>
      </c>
      <c r="H34" s="734">
        <f t="shared" ref="H34:H44" si="7">+G34/$G$250</f>
        <v>0.17295146057544475</v>
      </c>
      <c r="I34" s="756">
        <f>SUM(I35:I44)</f>
        <v>1404667000</v>
      </c>
      <c r="J34" s="734">
        <f t="shared" ref="J34:J44" si="8">+I34/$I$250</f>
        <v>0.13679798927373205</v>
      </c>
      <c r="K34" s="756">
        <f>SUM(K35:K44)</f>
        <v>83328000</v>
      </c>
      <c r="L34" s="1006">
        <f t="shared" ref="L34:L44" si="9">+K34/$K$250</f>
        <v>0.12782799182666643</v>
      </c>
    </row>
    <row r="35" spans="1:12" collapsed="1">
      <c r="A35" s="74" t="s">
        <v>82</v>
      </c>
      <c r="B35" s="960" t="s">
        <v>496</v>
      </c>
      <c r="C35" s="269">
        <f t="shared" ref="C35:C44" si="10">+E35+G35+I35+K35</f>
        <v>716121000</v>
      </c>
      <c r="D35" s="267">
        <f t="shared" si="6"/>
        <v>3.9976324841136959E-2</v>
      </c>
      <c r="E35" s="269">
        <f>SUMIF('OBJETO '!$A$16:$A$249,A35,'OBJETO '!$E$16:$E$249)</f>
        <v>165897000</v>
      </c>
      <c r="F35" s="267">
        <f t="shared" ref="F35:F44" si="11">+E35/$E$250</f>
        <v>2.5822786811893053E-2</v>
      </c>
      <c r="G35" s="269">
        <f>SUMIF('OBJETO '!$A$16:$A$249,A35,'OBJETO '!$G$16:$G$249)</f>
        <v>34139000</v>
      </c>
      <c r="H35" s="267">
        <f t="shared" si="7"/>
        <v>5.9985064792444545E-2</v>
      </c>
      <c r="I35" s="269">
        <f>SUMIF('OBJETO '!$A$16:$A$249,A35,'OBJETO '!$I$16:$I$249)</f>
        <v>487183000</v>
      </c>
      <c r="J35" s="267">
        <f t="shared" si="8"/>
        <v>4.7445874935728251E-2</v>
      </c>
      <c r="K35" s="269">
        <f>SUMIF('OBJETO '!$A$16:$A$249,A35,'OBJETO '!$K$16:$K$249)</f>
        <v>28902000</v>
      </c>
      <c r="L35" s="268">
        <f t="shared" si="9"/>
        <v>4.4336652983082675E-2</v>
      </c>
    </row>
    <row r="36" spans="1:12">
      <c r="A36" s="74" t="s">
        <v>83</v>
      </c>
      <c r="B36" s="960" t="s">
        <v>497</v>
      </c>
      <c r="C36" s="269">
        <f t="shared" si="10"/>
        <v>38709000</v>
      </c>
      <c r="D36" s="267">
        <f t="shared" si="6"/>
        <v>2.1608688451750058E-3</v>
      </c>
      <c r="E36" s="269">
        <f>SUMIF('OBJETO '!$A$16:$A$249,A36,'OBJETO '!$E$16:$E$249)</f>
        <v>8967000</v>
      </c>
      <c r="F36" s="267">
        <f t="shared" si="11"/>
        <v>1.3957632105598354E-3</v>
      </c>
      <c r="G36" s="269">
        <f>SUMIF('OBJETO '!$A$16:$A$249,A36,'OBJETO '!$G$16:$G$249)</f>
        <v>1845000</v>
      </c>
      <c r="H36" s="267">
        <f t="shared" si="7"/>
        <v>3.2418185811552824E-3</v>
      </c>
      <c r="I36" s="269">
        <f>SUMIF('OBJETO '!$A$16:$A$249,A36,'OBJETO '!$I$16:$I$249)</f>
        <v>26335000</v>
      </c>
      <c r="J36" s="267">
        <f t="shared" si="8"/>
        <v>2.5647182197088229E-3</v>
      </c>
      <c r="K36" s="269">
        <f>SUMIF('OBJETO '!$A$16:$A$249,A36,'OBJETO '!$K$16:$K$249)</f>
        <v>1562000</v>
      </c>
      <c r="L36" s="268">
        <f t="shared" si="9"/>
        <v>2.396161233117955E-3</v>
      </c>
    </row>
    <row r="37" spans="1:12">
      <c r="A37" s="74" t="s">
        <v>84</v>
      </c>
      <c r="B37" s="960" t="s">
        <v>498</v>
      </c>
      <c r="C37" s="269">
        <f t="shared" si="10"/>
        <v>116126000</v>
      </c>
      <c r="D37" s="267">
        <f t="shared" si="6"/>
        <v>6.482550712102941E-3</v>
      </c>
      <c r="E37" s="269">
        <f>SUMIF('OBJETO '!$A$16:$A$249,A37,'OBJETO '!$E$16:$E$249)</f>
        <v>26902000</v>
      </c>
      <c r="F37" s="267">
        <f t="shared" si="11"/>
        <v>4.187445287217653E-3</v>
      </c>
      <c r="G37" s="269">
        <f>SUMIF('OBJETO '!$A$16:$A$249,A37,'OBJETO '!$G$16:$G$249)</f>
        <v>5536000</v>
      </c>
      <c r="H37" s="267">
        <f t="shared" si="7"/>
        <v>9.7272128267076648E-3</v>
      </c>
      <c r="I37" s="269">
        <f>SUMIF('OBJETO '!$A$16:$A$249,A37,'OBJETO '!$I$16:$I$249)</f>
        <v>79001000</v>
      </c>
      <c r="J37" s="267">
        <f t="shared" si="8"/>
        <v>7.6937651063306136E-3</v>
      </c>
      <c r="K37" s="269">
        <f>SUMIF('OBJETO '!$A$16:$A$249,A37,'OBJETO '!$K$16:$K$249)</f>
        <v>4687000</v>
      </c>
      <c r="L37" s="268">
        <f t="shared" si="9"/>
        <v>7.1900177334339663E-3</v>
      </c>
    </row>
    <row r="38" spans="1:12">
      <c r="A38" s="74" t="s">
        <v>85</v>
      </c>
      <c r="B38" s="960" t="s">
        <v>499</v>
      </c>
      <c r="C38" s="269">
        <f t="shared" si="10"/>
        <v>387095000</v>
      </c>
      <c r="D38" s="267">
        <f t="shared" si="6"/>
        <v>2.1608967568860445E-2</v>
      </c>
      <c r="E38" s="269">
        <f>SUMIF('OBJETO '!$A$16:$A$249,A38,'OBJETO '!$E$16:$E$249)</f>
        <v>89674000</v>
      </c>
      <c r="F38" s="267">
        <f t="shared" si="11"/>
        <v>1.3958254727750939E-2</v>
      </c>
      <c r="G38" s="269">
        <f>SUMIF('OBJETO '!$A$16:$A$249,A38,'OBJETO '!$G$16:$G$249)</f>
        <v>18454000</v>
      </c>
      <c r="H38" s="267">
        <f t="shared" si="7"/>
        <v>3.2425214144520098E-2</v>
      </c>
      <c r="I38" s="269">
        <f>SUMIF('OBJETO '!$A$16:$A$249,A38,'OBJETO '!$I$16:$I$249)</f>
        <v>263345000</v>
      </c>
      <c r="J38" s="267">
        <f t="shared" si="8"/>
        <v>2.5646695256093411E-2</v>
      </c>
      <c r="K38" s="269">
        <f>SUMIF('OBJETO '!$A$16:$A$249,A38,'OBJETO '!$K$16:$K$249)</f>
        <v>15622000</v>
      </c>
      <c r="L38" s="268">
        <f t="shared" si="9"/>
        <v>2.3964680399339751E-2</v>
      </c>
    </row>
    <row r="39" spans="1:12">
      <c r="A39" s="74" t="s">
        <v>86</v>
      </c>
      <c r="B39" s="960" t="s">
        <v>500</v>
      </c>
      <c r="C39" s="269">
        <f t="shared" si="10"/>
        <v>38709000</v>
      </c>
      <c r="D39" s="267">
        <f t="shared" si="6"/>
        <v>2.1608688451750058E-3</v>
      </c>
      <c r="E39" s="269">
        <f>SUMIF('OBJETO '!$A$16:$A$249,A39,'OBJETO '!$E$16:$E$249)</f>
        <v>8967000</v>
      </c>
      <c r="F39" s="267">
        <f t="shared" si="11"/>
        <v>1.3957632105598354E-3</v>
      </c>
      <c r="G39" s="269">
        <f>SUMIF('OBJETO '!$A$16:$A$249,A39,'OBJETO '!$G$16:$G$249)</f>
        <v>1845000</v>
      </c>
      <c r="H39" s="267">
        <f t="shared" si="7"/>
        <v>3.2418185811552824E-3</v>
      </c>
      <c r="I39" s="269">
        <f>SUMIF('OBJETO '!$A$16:$A$249,A39,'OBJETO '!$I$16:$I$249)</f>
        <v>26335000</v>
      </c>
      <c r="J39" s="267">
        <f t="shared" si="8"/>
        <v>2.5647182197088229E-3</v>
      </c>
      <c r="K39" s="269">
        <f>SUMIF('OBJETO '!$A$16:$A$249,A39,'OBJETO '!$K$16:$K$249)</f>
        <v>1562000</v>
      </c>
      <c r="L39" s="268">
        <f t="shared" si="9"/>
        <v>2.396161233117955E-3</v>
      </c>
    </row>
    <row r="40" spans="1:12">
      <c r="A40" s="74" t="s">
        <v>425</v>
      </c>
      <c r="B40" s="960" t="s">
        <v>501</v>
      </c>
      <c r="C40" s="269">
        <f t="shared" si="10"/>
        <v>419605000</v>
      </c>
      <c r="D40" s="267">
        <f t="shared" si="6"/>
        <v>2.3423787020580702E-2</v>
      </c>
      <c r="E40" s="269">
        <f>SUMIF('OBJETO '!$A$16:$A$249,A40,'OBJETO '!$E$16:$E$249)</f>
        <v>97208000</v>
      </c>
      <c r="F40" s="267">
        <f t="shared" si="11"/>
        <v>1.5130963552146813E-2</v>
      </c>
      <c r="G40" s="269">
        <f>SUMIF('OBJETO '!$A$16:$A$249,A40,'OBJETO '!$G$16:$G$249)</f>
        <v>20004000</v>
      </c>
      <c r="H40" s="267">
        <f t="shared" si="7"/>
        <v>3.5148693169338899E-2</v>
      </c>
      <c r="I40" s="269">
        <f>SUMIF('OBJETO '!$A$16:$A$249,A40,'OBJETO '!$I$16:$I$249)</f>
        <v>285460000</v>
      </c>
      <c r="J40" s="267">
        <f t="shared" si="8"/>
        <v>2.7800435276175456E-2</v>
      </c>
      <c r="K40" s="269">
        <f>SUMIF('OBJETO '!$A$16:$A$249,A40,'OBJETO '!$K$16:$K$249)</f>
        <v>16933000</v>
      </c>
      <c r="L40" s="268">
        <f t="shared" si="9"/>
        <v>2.5975799078352325E-2</v>
      </c>
    </row>
    <row r="41" spans="1:12">
      <c r="A41" s="74" t="s">
        <v>89</v>
      </c>
      <c r="B41" s="960" t="s">
        <v>502</v>
      </c>
      <c r="C41" s="269">
        <f t="shared" si="10"/>
        <v>232257000</v>
      </c>
      <c r="D41" s="267">
        <f t="shared" si="6"/>
        <v>1.2965380541316266E-2</v>
      </c>
      <c r="E41" s="269">
        <f>SUMIF('OBJETO '!$A$16:$A$249,A41,'OBJETO '!$E$16:$E$249)</f>
        <v>53805000</v>
      </c>
      <c r="F41" s="267">
        <f t="shared" si="11"/>
        <v>8.3750462299734523E-3</v>
      </c>
      <c r="G41" s="269">
        <f>SUMIF('OBJETO '!$A$16:$A$249,A41,'OBJETO '!$G$16:$G$249)</f>
        <v>11072000</v>
      </c>
      <c r="H41" s="267">
        <f t="shared" si="7"/>
        <v>1.945442565341533E-2</v>
      </c>
      <c r="I41" s="269">
        <f>SUMIF('OBJETO '!$A$16:$A$249,A41,'OBJETO '!$I$16:$I$249)</f>
        <v>158007000</v>
      </c>
      <c r="J41" s="267">
        <f t="shared" si="8"/>
        <v>1.5388017153656047E-2</v>
      </c>
      <c r="K41" s="269">
        <f>SUMIF('OBJETO '!$A$16:$A$249,A41,'OBJETO '!$K$16:$K$249)</f>
        <v>9373000</v>
      </c>
      <c r="L41" s="268">
        <f t="shared" si="9"/>
        <v>1.437850143278783E-2</v>
      </c>
    </row>
    <row r="42" spans="1:12">
      <c r="A42" s="74" t="s">
        <v>90</v>
      </c>
      <c r="B42" s="960" t="s">
        <v>503</v>
      </c>
      <c r="C42" s="269">
        <f t="shared" si="10"/>
        <v>116126000</v>
      </c>
      <c r="D42" s="267">
        <f t="shared" si="6"/>
        <v>6.482550712102941E-3</v>
      </c>
      <c r="E42" s="269">
        <f>SUMIF('OBJETO '!$A$16:$A$249,A42,'OBJETO '!$E$16:$E$249)</f>
        <v>26902000</v>
      </c>
      <c r="F42" s="267">
        <f t="shared" si="11"/>
        <v>4.187445287217653E-3</v>
      </c>
      <c r="G42" s="269">
        <f>SUMIF('OBJETO '!$A$16:$A$249,A42,'OBJETO '!$G$16:$G$249)</f>
        <v>5536000</v>
      </c>
      <c r="H42" s="267">
        <f t="shared" si="7"/>
        <v>9.7272128267076648E-3</v>
      </c>
      <c r="I42" s="269">
        <f>SUMIF('OBJETO '!$A$16:$A$249,A42,'OBJETO '!$I$16:$I$249)</f>
        <v>79001000</v>
      </c>
      <c r="J42" s="267">
        <f t="shared" si="8"/>
        <v>7.6937651063306136E-3</v>
      </c>
      <c r="K42" s="269">
        <f>SUMIF('OBJETO '!$A$16:$A$249,A42,'OBJETO '!$K$16:$K$249)</f>
        <v>4687000</v>
      </c>
      <c r="L42" s="268">
        <f t="shared" si="9"/>
        <v>7.1900177334339663E-3</v>
      </c>
    </row>
    <row r="43" spans="1:12" hidden="1">
      <c r="A43" s="74" t="s">
        <v>504</v>
      </c>
      <c r="B43" s="960" t="s">
        <v>505</v>
      </c>
      <c r="C43" s="269">
        <f t="shared" si="10"/>
        <v>0</v>
      </c>
      <c r="D43" s="267">
        <f t="shared" si="6"/>
        <v>0</v>
      </c>
      <c r="E43" s="269">
        <f>SUMIF('OBJETO '!$A$16:$A$249,A43,'OBJETO '!$E$16:$E$249)</f>
        <v>0</v>
      </c>
      <c r="F43" s="267">
        <f t="shared" si="11"/>
        <v>0</v>
      </c>
      <c r="G43" s="269">
        <f>SUMIF('OBJETO '!$A$16:$A$249,A43,'OBJETO '!$G$16:$G$249)</f>
        <v>0</v>
      </c>
      <c r="H43" s="267">
        <f t="shared" si="7"/>
        <v>0</v>
      </c>
      <c r="I43" s="269">
        <f>SUMIF('OBJETO '!$A$16:$A$249,A43,'OBJETO '!$I$16:$I$249)</f>
        <v>0</v>
      </c>
      <c r="J43" s="267">
        <f t="shared" si="8"/>
        <v>0</v>
      </c>
      <c r="K43" s="269">
        <f>SUMIF('OBJETO '!$A$16:$A$249,A43,'OBJETO '!$K$16:$K$249)</f>
        <v>0</v>
      </c>
      <c r="L43" s="268">
        <f t="shared" si="9"/>
        <v>0</v>
      </c>
    </row>
    <row r="44" spans="1:12" hidden="1">
      <c r="A44" s="74" t="s">
        <v>506</v>
      </c>
      <c r="B44" s="960" t="s">
        <v>507</v>
      </c>
      <c r="C44" s="269">
        <f t="shared" si="10"/>
        <v>0</v>
      </c>
      <c r="D44" s="267">
        <f t="shared" si="6"/>
        <v>0</v>
      </c>
      <c r="E44" s="269">
        <f>SUMIF('OBJETO '!$A$16:$A$249,A44,'OBJETO '!$E$16:$E$249)</f>
        <v>0</v>
      </c>
      <c r="F44" s="267">
        <f t="shared" si="11"/>
        <v>0</v>
      </c>
      <c r="G44" s="269">
        <f>SUMIF('OBJETO '!$A$16:$A$249,A44,'OBJETO '!$G$16:$G$249)</f>
        <v>0</v>
      </c>
      <c r="H44" s="267">
        <f t="shared" si="7"/>
        <v>0</v>
      </c>
      <c r="I44" s="269">
        <f>SUMIF('OBJETO '!$A$16:$A$249,A44,'OBJETO '!$I$16:$I$249)</f>
        <v>0</v>
      </c>
      <c r="J44" s="267">
        <f t="shared" si="8"/>
        <v>0</v>
      </c>
      <c r="K44" s="269">
        <f>SUMIF('OBJETO '!$A$16:$A$249,A44,'OBJETO '!$K$16:$K$249)</f>
        <v>0</v>
      </c>
      <c r="L44" s="268">
        <f t="shared" si="9"/>
        <v>0</v>
      </c>
    </row>
    <row r="45" spans="1:12" ht="7.95" customHeight="1">
      <c r="B45" s="254"/>
      <c r="C45" s="311"/>
      <c r="D45" s="237"/>
      <c r="E45" s="311"/>
      <c r="F45" s="737"/>
      <c r="G45" s="311"/>
      <c r="H45" s="737"/>
      <c r="I45" s="311"/>
      <c r="J45" s="737"/>
      <c r="K45" s="311"/>
      <c r="L45" s="742"/>
    </row>
    <row r="46" spans="1:12">
      <c r="B46" s="955" t="s">
        <v>51</v>
      </c>
      <c r="C46" s="956">
        <f>+C48+C56+C64+C74+C84+C91+C97+C103+C122+C115</f>
        <v>3003903580.1900001</v>
      </c>
      <c r="D46" s="957">
        <f>+C46/$C$250</f>
        <v>0.16768817743527942</v>
      </c>
      <c r="E46" s="956">
        <f>+E48+E56+E64+E74+E84+E91+E97+E103+E122+E115</f>
        <v>976208764.19000006</v>
      </c>
      <c r="F46" s="957">
        <f>+E46/$E$250</f>
        <v>0.15195230053334266</v>
      </c>
      <c r="G46" s="956">
        <f>+G48+G56+G64+G74+G84+G91+G97+G103+G122+G115</f>
        <v>67926000</v>
      </c>
      <c r="H46" s="957">
        <f>+G46/$G$250</f>
        <v>0.11935163628376895</v>
      </c>
      <c r="I46" s="956">
        <f>+I48+I56+I64+I74+I84+I91+I97+I103+I122+I115</f>
        <v>1731878816</v>
      </c>
      <c r="J46" s="957">
        <f>+I46/$I$250</f>
        <v>0.16866455871361094</v>
      </c>
      <c r="K46" s="956">
        <f>+K48+K56+K64+K74+K84+K91+K97+K103+K122+K115</f>
        <v>227890000</v>
      </c>
      <c r="L46" s="1003">
        <f>+K46/$K$250</f>
        <v>0.34959102651424506</v>
      </c>
    </row>
    <row r="47" spans="1:12" ht="7.95" customHeight="1">
      <c r="B47" s="254"/>
      <c r="C47" s="269"/>
      <c r="D47" s="926"/>
      <c r="E47" s="269"/>
      <c r="F47" s="731"/>
      <c r="G47" s="269"/>
      <c r="H47" s="731"/>
      <c r="I47" s="269"/>
      <c r="J47" s="731"/>
      <c r="K47" s="269"/>
      <c r="L47" s="1005"/>
    </row>
    <row r="48" spans="1:12">
      <c r="B48" s="306" t="s">
        <v>93</v>
      </c>
      <c r="C48" s="307">
        <f>SUM(C50:C54)</f>
        <v>489139000</v>
      </c>
      <c r="D48" s="349">
        <f>SUM(C48/$C$46)</f>
        <v>0.16283445421675666</v>
      </c>
      <c r="E48" s="307">
        <f>SUM(E50:E54)</f>
        <v>192607000</v>
      </c>
      <c r="F48" s="349">
        <f>+E48/C48</f>
        <v>0.393767415806141</v>
      </c>
      <c r="G48" s="307">
        <f>SUM(G50:G54)</f>
        <v>7654000</v>
      </c>
      <c r="H48" s="349">
        <f>+G48/C48</f>
        <v>1.5647903765596282E-2</v>
      </c>
      <c r="I48" s="307">
        <f>SUM(I50:I54)</f>
        <v>252608000</v>
      </c>
      <c r="J48" s="349">
        <f>+I48/C48</f>
        <v>0.51643397888943632</v>
      </c>
      <c r="K48" s="307">
        <f>SUM(K50:K54)</f>
        <v>36270000</v>
      </c>
      <c r="L48" s="350">
        <f>+K48/C48</f>
        <v>7.4150701538826386E-2</v>
      </c>
    </row>
    <row r="49" spans="1:12" ht="7.95" customHeight="1">
      <c r="B49" s="265"/>
      <c r="C49" s="269"/>
      <c r="D49" s="262"/>
      <c r="E49" s="269"/>
      <c r="F49" s="262"/>
      <c r="G49" s="269"/>
      <c r="H49" s="262"/>
      <c r="I49" s="269"/>
      <c r="J49" s="262"/>
      <c r="K49" s="269"/>
      <c r="L49" s="712"/>
    </row>
    <row r="50" spans="1:12">
      <c r="A50" s="74" t="s">
        <v>94</v>
      </c>
      <c r="B50" s="308" t="s">
        <v>508</v>
      </c>
      <c r="C50" s="269">
        <f>+E50+G50+I50+K50</f>
        <v>260584000</v>
      </c>
      <c r="D50" s="267">
        <f>+C50/$C$250</f>
        <v>1.454669061848882E-2</v>
      </c>
      <c r="E50" s="269">
        <f>SUMIF('OBJETO '!$A$16:$A$249,A50,'OBJETO '!$E$16:$E$249)</f>
        <v>89052000</v>
      </c>
      <c r="F50" s="267">
        <f>+E50/$E$250</f>
        <v>1.3861436983023804E-2</v>
      </c>
      <c r="G50" s="269">
        <f>SUMIF('OBJETO '!$A$16:$A$249,A50,'OBJETO '!$G$16:$G$249)</f>
        <v>7654000</v>
      </c>
      <c r="H50" s="267">
        <f>+G50/$G$250</f>
        <v>1.3448715132879421E-2</v>
      </c>
      <c r="I50" s="269">
        <f>SUMIF('OBJETO '!$A$16:$A$249,A50,'OBJETO '!$I$16:$I$249)</f>
        <v>127608000</v>
      </c>
      <c r="J50" s="267">
        <f>+I50/$I$250</f>
        <v>1.2427513293358779E-2</v>
      </c>
      <c r="K50" s="269">
        <f>SUMIF('OBJETO '!$A$16:$A$249,A50,'OBJETO '!$K$16:$K$249)</f>
        <v>36270000</v>
      </c>
      <c r="L50" s="268">
        <f>+K50/$K$250</f>
        <v>5.5639416085267748E-2</v>
      </c>
    </row>
    <row r="51" spans="1:12">
      <c r="A51" s="74" t="s">
        <v>95</v>
      </c>
      <c r="B51" s="308" t="s">
        <v>509</v>
      </c>
      <c r="C51" s="269">
        <f>+E51+G51+I51+K51</f>
        <v>175000000</v>
      </c>
      <c r="D51" s="267">
        <f>+C51/$C$250</f>
        <v>9.769098863458784E-3</v>
      </c>
      <c r="E51" s="269">
        <f>SUMIF('OBJETO '!$A$16:$A$249,A51,'OBJETO '!$E$16:$E$249)</f>
        <v>50000000</v>
      </c>
      <c r="F51" s="267">
        <f>+E51/$E$250</f>
        <v>7.7827769073259469E-3</v>
      </c>
      <c r="G51" s="269">
        <f>SUMIF('OBJETO '!$A$16:$A$249,A51,'OBJETO '!$G$16:$G$249)</f>
        <v>0</v>
      </c>
      <c r="H51" s="267">
        <f>+G51/$G$250</f>
        <v>0</v>
      </c>
      <c r="I51" s="269">
        <f>SUMIF('OBJETO '!$A$16:$A$249,A51,'OBJETO '!$I$16:$I$249)</f>
        <v>125000000</v>
      </c>
      <c r="J51" s="267">
        <f>+I51/$I$250</f>
        <v>1.2173524870461472E-2</v>
      </c>
      <c r="K51" s="269">
        <f>SUMIF('OBJETO '!$A$16:$A$249,A51,'OBJETO '!$K$16:$K$249)</f>
        <v>0</v>
      </c>
      <c r="L51" s="268">
        <f>+K51/$K$250</f>
        <v>0</v>
      </c>
    </row>
    <row r="52" spans="1:12" hidden="1">
      <c r="A52" s="74" t="s">
        <v>97</v>
      </c>
      <c r="B52" s="308" t="s">
        <v>510</v>
      </c>
      <c r="C52" s="269">
        <f>+E52+G52+I52+K52</f>
        <v>0</v>
      </c>
      <c r="D52" s="267">
        <f>+C52/$C$250</f>
        <v>0</v>
      </c>
      <c r="E52" s="269">
        <f>SUMIF('OBJETO '!$A$16:$A$249,A52,'OBJETO '!$E$16:$E$249)</f>
        <v>0</v>
      </c>
      <c r="F52" s="267">
        <f>+E52/$E$250</f>
        <v>0</v>
      </c>
      <c r="G52" s="269">
        <f>SUMIF('OBJETO '!$A$16:$A$249,A52,'OBJETO '!$G$16:$G$249)</f>
        <v>0</v>
      </c>
      <c r="H52" s="267">
        <f>+G52/$G$250</f>
        <v>0</v>
      </c>
      <c r="I52" s="269">
        <f>SUMIF('OBJETO '!$A$16:$A$249,A52,'OBJETO '!$I$16:$I$249)</f>
        <v>0</v>
      </c>
      <c r="J52" s="267">
        <f>+I52/$I$250</f>
        <v>0</v>
      </c>
      <c r="K52" s="269">
        <f>SUMIF('OBJETO '!$A$16:$A$249,A52,'OBJETO '!$K$16:$K$249)</f>
        <v>0</v>
      </c>
      <c r="L52" s="268">
        <f>+K52/$K$250</f>
        <v>0</v>
      </c>
    </row>
    <row r="53" spans="1:12" hidden="1" outlineLevel="2">
      <c r="A53" s="74" t="s">
        <v>511</v>
      </c>
      <c r="B53" s="308" t="s">
        <v>512</v>
      </c>
      <c r="C53" s="269">
        <f>+E53+G53+I53+K53</f>
        <v>0</v>
      </c>
      <c r="D53" s="267">
        <f>+C53/$C$250</f>
        <v>0</v>
      </c>
      <c r="E53" s="269">
        <f>SUMIF('OBJETO '!$A$16:$A$249,A53,'OBJETO '!$E$16:$E$249)</f>
        <v>0</v>
      </c>
      <c r="F53" s="267">
        <f>+E53/$E$250</f>
        <v>0</v>
      </c>
      <c r="G53" s="269">
        <f>SUMIF('OBJETO '!$A$16:$A$249,A53,'OBJETO '!$G$16:$G$249)</f>
        <v>0</v>
      </c>
      <c r="H53" s="267">
        <f>+G53/$G$250</f>
        <v>0</v>
      </c>
      <c r="I53" s="269">
        <f>SUMIF('OBJETO '!$A$16:$A$249,A53,'OBJETO '!$I$16:$I$249)</f>
        <v>0</v>
      </c>
      <c r="J53" s="267">
        <f>+I53/$I$250</f>
        <v>0</v>
      </c>
      <c r="K53" s="269">
        <f>SUMIF('OBJETO '!$A$16:$A$249,A53,'OBJETO '!$K$16:$K$249)</f>
        <v>0</v>
      </c>
      <c r="L53" s="268">
        <f>+K53/$K$250</f>
        <v>0</v>
      </c>
    </row>
    <row r="54" spans="1:12" outlineLevel="2">
      <c r="A54" s="74" t="s">
        <v>99</v>
      </c>
      <c r="B54" s="308" t="s">
        <v>513</v>
      </c>
      <c r="C54" s="269">
        <f>+E54+G54+I54+K54</f>
        <v>53555000</v>
      </c>
      <c r="D54" s="267">
        <f>+C54/$C$250</f>
        <v>2.9896233693287723E-3</v>
      </c>
      <c r="E54" s="269">
        <f>SUMIF('OBJETO '!$A$16:$A$249,A54,'OBJETO '!$E$16:$E$249)</f>
        <v>53555000</v>
      </c>
      <c r="F54" s="267">
        <f>+E54/$E$250</f>
        <v>8.3361323454368228E-3</v>
      </c>
      <c r="G54" s="269">
        <f>SUMIF('OBJETO '!$A$16:$A$249,A54,'OBJETO '!$G$16:$G$249)</f>
        <v>0</v>
      </c>
      <c r="H54" s="267">
        <f>+G54/$G$250</f>
        <v>0</v>
      </c>
      <c r="I54" s="269">
        <f>SUMIF('OBJETO '!$A$16:$A$249,A54,'OBJETO '!$I$16:$I$249)</f>
        <v>0</v>
      </c>
      <c r="J54" s="267">
        <f>+I54/$I$250</f>
        <v>0</v>
      </c>
      <c r="K54" s="269">
        <f>SUMIF('OBJETO '!$A$16:$A$249,A54,'OBJETO '!$K$16:$K$249)</f>
        <v>0</v>
      </c>
      <c r="L54" s="268">
        <f>+K54/$K$250</f>
        <v>0</v>
      </c>
    </row>
    <row r="55" spans="1:12" ht="7.95" customHeight="1">
      <c r="B55" s="309"/>
      <c r="C55" s="310"/>
      <c r="D55" s="273"/>
      <c r="E55" s="310"/>
      <c r="F55" s="273"/>
      <c r="G55" s="310"/>
      <c r="H55" s="273"/>
      <c r="I55" s="310"/>
      <c r="J55" s="273"/>
      <c r="K55" s="310"/>
      <c r="L55" s="745"/>
    </row>
    <row r="56" spans="1:12">
      <c r="B56" s="306" t="s">
        <v>102</v>
      </c>
      <c r="C56" s="307">
        <f>SUM(C58:C62)</f>
        <v>138020380</v>
      </c>
      <c r="D56" s="349">
        <f>SUM(C56/$C$46)</f>
        <v>4.5947007390719934E-2</v>
      </c>
      <c r="E56" s="307">
        <f>SUM(E58:E62)</f>
        <v>47395380</v>
      </c>
      <c r="F56" s="349">
        <f>+E56/C56</f>
        <v>0.34339406977433334</v>
      </c>
      <c r="G56" s="307">
        <f>SUM(G58:G62)</f>
        <v>1902000</v>
      </c>
      <c r="H56" s="349">
        <f>+G56/C56</f>
        <v>1.3780573564570681E-2</v>
      </c>
      <c r="I56" s="307">
        <f>SUM(I58:I62)</f>
        <v>78409000</v>
      </c>
      <c r="J56" s="349">
        <f>+I56/C56</f>
        <v>0.56809726215795087</v>
      </c>
      <c r="K56" s="307">
        <f>SUM(K58:K62)</f>
        <v>10314000</v>
      </c>
      <c r="L56" s="350">
        <f>+K56/C56</f>
        <v>7.4728094503145118E-2</v>
      </c>
    </row>
    <row r="57" spans="1:12" ht="7.95" customHeight="1">
      <c r="B57" s="308"/>
      <c r="C57" s="269"/>
      <c r="D57" s="262"/>
      <c r="E57" s="269"/>
      <c r="F57" s="262"/>
      <c r="G57" s="269"/>
      <c r="H57" s="262"/>
      <c r="I57" s="269"/>
      <c r="J57" s="262"/>
      <c r="K57" s="269"/>
      <c r="L57" s="712"/>
    </row>
    <row r="58" spans="1:12">
      <c r="A58" s="74" t="s">
        <v>103</v>
      </c>
      <c r="B58" s="308" t="s">
        <v>514</v>
      </c>
      <c r="C58" s="269">
        <f>+E58+G58+I58+K58</f>
        <v>10512000</v>
      </c>
      <c r="D58" s="267">
        <f>+C58/$C$250</f>
        <v>5.8681581287244988E-4</v>
      </c>
      <c r="E58" s="269">
        <f>SUMIF('OBJETO '!$A$16:$A$249,A58,'OBJETO '!$E$16:$E$249)</f>
        <v>3114000</v>
      </c>
      <c r="F58" s="267">
        <f>+E58/$E$250</f>
        <v>4.8471134578825998E-4</v>
      </c>
      <c r="G58" s="269">
        <f>SUMIF('OBJETO '!$A$16:$A$249,A58,'OBJETO '!$G$16:$G$249)</f>
        <v>330000</v>
      </c>
      <c r="H58" s="267">
        <f>+G58/$G$250</f>
        <v>5.7983746980013178E-4</v>
      </c>
      <c r="I58" s="269">
        <f>SUMIF('OBJETO '!$A$16:$A$249,A58,'OBJETO '!$I$16:$I$249)</f>
        <v>5504000</v>
      </c>
      <c r="J58" s="267">
        <f>+I58/$I$250</f>
        <v>5.360246470961595E-4</v>
      </c>
      <c r="K58" s="269">
        <f>SUMIF('OBJETO '!$A$16:$A$249,A58,'OBJETO '!$K$16:$K$249)</f>
        <v>1564000</v>
      </c>
      <c r="L58" s="268">
        <f>+K58/$K$250</f>
        <v>2.3992293012781571E-3</v>
      </c>
    </row>
    <row r="59" spans="1:12">
      <c r="A59" s="74" t="s">
        <v>105</v>
      </c>
      <c r="B59" s="308" t="s">
        <v>515</v>
      </c>
      <c r="C59" s="269">
        <f>+E59+G59+I59+K59</f>
        <v>32922000</v>
      </c>
      <c r="D59" s="267">
        <f>+C59/$C$250</f>
        <v>1.8378187016159433E-3</v>
      </c>
      <c r="E59" s="269">
        <f>SUMIF('OBJETO '!$A$16:$A$249,A59,'OBJETO '!$E$16:$E$249)</f>
        <v>9740000</v>
      </c>
      <c r="F59" s="267">
        <f>+E59/$E$250</f>
        <v>1.5160849415470944E-3</v>
      </c>
      <c r="G59" s="269">
        <f>SUMIF('OBJETO '!$A$16:$A$249,A59,'OBJETO '!$G$16:$G$249)</f>
        <v>1034000</v>
      </c>
      <c r="H59" s="267">
        <f>+G59/$G$250</f>
        <v>1.816824072040413E-3</v>
      </c>
      <c r="I59" s="269">
        <f>SUMIF('OBJETO '!$A$16:$A$249,A59,'OBJETO '!$I$16:$I$249)</f>
        <v>17244000</v>
      </c>
      <c r="J59" s="267">
        <f>+I59/$I$250</f>
        <v>1.6793621029299009E-3</v>
      </c>
      <c r="K59" s="269">
        <f>SUMIF('OBJETO '!$A$16:$A$249,A59,'OBJETO '!$K$16:$K$249)</f>
        <v>4904000</v>
      </c>
      <c r="L59" s="268">
        <f>+K59/$K$250</f>
        <v>7.5229031288159094E-3</v>
      </c>
    </row>
    <row r="60" spans="1:12">
      <c r="A60" s="74" t="s">
        <v>107</v>
      </c>
      <c r="B60" s="308" t="s">
        <v>516</v>
      </c>
      <c r="C60" s="269">
        <f>+E60+G60+I60+K60</f>
        <v>3500000</v>
      </c>
      <c r="D60" s="267">
        <f>+C60/$C$250</f>
        <v>1.9538197726917566E-4</v>
      </c>
      <c r="E60" s="269">
        <f>SUMIF('OBJETO '!$A$16:$A$249,A60,'OBJETO '!$E$16:$E$249)</f>
        <v>3500000</v>
      </c>
      <c r="F60" s="267">
        <f>+E60/$E$250</f>
        <v>5.4479438351281626E-4</v>
      </c>
      <c r="G60" s="269">
        <f>SUMIF('OBJETO '!$A$16:$A$249,A60,'OBJETO '!$G$16:$G$249)</f>
        <v>0</v>
      </c>
      <c r="H60" s="267">
        <f>+G60/$G$250</f>
        <v>0</v>
      </c>
      <c r="I60" s="269">
        <f>SUMIF('OBJETO '!$A$16:$A$249,A60,'OBJETO '!$I$16:$I$249)</f>
        <v>0</v>
      </c>
      <c r="J60" s="267">
        <f>+I60/$I$250</f>
        <v>0</v>
      </c>
      <c r="K60" s="269">
        <f>SUMIF('OBJETO '!$A$16:$A$249,A60,'OBJETO '!$K$16:$K$249)</f>
        <v>0</v>
      </c>
      <c r="L60" s="268">
        <f>+K60/$K$250</f>
        <v>0</v>
      </c>
    </row>
    <row r="61" spans="1:12">
      <c r="A61" s="74" t="s">
        <v>286</v>
      </c>
      <c r="B61" s="308" t="s">
        <v>517</v>
      </c>
      <c r="C61" s="269">
        <f>+E61+G61+I61+K61</f>
        <v>90305000</v>
      </c>
      <c r="D61" s="267">
        <f>+C61/$C$250</f>
        <v>5.041134130655117E-3</v>
      </c>
      <c r="E61" s="269">
        <f>SUMIF('OBJETO '!$A$16:$A$249,A61,'OBJETO '!$E$16:$E$249)</f>
        <v>30260000</v>
      </c>
      <c r="F61" s="267">
        <f>+E61/$E$250</f>
        <v>4.7101365843136636E-3</v>
      </c>
      <c r="G61" s="269">
        <f>SUMIF('OBJETO '!$A$16:$A$249,A61,'OBJETO '!$G$16:$G$249)</f>
        <v>538000</v>
      </c>
      <c r="H61" s="267">
        <f>+G61/$G$250</f>
        <v>9.4531078409839666E-4</v>
      </c>
      <c r="I61" s="269">
        <f>SUMIF('OBJETO '!$A$16:$A$249,A61,'OBJETO '!$I$16:$I$249)</f>
        <v>55661000</v>
      </c>
      <c r="J61" s="267">
        <f>+I61/$I$250</f>
        <v>5.4207245425180479E-3</v>
      </c>
      <c r="K61" s="269">
        <f>SUMIF('OBJETO '!$A$16:$A$249,A61,'OBJETO '!$K$16:$K$249)</f>
        <v>3846000</v>
      </c>
      <c r="L61" s="268">
        <f>+K61/$K$250</f>
        <v>5.8998950720689208E-3</v>
      </c>
    </row>
    <row r="62" spans="1:12">
      <c r="A62" s="74" t="s">
        <v>109</v>
      </c>
      <c r="B62" s="308" t="s">
        <v>518</v>
      </c>
      <c r="C62" s="269">
        <f>+E62+G62+I62+K62</f>
        <v>781380</v>
      </c>
      <c r="D62" s="267">
        <f>+C62/$C$250</f>
        <v>4.361930554245385E-5</v>
      </c>
      <c r="E62" s="269">
        <f>SUMIF('OBJETO '!$A$16:$A$249,A62,'OBJETO '!$E$16:$E$249)</f>
        <v>781380</v>
      </c>
      <c r="F62" s="267">
        <f>+E62/$E$250</f>
        <v>1.2162612439692697E-4</v>
      </c>
      <c r="G62" s="269">
        <f>SUMIF('OBJETO '!$A$16:$A$249,A62,'OBJETO '!$G$16:$G$249)</f>
        <v>0</v>
      </c>
      <c r="H62" s="267">
        <f>+G62/$G$250</f>
        <v>0</v>
      </c>
      <c r="I62" s="269">
        <f>SUMIF('OBJETO '!$A$16:$A$249,A62,'OBJETO '!$I$16:$I$249)</f>
        <v>0</v>
      </c>
      <c r="J62" s="267">
        <f>+I62/$I$250</f>
        <v>0</v>
      </c>
      <c r="K62" s="269">
        <f>SUMIF('OBJETO '!$A$16:$A$249,A62,'OBJETO '!$K$16:$K$249)</f>
        <v>0</v>
      </c>
      <c r="L62" s="268">
        <f>+K62/$K$250</f>
        <v>0</v>
      </c>
    </row>
    <row r="63" spans="1:12" ht="7.95" customHeight="1">
      <c r="B63" s="309"/>
      <c r="C63" s="310"/>
      <c r="D63" s="273"/>
      <c r="E63" s="310"/>
      <c r="F63" s="273"/>
      <c r="G63" s="310"/>
      <c r="H63" s="273"/>
      <c r="I63" s="310"/>
      <c r="J63" s="273"/>
      <c r="K63" s="310"/>
      <c r="L63" s="745"/>
    </row>
    <row r="64" spans="1:12">
      <c r="B64" s="306" t="s">
        <v>112</v>
      </c>
      <c r="C64" s="307">
        <f>SUM(C66:C72)</f>
        <v>155317908</v>
      </c>
      <c r="D64" s="349">
        <f>SUM(C64/$C$46)</f>
        <v>5.1705357330469305E-2</v>
      </c>
      <c r="E64" s="307">
        <f>SUM(E66:E72)</f>
        <v>102117908</v>
      </c>
      <c r="F64" s="349">
        <f>+E64/C64</f>
        <v>0.6574767154345138</v>
      </c>
      <c r="G64" s="307">
        <f>SUM(G66:G72)</f>
        <v>0</v>
      </c>
      <c r="H64" s="349">
        <f>+G64/C64</f>
        <v>0</v>
      </c>
      <c r="I64" s="307">
        <f>SUM(I66:I72)</f>
        <v>9400000</v>
      </c>
      <c r="J64" s="349">
        <f>+I64/C64</f>
        <v>6.0521031483375377E-2</v>
      </c>
      <c r="K64" s="307">
        <f>SUM(K66:K72)</f>
        <v>43800000</v>
      </c>
      <c r="L64" s="350">
        <f>+K64/C64</f>
        <v>0.2820022530821108</v>
      </c>
    </row>
    <row r="65" spans="1:12" ht="7.95" customHeight="1">
      <c r="B65" s="308"/>
      <c r="C65" s="269"/>
      <c r="D65" s="262"/>
      <c r="E65" s="269"/>
      <c r="F65" s="731"/>
      <c r="G65" s="269"/>
      <c r="H65" s="731"/>
      <c r="I65" s="269"/>
      <c r="J65" s="731"/>
      <c r="K65" s="269"/>
      <c r="L65" s="1005"/>
    </row>
    <row r="66" spans="1:12">
      <c r="A66" s="74" t="s">
        <v>113</v>
      </c>
      <c r="B66" s="308" t="s">
        <v>519</v>
      </c>
      <c r="C66" s="269">
        <f t="shared" ref="C66:C72" si="12">+E66+G66+I66+K66</f>
        <v>1337000</v>
      </c>
      <c r="D66" s="267">
        <f t="shared" ref="D66:D72" si="13">+C66/$C$250</f>
        <v>7.4635915316825107E-5</v>
      </c>
      <c r="E66" s="269">
        <f>SUMIF('OBJETO '!$A$16:$A$249,A66,'OBJETO '!$E$16:$E$249)</f>
        <v>1337000</v>
      </c>
      <c r="F66" s="267">
        <f t="shared" ref="F66:F72" si="14">+E66/$E$250</f>
        <v>2.0811145450189584E-4</v>
      </c>
      <c r="G66" s="269">
        <f>SUMIF('OBJETO '!$A$16:$A$249,A66,'OBJETO '!$G$16:$G$249)</f>
        <v>0</v>
      </c>
      <c r="H66" s="267">
        <f t="shared" ref="H66:H72" si="15">+G66/$G$250</f>
        <v>0</v>
      </c>
      <c r="I66" s="269">
        <f>SUMIF('OBJETO '!$A$16:$A$249,A66,'OBJETO '!$I$16:$I$249)</f>
        <v>0</v>
      </c>
      <c r="J66" s="267">
        <f t="shared" ref="J66:J72" si="16">+I66/$I$250</f>
        <v>0</v>
      </c>
      <c r="K66" s="269">
        <f>SUMIF('OBJETO '!$A$16:$A$249,A66,'OBJETO '!$K$16:$K$249)</f>
        <v>0</v>
      </c>
      <c r="L66" s="268">
        <f t="shared" ref="L66:L72" si="17">+K66/$K$250</f>
        <v>0</v>
      </c>
    </row>
    <row r="67" spans="1:12">
      <c r="A67" s="74" t="s">
        <v>114</v>
      </c>
      <c r="B67" s="308" t="s">
        <v>520</v>
      </c>
      <c r="C67" s="269">
        <f t="shared" si="12"/>
        <v>40000000</v>
      </c>
      <c r="D67" s="267">
        <f t="shared" si="13"/>
        <v>2.2329368830762931E-3</v>
      </c>
      <c r="E67" s="269">
        <f>SUMIF('OBJETO '!$A$16:$A$249,A67,'OBJETO '!$E$16:$E$249)</f>
        <v>0</v>
      </c>
      <c r="F67" s="267">
        <f t="shared" si="14"/>
        <v>0</v>
      </c>
      <c r="G67" s="269">
        <f>SUMIF('OBJETO '!$A$16:$A$249,A67,'OBJETO '!$G$16:$G$249)</f>
        <v>0</v>
      </c>
      <c r="H67" s="267">
        <f t="shared" si="15"/>
        <v>0</v>
      </c>
      <c r="I67" s="269">
        <f>SUMIF('OBJETO '!$A$16:$A$249,A67,'OBJETO '!$I$16:$I$249)</f>
        <v>0</v>
      </c>
      <c r="J67" s="267">
        <f t="shared" si="16"/>
        <v>0</v>
      </c>
      <c r="K67" s="269">
        <f>SUMIF('OBJETO '!$A$16:$A$249,A67,'OBJETO '!$K$16:$K$249)</f>
        <v>40000000</v>
      </c>
      <c r="L67" s="268">
        <f t="shared" si="17"/>
        <v>6.1361363204044943E-2</v>
      </c>
    </row>
    <row r="68" spans="1:12">
      <c r="A68" s="74" t="s">
        <v>115</v>
      </c>
      <c r="B68" s="308" t="s">
        <v>521</v>
      </c>
      <c r="C68" s="269">
        <f t="shared" si="12"/>
        <v>12550000</v>
      </c>
      <c r="D68" s="267">
        <f t="shared" si="13"/>
        <v>7.0058394706518697E-4</v>
      </c>
      <c r="E68" s="269">
        <f>SUMIF('OBJETO '!$A$16:$A$249,A68,'OBJETO '!$E$16:$E$249)</f>
        <v>50000</v>
      </c>
      <c r="F68" s="267">
        <f t="shared" si="14"/>
        <v>7.7827769073259472E-6</v>
      </c>
      <c r="G68" s="269">
        <f>SUMIF('OBJETO '!$A$16:$A$249,A68,'OBJETO '!$G$16:$G$249)</f>
        <v>0</v>
      </c>
      <c r="H68" s="267">
        <f t="shared" si="15"/>
        <v>0</v>
      </c>
      <c r="I68" s="269">
        <f>SUMIF('OBJETO '!$A$16:$A$249,A68,'OBJETO '!$I$16:$I$249)</f>
        <v>9000000</v>
      </c>
      <c r="J68" s="267">
        <f t="shared" si="16"/>
        <v>8.76493790673226E-4</v>
      </c>
      <c r="K68" s="269">
        <f>SUMIF('OBJETO '!$A$16:$A$249,A68,'OBJETO '!$K$16:$K$249)</f>
        <v>3500000</v>
      </c>
      <c r="L68" s="268">
        <f t="shared" si="17"/>
        <v>5.3691192803539322E-3</v>
      </c>
    </row>
    <row r="69" spans="1:12">
      <c r="A69" s="74" t="s">
        <v>116</v>
      </c>
      <c r="B69" s="308" t="s">
        <v>522</v>
      </c>
      <c r="C69" s="269">
        <f t="shared" si="12"/>
        <v>650000</v>
      </c>
      <c r="D69" s="267">
        <f t="shared" si="13"/>
        <v>3.6285224349989767E-5</v>
      </c>
      <c r="E69" s="269">
        <f>SUMIF('OBJETO '!$A$16:$A$249,A69,'OBJETO '!$E$16:$E$249)</f>
        <v>250000</v>
      </c>
      <c r="F69" s="267">
        <f t="shared" si="14"/>
        <v>3.8913884536629738E-5</v>
      </c>
      <c r="G69" s="269">
        <f>SUMIF('OBJETO '!$A$16:$A$249,A69,'OBJETO '!$G$16:$G$249)</f>
        <v>0</v>
      </c>
      <c r="H69" s="267">
        <f t="shared" si="15"/>
        <v>0</v>
      </c>
      <c r="I69" s="269">
        <f>SUMIF('OBJETO '!$A$16:$A$249,A69,'OBJETO '!$I$16:$I$249)</f>
        <v>400000</v>
      </c>
      <c r="J69" s="267">
        <f t="shared" si="16"/>
        <v>3.8955279585476707E-5</v>
      </c>
      <c r="K69" s="269">
        <f>SUMIF('OBJETO '!$A$16:$A$249,A69,'OBJETO '!$K$16:$K$249)</f>
        <v>0</v>
      </c>
      <c r="L69" s="268">
        <f t="shared" si="17"/>
        <v>0</v>
      </c>
    </row>
    <row r="70" spans="1:12" hidden="1">
      <c r="A70" s="74" t="s">
        <v>117</v>
      </c>
      <c r="B70" s="308" t="s">
        <v>523</v>
      </c>
      <c r="C70" s="269">
        <f t="shared" si="12"/>
        <v>0</v>
      </c>
      <c r="D70" s="267">
        <f t="shared" si="13"/>
        <v>0</v>
      </c>
      <c r="E70" s="269">
        <f>SUMIF('OBJETO '!$A$16:$A$249,A70,'OBJETO '!$E$16:$E$249)</f>
        <v>0</v>
      </c>
      <c r="F70" s="267">
        <f t="shared" si="14"/>
        <v>0</v>
      </c>
      <c r="G70" s="269">
        <f>SUMIF('OBJETO '!$A$16:$A$249,A70,'OBJETO '!$G$16:$G$249)</f>
        <v>0</v>
      </c>
      <c r="H70" s="267">
        <f t="shared" si="15"/>
        <v>0</v>
      </c>
      <c r="I70" s="269">
        <f>SUMIF('OBJETO '!$A$16:$A$249,A70,'OBJETO '!$I$16:$I$249)</f>
        <v>0</v>
      </c>
      <c r="J70" s="267">
        <f t="shared" si="16"/>
        <v>0</v>
      </c>
      <c r="K70" s="269">
        <f>SUMIF('OBJETO '!$A$16:$A$249,A70,'OBJETO '!$K$16:$K$249)</f>
        <v>0</v>
      </c>
      <c r="L70" s="268">
        <f t="shared" si="17"/>
        <v>0</v>
      </c>
    </row>
    <row r="71" spans="1:12">
      <c r="A71" s="74" t="s">
        <v>118</v>
      </c>
      <c r="B71" s="308" t="s">
        <v>524</v>
      </c>
      <c r="C71" s="269">
        <f t="shared" si="12"/>
        <v>22300000</v>
      </c>
      <c r="D71" s="267">
        <f t="shared" si="13"/>
        <v>1.2448623123150334E-3</v>
      </c>
      <c r="E71" s="269">
        <f>SUMIF('OBJETO '!$A$16:$A$249,A71,'OBJETO '!$E$16:$E$249)</f>
        <v>22300000</v>
      </c>
      <c r="F71" s="267">
        <f t="shared" si="14"/>
        <v>3.4711185006673726E-3</v>
      </c>
      <c r="G71" s="269">
        <f>SUMIF('OBJETO '!$A$16:$A$249,A71,'OBJETO '!$G$16:$G$249)</f>
        <v>0</v>
      </c>
      <c r="H71" s="267">
        <f t="shared" si="15"/>
        <v>0</v>
      </c>
      <c r="I71" s="269">
        <f>SUMIF('OBJETO '!$A$16:$A$249,A71,'OBJETO '!$I$16:$I$249)</f>
        <v>0</v>
      </c>
      <c r="J71" s="267">
        <f t="shared" si="16"/>
        <v>0</v>
      </c>
      <c r="K71" s="269">
        <f>SUMIF('OBJETO '!$A$16:$A$249,A71,'OBJETO '!$K$16:$K$249)</f>
        <v>0</v>
      </c>
      <c r="L71" s="268">
        <f t="shared" si="17"/>
        <v>0</v>
      </c>
    </row>
    <row r="72" spans="1:12" outlineLevel="2">
      <c r="A72" s="74" t="s">
        <v>339</v>
      </c>
      <c r="B72" s="308" t="s">
        <v>525</v>
      </c>
      <c r="C72" s="269">
        <f t="shared" si="12"/>
        <v>78480908</v>
      </c>
      <c r="D72" s="267">
        <f t="shared" si="13"/>
        <v>4.3810728522629336E-3</v>
      </c>
      <c r="E72" s="269">
        <f>SUMIF('OBJETO '!$A$16:$A$249,A72,'OBJETO '!$E$16:$E$249)</f>
        <v>78180908</v>
      </c>
      <c r="F72" s="267">
        <f t="shared" si="14"/>
        <v>1.2169291307523488E-2</v>
      </c>
      <c r="G72" s="269">
        <f>SUMIF('OBJETO '!$A$16:$A$249,A72,'OBJETO '!$G$16:$G$249)</f>
        <v>0</v>
      </c>
      <c r="H72" s="267">
        <f t="shared" si="15"/>
        <v>0</v>
      </c>
      <c r="I72" s="269">
        <f>SUMIF('OBJETO '!$A$16:$A$249,A72,'OBJETO '!$I$16:$I$249)</f>
        <v>0</v>
      </c>
      <c r="J72" s="267">
        <f t="shared" si="16"/>
        <v>0</v>
      </c>
      <c r="K72" s="269">
        <f>SUMIF('OBJETO '!$A$16:$A$249,A72,'OBJETO '!$K$16:$K$249)</f>
        <v>300000</v>
      </c>
      <c r="L72" s="268">
        <f t="shared" si="17"/>
        <v>4.6021022403033705E-4</v>
      </c>
    </row>
    <row r="73" spans="1:12" ht="7.95" customHeight="1" thickBot="1">
      <c r="B73" s="962"/>
      <c r="C73" s="963"/>
      <c r="D73" s="732"/>
      <c r="E73" s="963"/>
      <c r="F73" s="732"/>
      <c r="G73" s="963"/>
      <c r="H73" s="732"/>
      <c r="I73" s="963"/>
      <c r="J73" s="732"/>
      <c r="K73" s="963"/>
      <c r="L73" s="1007"/>
    </row>
    <row r="74" spans="1:12">
      <c r="B74" s="687" t="s">
        <v>120</v>
      </c>
      <c r="C74" s="278">
        <f>SUM(C76:C82)</f>
        <v>872980000</v>
      </c>
      <c r="D74" s="722">
        <f>SUM(C74/$C$46)</f>
        <v>0.29061518677133541</v>
      </c>
      <c r="E74" s="278">
        <f>SUM(E76:E82)</f>
        <v>421002000</v>
      </c>
      <c r="F74" s="349">
        <f>+E74/C74</f>
        <v>0.48225847098444408</v>
      </c>
      <c r="G74" s="278">
        <f>SUM(G76:G82)</f>
        <v>53332000</v>
      </c>
      <c r="H74" s="349">
        <f>+G74/C74</f>
        <v>6.1091892139567915E-2</v>
      </c>
      <c r="I74" s="278">
        <f>SUM(I76:I82)</f>
        <v>270150000</v>
      </c>
      <c r="J74" s="349">
        <f>+I74/C74</f>
        <v>0.3094572613347385</v>
      </c>
      <c r="K74" s="278">
        <f>SUM(K76:K82)</f>
        <v>128496000</v>
      </c>
      <c r="L74" s="350">
        <f>+K74/C74</f>
        <v>0.1471923755412495</v>
      </c>
    </row>
    <row r="75" spans="1:12" ht="7.95" customHeight="1">
      <c r="B75" s="308"/>
      <c r="C75" s="269"/>
      <c r="D75" s="262"/>
      <c r="E75" s="311"/>
      <c r="F75" s="262"/>
      <c r="G75" s="311"/>
      <c r="H75" s="262"/>
      <c r="I75" s="311"/>
      <c r="J75" s="262"/>
      <c r="K75" s="311"/>
      <c r="L75" s="712"/>
    </row>
    <row r="76" spans="1:12" hidden="1">
      <c r="A76" s="74" t="s">
        <v>479</v>
      </c>
      <c r="B76" s="964" t="s">
        <v>480</v>
      </c>
      <c r="C76" s="269">
        <f t="shared" ref="C76:C82" si="18">+E76+G76+I76+K76</f>
        <v>0</v>
      </c>
      <c r="D76" s="267">
        <f t="shared" ref="D76:D82" si="19">+C76/$C$250</f>
        <v>0</v>
      </c>
      <c r="E76" s="269">
        <f>SUMIF('OBJETO '!$A$16:$A$249,A76,'OBJETO '!$E$16:$E$249)</f>
        <v>0</v>
      </c>
      <c r="F76" s="267">
        <f t="shared" ref="F76:F82" si="20">+E76/$E$250</f>
        <v>0</v>
      </c>
      <c r="G76" s="269">
        <f>SUMIF('OBJETO '!$A$16:$A$249,A76,'OBJETO '!$G$16:$G$249)</f>
        <v>0</v>
      </c>
      <c r="H76" s="267">
        <f t="shared" ref="H76:H82" si="21">+G76/$G$250</f>
        <v>0</v>
      </c>
      <c r="I76" s="269">
        <f>SUMIF('OBJETO '!$A$16:$A$249,A76,'OBJETO '!$I$16:$I$249)</f>
        <v>0</v>
      </c>
      <c r="J76" s="267">
        <f t="shared" ref="J76:J82" si="22">+I76/$I$250</f>
        <v>0</v>
      </c>
      <c r="K76" s="269">
        <f>SUMIF('OBJETO '!$A$16:$A$249,A76,'OBJETO '!$K$16:$K$249)</f>
        <v>0</v>
      </c>
      <c r="L76" s="268">
        <f t="shared" ref="L76:L82" si="23">+K76/$K$250</f>
        <v>0</v>
      </c>
    </row>
    <row r="77" spans="1:12">
      <c r="A77" s="74" t="s">
        <v>341</v>
      </c>
      <c r="B77" s="964" t="s">
        <v>526</v>
      </c>
      <c r="C77" s="269">
        <f t="shared" si="18"/>
        <v>5500000</v>
      </c>
      <c r="D77" s="267">
        <f t="shared" si="19"/>
        <v>3.0702882142299032E-4</v>
      </c>
      <c r="E77" s="269">
        <f>SUMIF('OBJETO '!$A$16:$A$249,A77,'OBJETO '!$E$16:$E$249)</f>
        <v>5500000</v>
      </c>
      <c r="F77" s="267">
        <f t="shared" si="20"/>
        <v>8.5610545980585422E-4</v>
      </c>
      <c r="G77" s="269">
        <f>SUMIF('OBJETO '!$A$16:$A$249,A77,'OBJETO '!$G$16:$G$249)</f>
        <v>0</v>
      </c>
      <c r="H77" s="267">
        <f t="shared" si="21"/>
        <v>0</v>
      </c>
      <c r="I77" s="269">
        <f>SUMIF('OBJETO '!$A$16:$A$249,A77,'OBJETO '!$I$16:$I$249)</f>
        <v>0</v>
      </c>
      <c r="J77" s="267">
        <f t="shared" si="22"/>
        <v>0</v>
      </c>
      <c r="K77" s="269">
        <f>SUMIF('OBJETO '!$A$16:$A$249,A77,'OBJETO '!$K$16:$K$249)</f>
        <v>0</v>
      </c>
      <c r="L77" s="268">
        <f t="shared" si="23"/>
        <v>0</v>
      </c>
    </row>
    <row r="78" spans="1:12" hidden="1">
      <c r="A78" s="74" t="s">
        <v>293</v>
      </c>
      <c r="B78" s="964" t="s">
        <v>343</v>
      </c>
      <c r="C78" s="269">
        <f t="shared" si="18"/>
        <v>0</v>
      </c>
      <c r="D78" s="267">
        <f t="shared" si="19"/>
        <v>0</v>
      </c>
      <c r="E78" s="269">
        <f>SUMIF('OBJETO '!$A$16:$A$249,A78,'OBJETO '!$E$16:$E$249)</f>
        <v>0</v>
      </c>
      <c r="F78" s="267">
        <f t="shared" si="20"/>
        <v>0</v>
      </c>
      <c r="G78" s="269">
        <f>SUMIF('OBJETO '!$A$16:$A$249,A78,'OBJETO '!$G$16:$G$249)</f>
        <v>0</v>
      </c>
      <c r="H78" s="267">
        <f t="shared" si="21"/>
        <v>0</v>
      </c>
      <c r="I78" s="269">
        <f>SUMIF('OBJETO '!$A$16:$A$249,A78,'OBJETO '!$I$16:$I$249)</f>
        <v>0</v>
      </c>
      <c r="J78" s="267">
        <f t="shared" si="22"/>
        <v>0</v>
      </c>
      <c r="K78" s="269">
        <f>SUMIF('OBJETO '!$A$16:$A$249,A78,'OBJETO '!$K$16:$K$249)</f>
        <v>0</v>
      </c>
      <c r="L78" s="268">
        <f t="shared" si="23"/>
        <v>0</v>
      </c>
    </row>
    <row r="79" spans="1:12">
      <c r="A79" s="74" t="s">
        <v>121</v>
      </c>
      <c r="B79" s="964" t="s">
        <v>527</v>
      </c>
      <c r="C79" s="269">
        <f t="shared" si="18"/>
        <v>45500000</v>
      </c>
      <c r="D79" s="267">
        <f t="shared" si="19"/>
        <v>2.5399657044992835E-3</v>
      </c>
      <c r="E79" s="269">
        <f>SUMIF('OBJETO '!$A$16:$A$249,A79,'OBJETO '!$E$16:$E$249)</f>
        <v>45500000</v>
      </c>
      <c r="F79" s="267">
        <f t="shared" si="20"/>
        <v>7.0823269856666116E-3</v>
      </c>
      <c r="G79" s="269">
        <f>SUMIF('OBJETO '!$A$16:$A$249,A79,'OBJETO '!$G$16:$G$249)</f>
        <v>0</v>
      </c>
      <c r="H79" s="267">
        <f t="shared" si="21"/>
        <v>0</v>
      </c>
      <c r="I79" s="269">
        <f>SUMIF('OBJETO '!$A$16:$A$249,A79,'OBJETO '!$I$16:$I$249)</f>
        <v>0</v>
      </c>
      <c r="J79" s="267">
        <f t="shared" si="22"/>
        <v>0</v>
      </c>
      <c r="K79" s="269">
        <f>SUMIF('OBJETO '!$A$16:$A$249,A79,'OBJETO '!$K$16:$K$249)</f>
        <v>0</v>
      </c>
      <c r="L79" s="268">
        <f t="shared" si="23"/>
        <v>0</v>
      </c>
    </row>
    <row r="80" spans="1:12">
      <c r="A80" s="74" t="s">
        <v>123</v>
      </c>
      <c r="B80" s="308" t="s">
        <v>962</v>
      </c>
      <c r="C80" s="269">
        <f t="shared" si="18"/>
        <v>78000000</v>
      </c>
      <c r="D80" s="267">
        <f t="shared" si="19"/>
        <v>4.3542269219987717E-3</v>
      </c>
      <c r="E80" s="269">
        <f>SUMIF('OBJETO '!$A$16:$A$249,A80,'OBJETO '!$E$16:$E$249)</f>
        <v>7000000</v>
      </c>
      <c r="F80" s="267">
        <f t="shared" si="20"/>
        <v>1.0895887670256325E-3</v>
      </c>
      <c r="G80" s="269">
        <f>SUMIF('OBJETO '!$A$16:$A$249,A80,'OBJETO '!$G$16:$G$249)</f>
        <v>0</v>
      </c>
      <c r="H80" s="267">
        <f t="shared" si="21"/>
        <v>0</v>
      </c>
      <c r="I80" s="269">
        <f>SUMIF('OBJETO '!$A$16:$A$249,A80,'OBJETO '!$I$16:$I$249)</f>
        <v>71000000</v>
      </c>
      <c r="J80" s="267">
        <f t="shared" si="22"/>
        <v>6.9145621264221158E-3</v>
      </c>
      <c r="K80" s="269">
        <f>SUMIF('OBJETO '!$A$16:$A$249,A80,'OBJETO '!$K$16:$K$249)</f>
        <v>0</v>
      </c>
      <c r="L80" s="268">
        <f t="shared" si="23"/>
        <v>0</v>
      </c>
    </row>
    <row r="81" spans="1:12">
      <c r="A81" s="74" t="s">
        <v>125</v>
      </c>
      <c r="B81" s="308" t="s">
        <v>529</v>
      </c>
      <c r="C81" s="269">
        <f t="shared" si="18"/>
        <v>97930000</v>
      </c>
      <c r="D81" s="267">
        <f t="shared" si="19"/>
        <v>5.466787723991535E-3</v>
      </c>
      <c r="E81" s="269">
        <f>SUMIF('OBJETO '!$A$16:$A$249,A81,'OBJETO '!$E$16:$E$249)</f>
        <v>35252000</v>
      </c>
      <c r="F81" s="267">
        <f t="shared" si="20"/>
        <v>5.487169030741086E-3</v>
      </c>
      <c r="G81" s="269">
        <f>SUMIF('OBJETO '!$A$16:$A$249,A81,'OBJETO '!$G$16:$G$249)</f>
        <v>2532000</v>
      </c>
      <c r="H81" s="267">
        <f t="shared" si="21"/>
        <v>4.4489347682846476E-3</v>
      </c>
      <c r="I81" s="269">
        <f>SUMIF('OBJETO '!$A$16:$A$249,A81,'OBJETO '!$I$16:$I$249)</f>
        <v>48150000</v>
      </c>
      <c r="J81" s="267">
        <f t="shared" si="22"/>
        <v>4.6892417801017586E-3</v>
      </c>
      <c r="K81" s="269">
        <f>SUMIF('OBJETO '!$A$16:$A$249,A81,'OBJETO '!$K$16:$K$249)</f>
        <v>11996000</v>
      </c>
      <c r="L81" s="268">
        <f t="shared" si="23"/>
        <v>1.8402272824893078E-2</v>
      </c>
    </row>
    <row r="82" spans="1:12">
      <c r="A82" s="74" t="s">
        <v>127</v>
      </c>
      <c r="B82" s="308" t="s">
        <v>530</v>
      </c>
      <c r="C82" s="269">
        <f t="shared" si="18"/>
        <v>646050000</v>
      </c>
      <c r="D82" s="267">
        <f t="shared" si="19"/>
        <v>3.606472183278598E-2</v>
      </c>
      <c r="E82" s="269">
        <f>SUMIF('OBJETO '!$A$16:$A$249,A82,'OBJETO '!$E$16:$E$249)</f>
        <v>327750000</v>
      </c>
      <c r="F82" s="267">
        <f t="shared" si="20"/>
        <v>5.1016102627521584E-2</v>
      </c>
      <c r="G82" s="269">
        <f>SUMIF('OBJETO '!$A$16:$A$249,A82,'OBJETO '!$G$16:$G$249)</f>
        <v>50800000</v>
      </c>
      <c r="H82" s="267">
        <f t="shared" si="21"/>
        <v>8.9259828684383924E-2</v>
      </c>
      <c r="I82" s="269">
        <f>SUMIF('OBJETO '!$A$16:$A$249,A82,'OBJETO '!$I$16:$I$249)</f>
        <v>151000000</v>
      </c>
      <c r="J82" s="267">
        <f t="shared" si="22"/>
        <v>1.4705618043517459E-2</v>
      </c>
      <c r="K82" s="269">
        <f>SUMIF('OBJETO '!$A$16:$A$249,A82,'OBJETO '!$K$16:$K$249)</f>
        <v>116500000</v>
      </c>
      <c r="L82" s="268">
        <f t="shared" si="23"/>
        <v>0.17871497033178088</v>
      </c>
    </row>
    <row r="83" spans="1:12" ht="7.95" customHeight="1">
      <c r="B83" s="308"/>
      <c r="C83" s="269"/>
      <c r="D83" s="262"/>
      <c r="E83" s="269"/>
      <c r="F83" s="262"/>
      <c r="G83" s="269"/>
      <c r="H83" s="262"/>
      <c r="I83" s="269"/>
      <c r="J83" s="262"/>
      <c r="K83" s="269"/>
      <c r="L83" s="712"/>
    </row>
    <row r="84" spans="1:12">
      <c r="B84" s="306" t="s">
        <v>130</v>
      </c>
      <c r="C84" s="307">
        <f>SUM(C86:C89)</f>
        <v>800223816</v>
      </c>
      <c r="D84" s="349">
        <f>SUM(C84/$C$46)</f>
        <v>0.26639464105215555</v>
      </c>
      <c r="E84" s="307">
        <f>SUM(E86:E89)</f>
        <v>26080000</v>
      </c>
      <c r="F84" s="349">
        <f>+E84/C84</f>
        <v>3.2590882048929168E-2</v>
      </c>
      <c r="G84" s="307">
        <f>SUM(G86:G89)</f>
        <v>1000000</v>
      </c>
      <c r="H84" s="349">
        <f>+G84/C84</f>
        <v>1.2496503853117013E-3</v>
      </c>
      <c r="I84" s="307">
        <f>SUM(I86:I89)</f>
        <v>772643816</v>
      </c>
      <c r="J84" s="349">
        <f>+I84/C84</f>
        <v>0.96553464237310327</v>
      </c>
      <c r="K84" s="307">
        <f>SUM(K86:K89)</f>
        <v>500000</v>
      </c>
      <c r="L84" s="350">
        <f>+K84/C84</f>
        <v>6.2482519265585066E-4</v>
      </c>
    </row>
    <row r="85" spans="1:12" ht="7.95" customHeight="1">
      <c r="B85" s="308"/>
      <c r="C85" s="269"/>
      <c r="D85" s="262"/>
      <c r="E85" s="269"/>
      <c r="F85" s="262"/>
      <c r="G85" s="269"/>
      <c r="H85" s="262"/>
      <c r="I85" s="269"/>
      <c r="J85" s="262"/>
      <c r="K85" s="269"/>
      <c r="L85" s="712"/>
    </row>
    <row r="86" spans="1:12">
      <c r="A86" s="74" t="s">
        <v>131</v>
      </c>
      <c r="B86" s="308" t="s">
        <v>531</v>
      </c>
      <c r="C86" s="269">
        <f>+E86+G86+I86+K86</f>
        <v>6535000</v>
      </c>
      <c r="D86" s="267">
        <f>+C86/$C$250</f>
        <v>3.6480606327258944E-4</v>
      </c>
      <c r="E86" s="269">
        <f>SUMIF('OBJETO '!$A$16:$A$249,A86,'OBJETO '!$E$16:$E$249)</f>
        <v>880000</v>
      </c>
      <c r="F86" s="267">
        <f>+E86/$E$250</f>
        <v>1.3697687356893667E-4</v>
      </c>
      <c r="G86" s="269">
        <f>SUMIF('OBJETO '!$A$16:$A$249,A86,'OBJETO '!$G$16:$G$249)</f>
        <v>0</v>
      </c>
      <c r="H86" s="267">
        <f>+G86/$G$250</f>
        <v>0</v>
      </c>
      <c r="I86" s="269">
        <f>SUMIF('OBJETO '!$A$16:$A$249,A86,'OBJETO '!$I$16:$I$249)</f>
        <v>5655000</v>
      </c>
      <c r="J86" s="267">
        <f>+I86/$I$250</f>
        <v>5.5073026513967696E-4</v>
      </c>
      <c r="K86" s="269">
        <f>SUMIF('OBJETO '!$A$16:$A$249,A86,'OBJETO '!$K$16:$K$249)</f>
        <v>0</v>
      </c>
      <c r="L86" s="268">
        <f>+K86/$K$250</f>
        <v>0</v>
      </c>
    </row>
    <row r="87" spans="1:12">
      <c r="A87" s="74" t="s">
        <v>133</v>
      </c>
      <c r="B87" s="308" t="s">
        <v>532</v>
      </c>
      <c r="C87" s="269">
        <f>+E87+G87+I87+K87</f>
        <v>759088816</v>
      </c>
      <c r="D87" s="267">
        <f>+C87/$C$250</f>
        <v>4.2374935369427845E-2</v>
      </c>
      <c r="E87" s="269">
        <f>SUMIF('OBJETO '!$A$16:$A$249,A87,'OBJETO '!$E$16:$E$249)</f>
        <v>4700000</v>
      </c>
      <c r="F87" s="267">
        <f>+E87/$E$250</f>
        <v>7.3158102928863903E-4</v>
      </c>
      <c r="G87" s="269">
        <f>SUMIF('OBJETO '!$A$16:$A$249,A87,'OBJETO '!$G$16:$G$249)</f>
        <v>0</v>
      </c>
      <c r="H87" s="267">
        <f>+G87/$G$250</f>
        <v>0</v>
      </c>
      <c r="I87" s="269">
        <f>SUMIF('OBJETO '!$A$16:$A$249,A87,'OBJETO '!$I$16:$I$249)</f>
        <v>753888816</v>
      </c>
      <c r="J87" s="267">
        <f>+I87/$I$250</f>
        <v>7.3419874009110014E-2</v>
      </c>
      <c r="K87" s="269">
        <f>SUMIF('OBJETO '!$A$16:$A$249,A87,'OBJETO '!$K$16:$K$249)</f>
        <v>500000</v>
      </c>
      <c r="L87" s="268">
        <f>+K87/$K$250</f>
        <v>7.6701704005056176E-4</v>
      </c>
    </row>
    <row r="88" spans="1:12">
      <c r="A88" s="74" t="s">
        <v>134</v>
      </c>
      <c r="B88" s="308" t="s">
        <v>533</v>
      </c>
      <c r="C88" s="269">
        <f>+E88+G88+I88+K88</f>
        <v>16000000</v>
      </c>
      <c r="D88" s="267">
        <f>+C88/$C$250</f>
        <v>8.9317475323051729E-4</v>
      </c>
      <c r="E88" s="269">
        <f>SUMIF('OBJETO '!$A$16:$A$249,A88,'OBJETO '!$E$16:$E$249)</f>
        <v>10500000</v>
      </c>
      <c r="F88" s="267">
        <f>+E88/$E$250</f>
        <v>1.634383150538449E-3</v>
      </c>
      <c r="G88" s="269">
        <f>SUMIF('OBJETO '!$A$16:$A$249,A88,'OBJETO '!$G$16:$G$249)</f>
        <v>500000</v>
      </c>
      <c r="H88" s="267">
        <f>+G88/$G$250</f>
        <v>8.7854162090929061E-4</v>
      </c>
      <c r="I88" s="269">
        <f>SUMIF('OBJETO '!$A$16:$A$249,A88,'OBJETO '!$I$16:$I$249)</f>
        <v>5000000</v>
      </c>
      <c r="J88" s="267">
        <f>+I88/$I$250</f>
        <v>4.8694099481845889E-4</v>
      </c>
      <c r="K88" s="269">
        <f>SUMIF('OBJETO '!$A$16:$A$249,A88,'OBJETO '!$K$16:$K$249)</f>
        <v>0</v>
      </c>
      <c r="L88" s="268">
        <f>+K88/$K$250</f>
        <v>0</v>
      </c>
    </row>
    <row r="89" spans="1:12">
      <c r="A89" s="74" t="s">
        <v>136</v>
      </c>
      <c r="B89" s="308" t="s">
        <v>534</v>
      </c>
      <c r="C89" s="269">
        <f>+E89+G89+I89+K89</f>
        <v>18600000</v>
      </c>
      <c r="D89" s="267">
        <f>+C89/$C$250</f>
        <v>1.0383156506304763E-3</v>
      </c>
      <c r="E89" s="269">
        <f>SUMIF('OBJETO '!$A$16:$A$249,A89,'OBJETO '!$E$16:$E$249)</f>
        <v>10000000</v>
      </c>
      <c r="F89" s="267">
        <f>+E89/$E$250</f>
        <v>1.5565553814651893E-3</v>
      </c>
      <c r="G89" s="269">
        <f>SUMIF('OBJETO '!$A$16:$A$249,A89,'OBJETO '!$G$16:$G$249)</f>
        <v>500000</v>
      </c>
      <c r="H89" s="267">
        <f>+G89/$G$250</f>
        <v>8.7854162090929061E-4</v>
      </c>
      <c r="I89" s="269">
        <f>SUMIF('OBJETO '!$A$16:$A$249,A89,'OBJETO '!$I$16:$I$249)</f>
        <v>8100000</v>
      </c>
      <c r="J89" s="267">
        <f>+I89/$I$250</f>
        <v>7.8884441160590336E-4</v>
      </c>
      <c r="K89" s="269">
        <f>SUMIF('OBJETO '!$A$16:$A$249,A89,'OBJETO '!$K$16:$K$249)</f>
        <v>0</v>
      </c>
      <c r="L89" s="268">
        <f>+K89/$K$250</f>
        <v>0</v>
      </c>
    </row>
    <row r="90" spans="1:12" ht="7.95" customHeight="1">
      <c r="B90" s="308"/>
      <c r="C90" s="269"/>
      <c r="D90" s="262"/>
      <c r="E90" s="269"/>
      <c r="F90" s="262"/>
      <c r="G90" s="269"/>
      <c r="H90" s="262"/>
      <c r="I90" s="269"/>
      <c r="J90" s="262"/>
      <c r="K90" s="269"/>
      <c r="L90" s="712"/>
    </row>
    <row r="91" spans="1:12">
      <c r="B91" s="306" t="s">
        <v>242</v>
      </c>
      <c r="C91" s="307">
        <f>SUM(C93:C95)</f>
        <v>154121476.19</v>
      </c>
      <c r="D91" s="349">
        <f>SUM(C91/$C$46)</f>
        <v>5.1307064982509074E-2</v>
      </c>
      <c r="E91" s="307">
        <f>SUM(E93:E95)</f>
        <v>21766476.190000001</v>
      </c>
      <c r="F91" s="349">
        <f>+E91/C91</f>
        <v>0.14122935185986946</v>
      </c>
      <c r="G91" s="307">
        <f>SUM(G93:G95)</f>
        <v>3438000</v>
      </c>
      <c r="H91" s="349">
        <f>+G91/C91</f>
        <v>2.230707935707581E-2</v>
      </c>
      <c r="I91" s="307">
        <f>SUM(I93:I95)</f>
        <v>126007000</v>
      </c>
      <c r="J91" s="349">
        <f>+I91/C91</f>
        <v>0.81758235850699579</v>
      </c>
      <c r="K91" s="307">
        <f>SUM(K93:K95)</f>
        <v>2910000</v>
      </c>
      <c r="L91" s="350">
        <f>+K91/C91</f>
        <v>1.8881210276058932E-2</v>
      </c>
    </row>
    <row r="92" spans="1:12" ht="7.95" customHeight="1">
      <c r="B92" s="308"/>
      <c r="C92" s="269"/>
      <c r="D92" s="262"/>
      <c r="E92" s="269"/>
      <c r="F92" s="262"/>
      <c r="G92" s="269"/>
      <c r="H92" s="262"/>
      <c r="I92" s="269"/>
      <c r="J92" s="262"/>
      <c r="K92" s="269"/>
      <c r="L92" s="712"/>
    </row>
    <row r="93" spans="1:12">
      <c r="A93" s="74" t="s">
        <v>138</v>
      </c>
      <c r="B93" s="965" t="s">
        <v>139</v>
      </c>
      <c r="C93" s="269">
        <f>+E93+G93+I93+K93</f>
        <v>154121476.19</v>
      </c>
      <c r="D93" s="267">
        <f>+C93/$C$250</f>
        <v>8.6035882164703942E-3</v>
      </c>
      <c r="E93" s="269">
        <f>SUMIF('OBJETO '!$A$16:$A$249,A93,'OBJETO '!$E$16:$E$249)</f>
        <v>21766476.190000001</v>
      </c>
      <c r="F93" s="267">
        <f>+E93/$E$250</f>
        <v>3.3880725649078416E-3</v>
      </c>
      <c r="G93" s="269">
        <f>SUMIF('OBJETO '!$A$16:$A$249,A93,'OBJETO '!$G$16:$G$249)</f>
        <v>3438000</v>
      </c>
      <c r="H93" s="267">
        <f>+G93/$G$250</f>
        <v>6.040852185372282E-3</v>
      </c>
      <c r="I93" s="269">
        <f>SUMIF('OBJETO '!$A$16:$A$249,A93,'OBJETO '!$I$16:$I$249)</f>
        <v>126007000</v>
      </c>
      <c r="J93" s="267">
        <f>+I93/$I$250</f>
        <v>1.227159478681791E-2</v>
      </c>
      <c r="K93" s="269">
        <f>SUMIF('OBJETO '!$A$16:$A$249,A93,'OBJETO '!$K$16:$K$249)</f>
        <v>2910000</v>
      </c>
      <c r="L93" s="268">
        <f>+K93/$K$250</f>
        <v>4.4640391730942693E-3</v>
      </c>
    </row>
    <row r="94" spans="1:12" hidden="1">
      <c r="A94" s="74" t="s">
        <v>535</v>
      </c>
      <c r="B94" s="965" t="s">
        <v>536</v>
      </c>
      <c r="C94" s="269">
        <f>+E94+G94+I94+K94</f>
        <v>0</v>
      </c>
      <c r="D94" s="267">
        <f>+C94/$C$250</f>
        <v>0</v>
      </c>
      <c r="E94" s="269">
        <f>SUMIF('OBJETO '!$A$16:$A$249,A94,'OBJETO '!$E$16:$E$249)</f>
        <v>0</v>
      </c>
      <c r="F94" s="267">
        <f>+E94/$E$250</f>
        <v>0</v>
      </c>
      <c r="G94" s="269">
        <f>SUMIF('OBJETO '!$A$16:$A$249,A94,'OBJETO '!$G$16:$G$249)</f>
        <v>0</v>
      </c>
      <c r="H94" s="267">
        <f>+G94/$G$250</f>
        <v>0</v>
      </c>
      <c r="I94" s="269">
        <f>SUMIF('OBJETO '!$A$16:$A$249,A94,'OBJETO '!$I$16:$I$249)</f>
        <v>0</v>
      </c>
      <c r="J94" s="267">
        <f>+I94/$I$250</f>
        <v>0</v>
      </c>
      <c r="K94" s="269">
        <f>SUMIF('OBJETO '!$A$16:$A$249,A94,'OBJETO '!$K$16:$K$249)</f>
        <v>0</v>
      </c>
      <c r="L94" s="268">
        <f>+K94/$K$250</f>
        <v>0</v>
      </c>
    </row>
    <row r="95" spans="1:12" hidden="1">
      <c r="A95" s="74" t="s">
        <v>537</v>
      </c>
      <c r="B95" s="965" t="s">
        <v>538</v>
      </c>
      <c r="C95" s="269">
        <f>+E95+G95+I95+K95</f>
        <v>0</v>
      </c>
      <c r="D95" s="267">
        <f>+C95/$C$250</f>
        <v>0</v>
      </c>
      <c r="E95" s="269">
        <f>SUMIF('OBJETO '!$A$16:$A$249,A95,'OBJETO '!$E$16:$E$249)</f>
        <v>0</v>
      </c>
      <c r="F95" s="267">
        <f>+E95/$E$250</f>
        <v>0</v>
      </c>
      <c r="G95" s="269">
        <f>SUMIF('OBJETO '!$A$16:$A$249,A95,'OBJETO '!$G$16:$G$249)</f>
        <v>0</v>
      </c>
      <c r="H95" s="267">
        <f>+G95/$G$250</f>
        <v>0</v>
      </c>
      <c r="I95" s="269">
        <f>SUMIF('OBJETO '!$A$16:$A$249,A95,'OBJETO '!$I$16:$I$249)</f>
        <v>0</v>
      </c>
      <c r="J95" s="267">
        <f>+I95/$I$250</f>
        <v>0</v>
      </c>
      <c r="K95" s="269">
        <f>SUMIF('OBJETO '!$A$16:$A$249,A95,'OBJETO '!$K$16:$K$249)</f>
        <v>0</v>
      </c>
      <c r="L95" s="268">
        <f>+K95/$K$250</f>
        <v>0</v>
      </c>
    </row>
    <row r="96" spans="1:12" ht="7.95" customHeight="1">
      <c r="B96" s="965"/>
      <c r="C96" s="311"/>
      <c r="D96" s="262"/>
      <c r="E96" s="311"/>
      <c r="F96" s="262"/>
      <c r="G96" s="311"/>
      <c r="H96" s="262"/>
      <c r="I96" s="311"/>
      <c r="J96" s="262"/>
      <c r="K96" s="311"/>
      <c r="L96" s="712"/>
    </row>
    <row r="97" spans="1:12">
      <c r="B97" s="966" t="s">
        <v>141</v>
      </c>
      <c r="C97" s="967">
        <f>SUM(C99:C101)</f>
        <v>218725000</v>
      </c>
      <c r="D97" s="349">
        <f>SUM(C97/$C$46)</f>
        <v>7.2813588772435031E-2</v>
      </c>
      <c r="E97" s="967">
        <f>SUM(E99:E101)</f>
        <v>108150000</v>
      </c>
      <c r="F97" s="349">
        <f>+E97/C97</f>
        <v>0.49445650931535035</v>
      </c>
      <c r="G97" s="967">
        <f>SUM(G99:G101)</f>
        <v>600000</v>
      </c>
      <c r="H97" s="349">
        <f>+G97/C97</f>
        <v>2.7431706480740654E-3</v>
      </c>
      <c r="I97" s="967">
        <f>SUM(I99:I101)</f>
        <v>104375000</v>
      </c>
      <c r="J97" s="349">
        <f>+I97/C97</f>
        <v>0.47719739398788436</v>
      </c>
      <c r="K97" s="967">
        <f>SUM(K99:K101)</f>
        <v>5600000</v>
      </c>
      <c r="L97" s="350">
        <f>+K97/C97</f>
        <v>2.5602926048691278E-2</v>
      </c>
    </row>
    <row r="98" spans="1:12" ht="7.95" customHeight="1">
      <c r="B98" s="965"/>
      <c r="C98" s="311"/>
      <c r="D98" s="262"/>
      <c r="E98" s="311"/>
      <c r="F98" s="262"/>
      <c r="G98" s="311"/>
      <c r="H98" s="262"/>
      <c r="I98" s="311"/>
      <c r="J98" s="262"/>
      <c r="K98" s="311"/>
      <c r="L98" s="712"/>
    </row>
    <row r="99" spans="1:12">
      <c r="A99" s="74" t="s">
        <v>142</v>
      </c>
      <c r="B99" s="965" t="s">
        <v>539</v>
      </c>
      <c r="C99" s="269">
        <f>+E99+G99+I99+K99</f>
        <v>217575000</v>
      </c>
      <c r="D99" s="267">
        <f>+C99/$C$250</f>
        <v>1.2145781058383112E-2</v>
      </c>
      <c r="E99" s="269">
        <f>SUMIF('OBJETO '!$A$16:$A$249,A99,'OBJETO '!$E$16:$E$249)</f>
        <v>107000000</v>
      </c>
      <c r="F99" s="267">
        <f>+E99/$E$250</f>
        <v>1.6655142581677527E-2</v>
      </c>
      <c r="G99" s="269">
        <f>SUMIF('OBJETO '!$A$16:$A$249,A99,'OBJETO '!$G$16:$G$249)</f>
        <v>600000</v>
      </c>
      <c r="H99" s="267">
        <f>+G99/$G$250</f>
        <v>1.0542499450911487E-3</v>
      </c>
      <c r="I99" s="269">
        <f>SUMIF('OBJETO '!$A$16:$A$249,A99,'OBJETO '!$I$16:$I$249)</f>
        <v>104375000</v>
      </c>
      <c r="J99" s="267">
        <f>+I99/$I$250</f>
        <v>1.0164893266835329E-2</v>
      </c>
      <c r="K99" s="269">
        <f>SUMIF('OBJETO '!$A$16:$A$249,A99,'OBJETO '!$K$16:$K$249)</f>
        <v>5600000</v>
      </c>
      <c r="L99" s="268">
        <f>+K99/$K$250</f>
        <v>8.5905908485662923E-3</v>
      </c>
    </row>
    <row r="100" spans="1:12">
      <c r="A100" s="74" t="s">
        <v>144</v>
      </c>
      <c r="B100" s="965" t="s">
        <v>540</v>
      </c>
      <c r="C100" s="269">
        <f>+E100+G100+I100+K100</f>
        <v>1000000</v>
      </c>
      <c r="D100" s="267">
        <f>+C100/$C$250</f>
        <v>5.5823422076907331E-5</v>
      </c>
      <c r="E100" s="269">
        <f>SUMIF('OBJETO '!$A$16:$A$249,A100,'OBJETO '!$E$16:$E$249)</f>
        <v>1000000</v>
      </c>
      <c r="F100" s="267">
        <f>+E100/$E$250</f>
        <v>1.5565553814651895E-4</v>
      </c>
      <c r="G100" s="269">
        <f>SUMIF('OBJETO '!$A$16:$A$249,A100,'OBJETO '!$G$16:$G$249)</f>
        <v>0</v>
      </c>
      <c r="H100" s="267">
        <f>+G100/$G$250</f>
        <v>0</v>
      </c>
      <c r="I100" s="269">
        <f>SUMIF('OBJETO '!$A$16:$A$249,A100,'OBJETO '!$I$16:$I$249)</f>
        <v>0</v>
      </c>
      <c r="J100" s="267">
        <f>+I100/$I$250</f>
        <v>0</v>
      </c>
      <c r="K100" s="269">
        <f>SUMIF('OBJETO '!$A$16:$A$249,A100,'OBJETO '!$K$16:$K$249)</f>
        <v>0</v>
      </c>
      <c r="L100" s="268">
        <f>+K100/$K$250</f>
        <v>0</v>
      </c>
    </row>
    <row r="101" spans="1:12">
      <c r="A101" s="74" t="s">
        <v>146</v>
      </c>
      <c r="B101" s="965" t="s">
        <v>541</v>
      </c>
      <c r="C101" s="269">
        <f>+E101+G101+I101+K101</f>
        <v>150000</v>
      </c>
      <c r="D101" s="267">
        <f>+C101/$C$250</f>
        <v>8.3735133115360999E-6</v>
      </c>
      <c r="E101" s="269">
        <f>SUMIF('OBJETO '!$A$16:$A$249,A101,'OBJETO '!$E$16:$E$249)</f>
        <v>150000</v>
      </c>
      <c r="F101" s="267">
        <f>+E101/$E$250</f>
        <v>2.334833072197784E-5</v>
      </c>
      <c r="G101" s="269">
        <f>SUMIF('OBJETO '!$A$16:$A$249,A101,'OBJETO '!$G$16:$G$249)</f>
        <v>0</v>
      </c>
      <c r="H101" s="267">
        <f>+G101/$G$250</f>
        <v>0</v>
      </c>
      <c r="I101" s="269">
        <f>SUMIF('OBJETO '!$A$16:$A$249,A101,'OBJETO '!$I$16:$I$249)</f>
        <v>0</v>
      </c>
      <c r="J101" s="267">
        <f>+I101/$I$250</f>
        <v>0</v>
      </c>
      <c r="K101" s="269">
        <f>SUMIF('OBJETO '!$A$16:$A$249,A101,'OBJETO '!$K$16:$K$249)</f>
        <v>0</v>
      </c>
      <c r="L101" s="268">
        <f>+K101/$K$250</f>
        <v>0</v>
      </c>
    </row>
    <row r="102" spans="1:12" ht="7.95" customHeight="1">
      <c r="B102" s="965"/>
      <c r="C102" s="311"/>
      <c r="D102" s="262"/>
      <c r="E102" s="311"/>
      <c r="F102" s="262"/>
      <c r="G102" s="311"/>
      <c r="H102" s="262"/>
      <c r="I102" s="311"/>
      <c r="J102" s="262"/>
      <c r="K102" s="311"/>
      <c r="L102" s="712"/>
    </row>
    <row r="103" spans="1:12">
      <c r="B103" s="966" t="s">
        <v>149</v>
      </c>
      <c r="C103" s="967">
        <f>SUM(C105:C113)</f>
        <v>168646000</v>
      </c>
      <c r="D103" s="349">
        <f>SUM(C103/$C$46)</f>
        <v>5.6142281367544081E-2</v>
      </c>
      <c r="E103" s="967">
        <f>SUM(E105:E113)</f>
        <v>50800000</v>
      </c>
      <c r="F103" s="349">
        <f>+E103/C103</f>
        <v>0.30122267945874792</v>
      </c>
      <c r="G103" s="967">
        <f>SUM(G105:G113)</f>
        <v>0</v>
      </c>
      <c r="H103" s="349">
        <f>+G103/C103</f>
        <v>0</v>
      </c>
      <c r="I103" s="967">
        <f>SUM(I105:I113)</f>
        <v>117846000</v>
      </c>
      <c r="J103" s="349">
        <f>+I103/C103</f>
        <v>0.69877732054125208</v>
      </c>
      <c r="K103" s="967">
        <f>SUM(K105:K113)</f>
        <v>0</v>
      </c>
      <c r="L103" s="350">
        <f>+K103/C103</f>
        <v>0</v>
      </c>
    </row>
    <row r="104" spans="1:12" ht="7.95" customHeight="1">
      <c r="B104" s="968"/>
      <c r="C104" s="352"/>
      <c r="D104" s="351"/>
      <c r="E104" s="352"/>
      <c r="F104" s="351"/>
      <c r="G104" s="352"/>
      <c r="H104" s="351"/>
      <c r="I104" s="352"/>
      <c r="J104" s="351"/>
      <c r="K104" s="352"/>
      <c r="L104" s="749"/>
    </row>
    <row r="105" spans="1:12">
      <c r="A105" s="74" t="s">
        <v>150</v>
      </c>
      <c r="B105" s="965" t="s">
        <v>542</v>
      </c>
      <c r="C105" s="269">
        <f t="shared" ref="C105:C113" si="24">+E105+G105+I105+K105</f>
        <v>500000</v>
      </c>
      <c r="D105" s="267">
        <f t="shared" ref="D105:D113" si="25">+C105/$C$250</f>
        <v>2.7911711038453665E-5</v>
      </c>
      <c r="E105" s="269">
        <f>SUMIF('OBJETO '!$A$16:$A$249,A105,'OBJETO '!$E$16:$E$249)</f>
        <v>500000</v>
      </c>
      <c r="F105" s="267">
        <f t="shared" ref="F105:F113" si="26">+E105/$E$250</f>
        <v>7.7827769073259475E-5</v>
      </c>
      <c r="G105" s="269">
        <f>SUMIF('OBJETO '!$A$16:$A$249,A105,'OBJETO '!$G$16:$G$249)</f>
        <v>0</v>
      </c>
      <c r="H105" s="267">
        <f t="shared" ref="H105:H113" si="27">+G105/$G$250</f>
        <v>0</v>
      </c>
      <c r="I105" s="269">
        <f>SUMIF('OBJETO '!$A$16:$A$249,A105,'OBJETO '!$I$16:$I$249)</f>
        <v>0</v>
      </c>
      <c r="J105" s="267">
        <f t="shared" ref="J105:J113" si="28">+I105/$I$250</f>
        <v>0</v>
      </c>
      <c r="K105" s="269">
        <f>SUMIF('OBJETO '!$A$16:$A$249,A105,'OBJETO '!$K$16:$K$249)</f>
        <v>0</v>
      </c>
      <c r="L105" s="268">
        <f t="shared" ref="L105:L113" si="29">+K105/$K$250</f>
        <v>0</v>
      </c>
    </row>
    <row r="106" spans="1:12" hidden="1">
      <c r="A106" s="74" t="s">
        <v>543</v>
      </c>
      <c r="B106" s="965" t="s">
        <v>544</v>
      </c>
      <c r="C106" s="269">
        <f t="shared" si="24"/>
        <v>0</v>
      </c>
      <c r="D106" s="267">
        <f t="shared" si="25"/>
        <v>0</v>
      </c>
      <c r="E106" s="269">
        <f>SUMIF('OBJETO '!$A$16:$A$249,A106,'OBJETO '!$E$16:$E$249)</f>
        <v>0</v>
      </c>
      <c r="F106" s="267">
        <f t="shared" si="26"/>
        <v>0</v>
      </c>
      <c r="G106" s="269">
        <f>SUMIF('OBJETO '!$A$16:$A$249,A106,'OBJETO '!$G$16:$G$249)</f>
        <v>0</v>
      </c>
      <c r="H106" s="267">
        <f t="shared" si="27"/>
        <v>0</v>
      </c>
      <c r="I106" s="269">
        <f>SUMIF('OBJETO '!$A$16:$A$249,A106,'OBJETO '!$I$16:$I$249)</f>
        <v>0</v>
      </c>
      <c r="J106" s="267">
        <f t="shared" si="28"/>
        <v>0</v>
      </c>
      <c r="K106" s="269">
        <f>SUMIF('OBJETO '!$A$16:$A$249,A106,'OBJETO '!$K$16:$K$249)</f>
        <v>0</v>
      </c>
      <c r="L106" s="268">
        <f t="shared" si="29"/>
        <v>0</v>
      </c>
    </row>
    <row r="107" spans="1:12" hidden="1">
      <c r="A107" s="74" t="s">
        <v>151</v>
      </c>
      <c r="B107" s="969" t="s">
        <v>545</v>
      </c>
      <c r="C107" s="269">
        <f t="shared" si="24"/>
        <v>0</v>
      </c>
      <c r="D107" s="267">
        <f t="shared" si="25"/>
        <v>0</v>
      </c>
      <c r="E107" s="269">
        <f>SUMIF('OBJETO '!$A$16:$A$249,A107,'OBJETO '!$E$16:$E$249)</f>
        <v>0</v>
      </c>
      <c r="F107" s="267">
        <f t="shared" si="26"/>
        <v>0</v>
      </c>
      <c r="G107" s="269">
        <f>SUMIF('OBJETO '!$A$16:$A$249,A107,'OBJETO '!$G$16:$G$249)</f>
        <v>0</v>
      </c>
      <c r="H107" s="267">
        <f t="shared" si="27"/>
        <v>0</v>
      </c>
      <c r="I107" s="269">
        <f>SUMIF('OBJETO '!$A$16:$A$249,A107,'OBJETO '!$I$16:$I$249)</f>
        <v>0</v>
      </c>
      <c r="J107" s="267">
        <f t="shared" si="28"/>
        <v>0</v>
      </c>
      <c r="K107" s="269">
        <f>SUMIF('OBJETO '!$A$16:$A$249,A107,'OBJETO '!$K$16:$K$249)</f>
        <v>0</v>
      </c>
      <c r="L107" s="268">
        <f t="shared" si="29"/>
        <v>0</v>
      </c>
    </row>
    <row r="108" spans="1:12" hidden="1">
      <c r="A108" s="74" t="s">
        <v>344</v>
      </c>
      <c r="B108" s="965" t="s">
        <v>546</v>
      </c>
      <c r="C108" s="269">
        <f t="shared" si="24"/>
        <v>0</v>
      </c>
      <c r="D108" s="267">
        <f t="shared" si="25"/>
        <v>0</v>
      </c>
      <c r="E108" s="269">
        <f>SUMIF('OBJETO '!$A$16:$A$249,A108,'OBJETO '!$E$16:$E$249)</f>
        <v>0</v>
      </c>
      <c r="F108" s="267">
        <f t="shared" si="26"/>
        <v>0</v>
      </c>
      <c r="G108" s="269">
        <f>SUMIF('OBJETO '!$A$16:$A$249,A108,'OBJETO '!$G$16:$G$249)</f>
        <v>0</v>
      </c>
      <c r="H108" s="267">
        <f t="shared" si="27"/>
        <v>0</v>
      </c>
      <c r="I108" s="269">
        <f>SUMIF('OBJETO '!$A$16:$A$249,A108,'OBJETO '!$I$16:$I$249)</f>
        <v>0</v>
      </c>
      <c r="J108" s="267">
        <f t="shared" si="28"/>
        <v>0</v>
      </c>
      <c r="K108" s="269">
        <f>SUMIF('OBJETO '!$A$16:$A$249,A108,'OBJETO '!$K$16:$K$249)</f>
        <v>0</v>
      </c>
      <c r="L108" s="268">
        <f t="shared" si="29"/>
        <v>0</v>
      </c>
    </row>
    <row r="109" spans="1:12">
      <c r="A109" s="74" t="s">
        <v>153</v>
      </c>
      <c r="B109" s="965" t="s">
        <v>547</v>
      </c>
      <c r="C109" s="269">
        <f t="shared" si="24"/>
        <v>121846000</v>
      </c>
      <c r="D109" s="267">
        <f t="shared" si="25"/>
        <v>6.8018606863828506E-3</v>
      </c>
      <c r="E109" s="269">
        <f>SUMIF('OBJETO '!$A$16:$A$249,A109,'OBJETO '!$E$16:$E$249)</f>
        <v>5000000</v>
      </c>
      <c r="F109" s="267">
        <f t="shared" si="26"/>
        <v>7.7827769073259467E-4</v>
      </c>
      <c r="G109" s="269">
        <f>SUMIF('OBJETO '!$A$16:$A$249,A109,'OBJETO '!$G$16:$G$249)</f>
        <v>0</v>
      </c>
      <c r="H109" s="267">
        <f t="shared" si="27"/>
        <v>0</v>
      </c>
      <c r="I109" s="269">
        <f>SUMIF('OBJETO '!$A$16:$A$249,A109,'OBJETO '!$I$16:$I$249)</f>
        <v>116846000</v>
      </c>
      <c r="J109" s="267">
        <f t="shared" si="28"/>
        <v>1.1379421496111529E-2</v>
      </c>
      <c r="K109" s="269">
        <f>SUMIF('OBJETO '!$A$16:$A$249,A109,'OBJETO '!$K$16:$K$249)</f>
        <v>0</v>
      </c>
      <c r="L109" s="268">
        <f t="shared" si="29"/>
        <v>0</v>
      </c>
    </row>
    <row r="110" spans="1:12">
      <c r="A110" s="74" t="s">
        <v>154</v>
      </c>
      <c r="B110" s="965" t="s">
        <v>548</v>
      </c>
      <c r="C110" s="269">
        <f t="shared" si="24"/>
        <v>1900000</v>
      </c>
      <c r="D110" s="267">
        <f t="shared" si="25"/>
        <v>1.0606450194612393E-4</v>
      </c>
      <c r="E110" s="269">
        <f>SUMIF('OBJETO '!$A$16:$A$249,A110,'OBJETO '!$E$16:$E$249)</f>
        <v>1900000</v>
      </c>
      <c r="F110" s="267">
        <f t="shared" si="26"/>
        <v>2.95745522478386E-4</v>
      </c>
      <c r="G110" s="269">
        <f>SUMIF('OBJETO '!$A$16:$A$249,A110,'OBJETO '!$G$16:$G$249)</f>
        <v>0</v>
      </c>
      <c r="H110" s="267">
        <f t="shared" si="27"/>
        <v>0</v>
      </c>
      <c r="I110" s="269">
        <f>SUMIF('OBJETO '!$A$16:$A$249,A110,'OBJETO '!$I$16:$I$249)</f>
        <v>0</v>
      </c>
      <c r="J110" s="267">
        <f t="shared" si="28"/>
        <v>0</v>
      </c>
      <c r="K110" s="269">
        <f>SUMIF('OBJETO '!$A$16:$A$249,A110,'OBJETO '!$K$16:$K$249)</f>
        <v>0</v>
      </c>
      <c r="L110" s="268">
        <f t="shared" si="29"/>
        <v>0</v>
      </c>
    </row>
    <row r="111" spans="1:12">
      <c r="A111" s="74" t="s">
        <v>155</v>
      </c>
      <c r="B111" s="965" t="s">
        <v>549</v>
      </c>
      <c r="C111" s="269">
        <f t="shared" si="24"/>
        <v>4100000</v>
      </c>
      <c r="D111" s="267">
        <f t="shared" si="25"/>
        <v>2.2887603051532007E-4</v>
      </c>
      <c r="E111" s="269">
        <f>SUMIF('OBJETO '!$A$16:$A$249,A111,'OBJETO '!$E$16:$E$249)</f>
        <v>4100000</v>
      </c>
      <c r="F111" s="267">
        <f t="shared" si="26"/>
        <v>6.3818770640072765E-4</v>
      </c>
      <c r="G111" s="269">
        <f>SUMIF('OBJETO '!$A$16:$A$249,A111,'OBJETO '!$G$16:$G$249)</f>
        <v>0</v>
      </c>
      <c r="H111" s="267">
        <f t="shared" si="27"/>
        <v>0</v>
      </c>
      <c r="I111" s="269">
        <f>SUMIF('OBJETO '!$A$16:$A$249,A111,'OBJETO '!$I$16:$I$249)</f>
        <v>0</v>
      </c>
      <c r="J111" s="267">
        <f t="shared" si="28"/>
        <v>0</v>
      </c>
      <c r="K111" s="269">
        <f>SUMIF('OBJETO '!$A$16:$A$249,A111,'OBJETO '!$K$16:$K$249)</f>
        <v>0</v>
      </c>
      <c r="L111" s="268">
        <f t="shared" si="29"/>
        <v>0</v>
      </c>
    </row>
    <row r="112" spans="1:12">
      <c r="A112" s="74" t="s">
        <v>156</v>
      </c>
      <c r="B112" s="965" t="s">
        <v>751</v>
      </c>
      <c r="C112" s="269">
        <f t="shared" si="24"/>
        <v>40000000</v>
      </c>
      <c r="D112" s="267">
        <f t="shared" si="25"/>
        <v>2.2329368830762931E-3</v>
      </c>
      <c r="E112" s="269">
        <f>SUMIF('OBJETO '!$A$16:$A$249,A112,'OBJETO '!$E$16:$E$249)</f>
        <v>39000000</v>
      </c>
      <c r="F112" s="267">
        <f t="shared" si="26"/>
        <v>6.0705659877142385E-3</v>
      </c>
      <c r="G112" s="269">
        <f>SUMIF('OBJETO '!$A$16:$A$249,A112,'OBJETO '!$G$16:$G$249)</f>
        <v>0</v>
      </c>
      <c r="H112" s="267">
        <f t="shared" si="27"/>
        <v>0</v>
      </c>
      <c r="I112" s="269">
        <f>SUMIF('OBJETO '!$A$16:$A$249,A112,'OBJETO '!$I$16:$I$249)</f>
        <v>1000000</v>
      </c>
      <c r="J112" s="267">
        <f t="shared" si="28"/>
        <v>9.7388198963691778E-5</v>
      </c>
      <c r="K112" s="269">
        <f>SUMIF('OBJETO '!$A$16:$A$249,A112,'OBJETO '!$K$16:$K$249)</f>
        <v>0</v>
      </c>
      <c r="L112" s="268">
        <f t="shared" si="29"/>
        <v>0</v>
      </c>
    </row>
    <row r="113" spans="1:12" outlineLevel="1">
      <c r="A113" s="74" t="s">
        <v>157</v>
      </c>
      <c r="B113" s="1009" t="s">
        <v>550</v>
      </c>
      <c r="C113" s="310">
        <f t="shared" si="24"/>
        <v>300000</v>
      </c>
      <c r="D113" s="1010">
        <f t="shared" si="25"/>
        <v>1.67470266230722E-5</v>
      </c>
      <c r="E113" s="310">
        <f>SUMIF('OBJETO '!$A$16:$A$249,A113,'OBJETO '!$E$16:$E$249)</f>
        <v>300000</v>
      </c>
      <c r="F113" s="1010">
        <f t="shared" si="26"/>
        <v>4.669666144395568E-5</v>
      </c>
      <c r="G113" s="310">
        <f>SUMIF('OBJETO '!$A$16:$A$249,A113,'OBJETO '!$G$16:$G$249)</f>
        <v>0</v>
      </c>
      <c r="H113" s="1010">
        <f t="shared" si="27"/>
        <v>0</v>
      </c>
      <c r="I113" s="310">
        <f>SUMIF('OBJETO '!$A$16:$A$249,A113,'OBJETO '!$I$16:$I$249)</f>
        <v>0</v>
      </c>
      <c r="J113" s="1010">
        <f t="shared" si="28"/>
        <v>0</v>
      </c>
      <c r="K113" s="310">
        <f>SUMIF('OBJETO '!$A$16:$A$249,A113,'OBJETO '!$K$16:$K$249)</f>
        <v>0</v>
      </c>
      <c r="L113" s="1011">
        <f t="shared" si="29"/>
        <v>0</v>
      </c>
    </row>
    <row r="114" spans="1:12" ht="3.6" customHeight="1" outlineLevel="1">
      <c r="B114" s="965"/>
      <c r="C114" s="269"/>
      <c r="D114" s="262"/>
      <c r="E114" s="311"/>
      <c r="F114" s="262"/>
      <c r="G114" s="311"/>
      <c r="H114" s="262"/>
      <c r="I114" s="311"/>
      <c r="J114" s="262"/>
      <c r="K114" s="311"/>
      <c r="L114" s="712"/>
    </row>
    <row r="115" spans="1:12">
      <c r="B115" s="966" t="s">
        <v>346</v>
      </c>
      <c r="C115" s="967">
        <f>SUM(C117:C120)</f>
        <v>2340000</v>
      </c>
      <c r="D115" s="349">
        <f>SUM(C115/$C$46)</f>
        <v>7.7898638805576857E-4</v>
      </c>
      <c r="E115" s="967">
        <f>SUM(E117:E120)</f>
        <v>1990000</v>
      </c>
      <c r="F115" s="349">
        <f>+E115/C115</f>
        <v>0.8504273504273504</v>
      </c>
      <c r="G115" s="967">
        <f>SUM(G117:G120)</f>
        <v>0</v>
      </c>
      <c r="H115" s="349">
        <f>+G115/C115</f>
        <v>0</v>
      </c>
      <c r="I115" s="967">
        <f>SUM(I117:I120)</f>
        <v>350000</v>
      </c>
      <c r="J115" s="349">
        <f>+I115/C115</f>
        <v>0.14957264957264957</v>
      </c>
      <c r="K115" s="967">
        <f>SUM(K117:K120)</f>
        <v>0</v>
      </c>
      <c r="L115" s="350">
        <f>+K115/C115</f>
        <v>0</v>
      </c>
    </row>
    <row r="116" spans="1:12" ht="7.95" customHeight="1">
      <c r="B116" s="965"/>
      <c r="C116" s="311"/>
      <c r="D116" s="262"/>
      <c r="E116" s="311"/>
      <c r="F116" s="262"/>
      <c r="G116" s="311"/>
      <c r="H116" s="262"/>
      <c r="I116" s="311"/>
      <c r="J116" s="262"/>
      <c r="K116" s="311"/>
      <c r="L116" s="712"/>
    </row>
    <row r="117" spans="1:12" hidden="1">
      <c r="A117" s="74" t="s">
        <v>604</v>
      </c>
      <c r="B117" s="965" t="s">
        <v>605</v>
      </c>
      <c r="C117" s="269">
        <f>+E117+G117+I117+K117</f>
        <v>0</v>
      </c>
      <c r="D117" s="267">
        <f>+C117/$C$250</f>
        <v>0</v>
      </c>
      <c r="E117" s="269">
        <f>SUMIF('OBJETO '!$A$16:$A$249,A117,'OBJETO '!$E$16:$E$249)</f>
        <v>0</v>
      </c>
      <c r="F117" s="267">
        <f>+E117/$E$250</f>
        <v>0</v>
      </c>
      <c r="G117" s="269">
        <f>SUMIF('OBJETO '!$A$16:$A$249,A117,'OBJETO '!$G$16:$G$249)</f>
        <v>0</v>
      </c>
      <c r="H117" s="267">
        <f>+G117/$G$250</f>
        <v>0</v>
      </c>
      <c r="I117" s="269">
        <f>SUMIF('OBJETO '!$A$16:$A$249,A117,'OBJETO '!$I$16:$I$249)</f>
        <v>0</v>
      </c>
      <c r="J117" s="267">
        <f>+I117/$I$250</f>
        <v>0</v>
      </c>
      <c r="K117" s="269">
        <f>SUMIF('OBJETO '!$A$16:$A$249,A117,'OBJETO '!$K$16:$K$249)</f>
        <v>0</v>
      </c>
      <c r="L117" s="268">
        <f>+K117/$K$250</f>
        <v>0</v>
      </c>
    </row>
    <row r="118" spans="1:12" hidden="1">
      <c r="A118" s="74" t="s">
        <v>606</v>
      </c>
      <c r="B118" s="965" t="s">
        <v>607</v>
      </c>
      <c r="C118" s="269">
        <f>+E118+G118+I118+K118</f>
        <v>0</v>
      </c>
      <c r="D118" s="267">
        <f>+C118/$C$250</f>
        <v>0</v>
      </c>
      <c r="E118" s="269">
        <f>SUMIF('OBJETO '!$A$16:$A$249,A118,'OBJETO '!$E$16:$E$249)</f>
        <v>0</v>
      </c>
      <c r="F118" s="267">
        <f>+E118/$E$250</f>
        <v>0</v>
      </c>
      <c r="G118" s="269">
        <f>SUMIF('OBJETO '!$A$16:$A$249,A118,'OBJETO '!$G$16:$G$249)</f>
        <v>0</v>
      </c>
      <c r="H118" s="267">
        <f>+G118/$G$250</f>
        <v>0</v>
      </c>
      <c r="I118" s="269">
        <f>SUMIF('OBJETO '!$A$16:$A$249,A118,'OBJETO '!$I$16:$I$249)</f>
        <v>0</v>
      </c>
      <c r="J118" s="267">
        <f>+I118/$I$250</f>
        <v>0</v>
      </c>
      <c r="K118" s="269">
        <f>SUMIF('OBJETO '!$A$16:$A$249,A118,'OBJETO '!$K$16:$K$249)</f>
        <v>0</v>
      </c>
      <c r="L118" s="268">
        <f>+K118/$K$250</f>
        <v>0</v>
      </c>
    </row>
    <row r="119" spans="1:12" hidden="1">
      <c r="A119" s="74" t="s">
        <v>608</v>
      </c>
      <c r="B119" s="965" t="s">
        <v>609</v>
      </c>
      <c r="C119" s="269">
        <f>+E119+G119+I119+K119</f>
        <v>0</v>
      </c>
      <c r="D119" s="267">
        <f>+C119/$C$250</f>
        <v>0</v>
      </c>
      <c r="E119" s="269">
        <f>SUMIF('OBJETO '!$A$16:$A$249,A119,'OBJETO '!$E$16:$E$249)</f>
        <v>0</v>
      </c>
      <c r="F119" s="267">
        <f>+E119/$E$250</f>
        <v>0</v>
      </c>
      <c r="G119" s="269">
        <f>SUMIF('OBJETO '!$A$16:$A$249,A119,'OBJETO '!$G$16:$G$249)</f>
        <v>0</v>
      </c>
      <c r="H119" s="267">
        <f>+G119/$G$250</f>
        <v>0</v>
      </c>
      <c r="I119" s="269">
        <f>SUMIF('OBJETO '!$A$16:$A$249,A119,'OBJETO '!$I$16:$I$249)</f>
        <v>0</v>
      </c>
      <c r="J119" s="267">
        <f>+I119/$I$250</f>
        <v>0</v>
      </c>
      <c r="K119" s="269">
        <f>SUMIF('OBJETO '!$A$16:$A$249,A119,'OBJETO '!$K$16:$K$249)</f>
        <v>0</v>
      </c>
      <c r="L119" s="268">
        <f>+K119/$K$250</f>
        <v>0</v>
      </c>
    </row>
    <row r="120" spans="1:12">
      <c r="A120" s="74" t="s">
        <v>347</v>
      </c>
      <c r="B120" s="965" t="s">
        <v>348</v>
      </c>
      <c r="C120" s="269">
        <f>+E120+G120+I120+K120</f>
        <v>2340000</v>
      </c>
      <c r="D120" s="267">
        <f>+C120/$C$250</f>
        <v>1.3062680765996317E-4</v>
      </c>
      <c r="E120" s="269">
        <f>SUMIF('OBJETO '!$A$16:$A$249,A120,'OBJETO '!$E$16:$E$249)</f>
        <v>1990000</v>
      </c>
      <c r="F120" s="267">
        <f>+E120/$E$250</f>
        <v>3.097545209115727E-4</v>
      </c>
      <c r="G120" s="269">
        <f>SUMIF('OBJETO '!$A$16:$A$249,A120,'OBJETO '!$G$16:$G$249)</f>
        <v>0</v>
      </c>
      <c r="H120" s="267">
        <f>+G120/$G$250</f>
        <v>0</v>
      </c>
      <c r="I120" s="269">
        <f>SUMIF('OBJETO '!$A$16:$A$249,A120,'OBJETO '!$I$16:$I$249)</f>
        <v>350000</v>
      </c>
      <c r="J120" s="267">
        <f>+I120/$I$250</f>
        <v>3.408586963729212E-5</v>
      </c>
      <c r="K120" s="269">
        <f>SUMIF('OBJETO '!$A$16:$A$249,A120,'OBJETO '!$K$16:$K$249)</f>
        <v>0</v>
      </c>
      <c r="L120" s="268">
        <f>+K120/$K$250</f>
        <v>0</v>
      </c>
    </row>
    <row r="121" spans="1:12" ht="7.95" customHeight="1">
      <c r="B121" s="965"/>
      <c r="C121" s="269"/>
      <c r="D121" s="262"/>
      <c r="E121" s="311"/>
      <c r="F121" s="262"/>
      <c r="G121" s="311"/>
      <c r="H121" s="262"/>
      <c r="I121" s="311"/>
      <c r="J121" s="262"/>
      <c r="K121" s="311"/>
      <c r="L121" s="712"/>
    </row>
    <row r="122" spans="1:12">
      <c r="B122" s="966" t="s">
        <v>159</v>
      </c>
      <c r="C122" s="967">
        <f>SUM(C124:C129)</f>
        <v>4390000</v>
      </c>
      <c r="D122" s="349">
        <f>SUM(C122/$C$46)</f>
        <v>1.4614317280191556E-3</v>
      </c>
      <c r="E122" s="967">
        <f>SUM(E124:E129)</f>
        <v>4300000</v>
      </c>
      <c r="F122" s="349">
        <f>+E122/C122</f>
        <v>0.97949886104783601</v>
      </c>
      <c r="G122" s="967">
        <f>SUM(G124:G129)</f>
        <v>0</v>
      </c>
      <c r="H122" s="349">
        <f>+G122/C122</f>
        <v>0</v>
      </c>
      <c r="I122" s="967">
        <f>SUM(I124:I129)</f>
        <v>90000</v>
      </c>
      <c r="J122" s="349">
        <f>+I122/C122</f>
        <v>2.0501138952164009E-2</v>
      </c>
      <c r="K122" s="967">
        <f>SUM(K124:K129)</f>
        <v>0</v>
      </c>
      <c r="L122" s="350">
        <f>+K122/C122</f>
        <v>0</v>
      </c>
    </row>
    <row r="123" spans="1:12" ht="7.95" customHeight="1">
      <c r="B123" s="965"/>
      <c r="C123" s="311"/>
      <c r="D123" s="262"/>
      <c r="E123" s="311"/>
      <c r="F123" s="262"/>
      <c r="G123" s="311"/>
      <c r="H123" s="262"/>
      <c r="I123" s="311"/>
      <c r="J123" s="262"/>
      <c r="K123" s="311"/>
      <c r="L123" s="712"/>
    </row>
    <row r="124" spans="1:12" hidden="1">
      <c r="A124" s="74" t="s">
        <v>551</v>
      </c>
      <c r="B124" s="965" t="s">
        <v>552</v>
      </c>
      <c r="C124" s="269">
        <f t="shared" ref="C124:C129" si="30">+E124+G124+I124+K124</f>
        <v>0</v>
      </c>
      <c r="D124" s="267">
        <f t="shared" ref="D124:D129" si="31">+C124/$C$250</f>
        <v>0</v>
      </c>
      <c r="E124" s="269">
        <f>SUMIF('OBJETO '!$A$16:$A$249,A124,'OBJETO '!$E$16:$E$249)</f>
        <v>0</v>
      </c>
      <c r="F124" s="267">
        <f t="shared" ref="F124:F129" si="32">+E124/$E$250</f>
        <v>0</v>
      </c>
      <c r="G124" s="269">
        <f>SUMIF('OBJETO '!$A$16:$A$249,A124,'OBJETO '!$G$16:$G$249)</f>
        <v>0</v>
      </c>
      <c r="H124" s="267">
        <f t="shared" ref="H124:H129" si="33">+G124/$G$250</f>
        <v>0</v>
      </c>
      <c r="I124" s="269">
        <f>SUMIF('OBJETO '!$A$16:$A$249,A124,'OBJETO '!$I$16:$I$249)</f>
        <v>0</v>
      </c>
      <c r="J124" s="267">
        <f t="shared" ref="J124:J129" si="34">+I124/$I$250</f>
        <v>0</v>
      </c>
      <c r="K124" s="269">
        <f>SUMIF('OBJETO '!$A$16:$A$249,A124,'OBJETO '!$K$16:$K$249)</f>
        <v>0</v>
      </c>
      <c r="L124" s="268">
        <f t="shared" ref="L124:L129" si="35">+K124/$K$250</f>
        <v>0</v>
      </c>
    </row>
    <row r="125" spans="1:12">
      <c r="A125" s="74" t="s">
        <v>349</v>
      </c>
      <c r="B125" s="965" t="s">
        <v>350</v>
      </c>
      <c r="C125" s="269">
        <f t="shared" si="30"/>
        <v>500000</v>
      </c>
      <c r="D125" s="267">
        <f t="shared" si="31"/>
        <v>2.7911711038453665E-5</v>
      </c>
      <c r="E125" s="269">
        <f>SUMIF('OBJETO '!$A$16:$A$249,A125,'OBJETO '!$E$16:$E$249)</f>
        <v>500000</v>
      </c>
      <c r="F125" s="267">
        <f t="shared" si="32"/>
        <v>7.7827769073259475E-5</v>
      </c>
      <c r="G125" s="269">
        <f>SUMIF('OBJETO '!$A$16:$A$249,A125,'OBJETO '!$G$16:$G$249)</f>
        <v>0</v>
      </c>
      <c r="H125" s="267">
        <f t="shared" si="33"/>
        <v>0</v>
      </c>
      <c r="I125" s="269">
        <f>SUMIF('OBJETO '!$A$16:$A$249,A125,'OBJETO '!$I$16:$I$249)</f>
        <v>0</v>
      </c>
      <c r="J125" s="267">
        <f t="shared" si="34"/>
        <v>0</v>
      </c>
      <c r="K125" s="269">
        <f>SUMIF('OBJETO '!$A$16:$A$249,A125,'OBJETO '!$K$16:$K$249)</f>
        <v>0</v>
      </c>
      <c r="L125" s="268">
        <f t="shared" si="35"/>
        <v>0</v>
      </c>
    </row>
    <row r="126" spans="1:12" hidden="1">
      <c r="A126" s="74" t="s">
        <v>553</v>
      </c>
      <c r="B126" s="965" t="s">
        <v>554</v>
      </c>
      <c r="C126" s="269">
        <f t="shared" si="30"/>
        <v>0</v>
      </c>
      <c r="D126" s="267">
        <f t="shared" si="31"/>
        <v>0</v>
      </c>
      <c r="E126" s="269">
        <f>SUMIF('OBJETO '!$A$16:$A$249,A126,'OBJETO '!$E$16:$E$249)</f>
        <v>0</v>
      </c>
      <c r="F126" s="267">
        <f t="shared" si="32"/>
        <v>0</v>
      </c>
      <c r="G126" s="269">
        <f>SUMIF('OBJETO '!$A$16:$A$249,A126,'OBJETO '!$G$16:$G$249)</f>
        <v>0</v>
      </c>
      <c r="H126" s="267">
        <f t="shared" si="33"/>
        <v>0</v>
      </c>
      <c r="I126" s="269">
        <f>SUMIF('OBJETO '!$A$16:$A$249,A126,'OBJETO '!$I$16:$I$249)</f>
        <v>0</v>
      </c>
      <c r="J126" s="267">
        <f t="shared" si="34"/>
        <v>0</v>
      </c>
      <c r="K126" s="269">
        <f>SUMIF('OBJETO '!$A$16:$A$249,A126,'OBJETO '!$K$16:$K$249)</f>
        <v>0</v>
      </c>
      <c r="L126" s="268">
        <f t="shared" si="35"/>
        <v>0</v>
      </c>
    </row>
    <row r="127" spans="1:12" hidden="1">
      <c r="A127" s="74" t="s">
        <v>555</v>
      </c>
      <c r="B127" s="965" t="s">
        <v>556</v>
      </c>
      <c r="C127" s="269">
        <f t="shared" si="30"/>
        <v>0</v>
      </c>
      <c r="D127" s="267">
        <f t="shared" si="31"/>
        <v>0</v>
      </c>
      <c r="E127" s="269">
        <f>SUMIF('OBJETO '!$A$16:$A$249,A127,'OBJETO '!$E$16:$E$249)</f>
        <v>0</v>
      </c>
      <c r="F127" s="267">
        <f t="shared" si="32"/>
        <v>0</v>
      </c>
      <c r="G127" s="269">
        <f>SUMIF('OBJETO '!$A$16:$A$249,A127,'OBJETO '!$G$16:$G$249)</f>
        <v>0</v>
      </c>
      <c r="H127" s="267">
        <f t="shared" si="33"/>
        <v>0</v>
      </c>
      <c r="I127" s="269">
        <f>SUMIF('OBJETO '!$A$16:$A$249,A127,'OBJETO '!$I$16:$I$249)</f>
        <v>0</v>
      </c>
      <c r="J127" s="267">
        <f t="shared" si="34"/>
        <v>0</v>
      </c>
      <c r="K127" s="269">
        <f>SUMIF('OBJETO '!$A$16:$A$249,A127,'OBJETO '!$K$16:$K$249)</f>
        <v>0</v>
      </c>
      <c r="L127" s="268">
        <f t="shared" si="35"/>
        <v>0</v>
      </c>
    </row>
    <row r="128" spans="1:12">
      <c r="A128" s="74" t="s">
        <v>160</v>
      </c>
      <c r="B128" s="965" t="s">
        <v>161</v>
      </c>
      <c r="C128" s="269">
        <f t="shared" si="30"/>
        <v>3600000</v>
      </c>
      <c r="D128" s="267">
        <f t="shared" si="31"/>
        <v>2.0096431947686638E-4</v>
      </c>
      <c r="E128" s="269">
        <f>SUMIF('OBJETO '!$A$16:$A$249,A128,'OBJETO '!$E$16:$E$249)</f>
        <v>3600000</v>
      </c>
      <c r="F128" s="267">
        <f t="shared" si="32"/>
        <v>5.6035993732746821E-4</v>
      </c>
      <c r="G128" s="269">
        <f>SUMIF('OBJETO '!$A$16:$A$249,A128,'OBJETO '!$G$16:$G$249)</f>
        <v>0</v>
      </c>
      <c r="H128" s="267">
        <f t="shared" si="33"/>
        <v>0</v>
      </c>
      <c r="I128" s="269">
        <f>SUMIF('OBJETO '!$A$16:$A$249,A128,'OBJETO '!$I$16:$I$249)</f>
        <v>0</v>
      </c>
      <c r="J128" s="267">
        <f t="shared" si="34"/>
        <v>0</v>
      </c>
      <c r="K128" s="269">
        <f>SUMIF('OBJETO '!$A$16:$A$249,A128,'OBJETO '!$K$16:$K$249)</f>
        <v>0</v>
      </c>
      <c r="L128" s="268">
        <f t="shared" si="35"/>
        <v>0</v>
      </c>
    </row>
    <row r="129" spans="1:12">
      <c r="A129" s="74" t="s">
        <v>162</v>
      </c>
      <c r="B129" s="965" t="s">
        <v>557</v>
      </c>
      <c r="C129" s="269">
        <f t="shared" si="30"/>
        <v>290000</v>
      </c>
      <c r="D129" s="267">
        <f t="shared" si="31"/>
        <v>1.6188792402303128E-5</v>
      </c>
      <c r="E129" s="269">
        <f>SUMIF('OBJETO '!$A$16:$A$249,A129,'OBJETO '!$E$16:$E$249)</f>
        <v>200000</v>
      </c>
      <c r="F129" s="267">
        <f t="shared" si="32"/>
        <v>3.1131107629303789E-5</v>
      </c>
      <c r="G129" s="269">
        <f>SUMIF('OBJETO '!$A$16:$A$249,A129,'OBJETO '!$G$16:$G$249)</f>
        <v>0</v>
      </c>
      <c r="H129" s="267">
        <f t="shared" si="33"/>
        <v>0</v>
      </c>
      <c r="I129" s="269">
        <f>SUMIF('OBJETO '!$A$16:$A$249,A129,'OBJETO '!$I$16:$I$249)</f>
        <v>90000</v>
      </c>
      <c r="J129" s="267">
        <f t="shared" si="34"/>
        <v>8.7649379067322606E-6</v>
      </c>
      <c r="K129" s="269">
        <f>SUMIF('OBJETO '!$A$16:$A$249,A129,'OBJETO '!$K$16:$K$249)</f>
        <v>0</v>
      </c>
      <c r="L129" s="268">
        <f t="shared" si="35"/>
        <v>0</v>
      </c>
    </row>
    <row r="130" spans="1:12" ht="7.95" customHeight="1">
      <c r="B130" s="309"/>
      <c r="C130" s="760"/>
      <c r="D130" s="273"/>
      <c r="E130" s="310"/>
      <c r="F130" s="273"/>
      <c r="G130" s="310"/>
      <c r="H130" s="273"/>
      <c r="I130" s="310"/>
      <c r="J130" s="273"/>
      <c r="K130" s="310"/>
      <c r="L130" s="745"/>
    </row>
    <row r="131" spans="1:12">
      <c r="B131" s="970" t="s">
        <v>21</v>
      </c>
      <c r="C131" s="956">
        <f>+C133+C148+C158+C141+C163</f>
        <v>287559424</v>
      </c>
      <c r="D131" s="957">
        <f>+C131/$C$250</f>
        <v>1.6052551098144355E-2</v>
      </c>
      <c r="E131" s="956">
        <f>+E133+E148+E158+E141+E163</f>
        <v>79774781</v>
      </c>
      <c r="F131" s="957">
        <f>+E131/$E$250</f>
        <v>1.2417386467075695E-2</v>
      </c>
      <c r="G131" s="956">
        <f>+G133+G148+G158+G141+G163</f>
        <v>0</v>
      </c>
      <c r="H131" s="957">
        <f>+G131/$G$250</f>
        <v>0</v>
      </c>
      <c r="I131" s="956">
        <f>+I133+I148+I158+I141+I163</f>
        <v>206784643</v>
      </c>
      <c r="J131" s="957">
        <f>+I131/$I$250</f>
        <v>2.0138383955119975E-2</v>
      </c>
      <c r="K131" s="956">
        <f>+K133+K148+K158+K141+K163</f>
        <v>1000000</v>
      </c>
      <c r="L131" s="1003">
        <f>+K131/$K$250</f>
        <v>1.5340340801011235E-3</v>
      </c>
    </row>
    <row r="132" spans="1:12" ht="7.95" customHeight="1">
      <c r="B132" s="308"/>
      <c r="C132" s="269"/>
      <c r="D132" s="262"/>
      <c r="E132" s="269"/>
      <c r="F132" s="262"/>
      <c r="G132" s="269"/>
      <c r="H132" s="262"/>
      <c r="I132" s="269"/>
      <c r="J132" s="262"/>
      <c r="K132" s="269"/>
      <c r="L132" s="712"/>
    </row>
    <row r="133" spans="1:12">
      <c r="B133" s="306" t="s">
        <v>165</v>
      </c>
      <c r="C133" s="307">
        <f>SUM(C135:C139)</f>
        <v>209591444</v>
      </c>
      <c r="D133" s="349">
        <f>SUM(C133/$C$131)</f>
        <v>0.72886306796886613</v>
      </c>
      <c r="E133" s="307">
        <f>SUM(E135:E139)</f>
        <v>58794926</v>
      </c>
      <c r="F133" s="738">
        <f>+E133/C133</f>
        <v>0.28052159419255684</v>
      </c>
      <c r="G133" s="307">
        <f>SUM(G135:G139)</f>
        <v>0</v>
      </c>
      <c r="H133" s="738">
        <f>+G133/C133</f>
        <v>0</v>
      </c>
      <c r="I133" s="307">
        <f>SUM(I135:I139)</f>
        <v>150796518</v>
      </c>
      <c r="J133" s="738">
        <f>+I133/C133</f>
        <v>0.71947840580744316</v>
      </c>
      <c r="K133" s="307">
        <f>SUM(K135:K139)</f>
        <v>0</v>
      </c>
      <c r="L133" s="1008">
        <f>+K133/C133</f>
        <v>0</v>
      </c>
    </row>
    <row r="134" spans="1:12" ht="7.95" customHeight="1">
      <c r="B134" s="308"/>
      <c r="C134" s="269"/>
      <c r="D134" s="262"/>
      <c r="E134" s="269"/>
      <c r="F134" s="262"/>
      <c r="G134" s="269"/>
      <c r="H134" s="262"/>
      <c r="I134" s="269"/>
      <c r="J134" s="262"/>
      <c r="K134" s="269"/>
      <c r="L134" s="712"/>
    </row>
    <row r="135" spans="1:12" collapsed="1">
      <c r="A135" s="74" t="s">
        <v>166</v>
      </c>
      <c r="B135" s="308" t="s">
        <v>558</v>
      </c>
      <c r="C135" s="269">
        <f>+E135+G135+I135+K135</f>
        <v>193957414</v>
      </c>
      <c r="D135" s="267">
        <f>+C135/$C$250</f>
        <v>1.0827366586667456E-2</v>
      </c>
      <c r="E135" s="269">
        <f>SUMIF('OBJETO '!$A$16:$A$249,A135,'OBJETO '!$E$16:$E$249)</f>
        <v>53005686</v>
      </c>
      <c r="F135" s="267">
        <f>+E135/$E$250</f>
        <v>8.2506285791554054E-3</v>
      </c>
      <c r="G135" s="269">
        <f>SUMIF('OBJETO '!$A$16:$A$249,A135,'OBJETO '!$G$16:$G$249)</f>
        <v>0</v>
      </c>
      <c r="H135" s="267">
        <f>+G135/$G$250</f>
        <v>0</v>
      </c>
      <c r="I135" s="269">
        <f>SUMIF('OBJETO '!$A$16:$A$249,A135,'OBJETO '!$I$16:$I$249)</f>
        <v>140951728</v>
      </c>
      <c r="J135" s="267">
        <f>+I135/$I$250</f>
        <v>1.3727034930740165E-2</v>
      </c>
      <c r="K135" s="269">
        <f>SUMIF('OBJETO '!$A$16:$A$249,A135,'OBJETO '!$K$16:$K$249)</f>
        <v>0</v>
      </c>
      <c r="L135" s="268">
        <f>+K135/$K$250</f>
        <v>0</v>
      </c>
    </row>
    <row r="136" spans="1:12">
      <c r="A136" s="74" t="s">
        <v>168</v>
      </c>
      <c r="B136" s="308" t="s">
        <v>559</v>
      </c>
      <c r="C136" s="269">
        <f>+E136+G136+I136+K136</f>
        <v>10333930</v>
      </c>
      <c r="D136" s="267">
        <f>+C136/$C$250</f>
        <v>5.7687533610321494E-4</v>
      </c>
      <c r="E136" s="269">
        <f>SUMIF('OBJETO '!$A$16:$A$249,A136,'OBJETO '!$E$16:$E$249)</f>
        <v>551140</v>
      </c>
      <c r="F136" s="267">
        <f>+E136/$E$250</f>
        <v>8.5787993294072451E-5</v>
      </c>
      <c r="G136" s="269">
        <f>SUMIF('OBJETO '!$A$16:$A$249,A136,'OBJETO '!$G$16:$G$249)</f>
        <v>0</v>
      </c>
      <c r="H136" s="267">
        <f>+G136/$G$250</f>
        <v>0</v>
      </c>
      <c r="I136" s="269">
        <f>SUMIF('OBJETO '!$A$16:$A$249,A136,'OBJETO '!$I$16:$I$249)</f>
        <v>9782790</v>
      </c>
      <c r="J136" s="267">
        <f>+I136/$I$250</f>
        <v>9.5272829894001425E-4</v>
      </c>
      <c r="K136" s="269">
        <f>SUMIF('OBJETO '!$A$16:$A$249,A136,'OBJETO '!$K$16:$K$249)</f>
        <v>0</v>
      </c>
      <c r="L136" s="268">
        <f>+K136/$K$250</f>
        <v>0</v>
      </c>
    </row>
    <row r="137" spans="1:12" hidden="1">
      <c r="A137" s="74" t="s">
        <v>560</v>
      </c>
      <c r="B137" s="308" t="s">
        <v>561</v>
      </c>
      <c r="C137" s="269">
        <f>+E137+G137+I137+K137</f>
        <v>0</v>
      </c>
      <c r="D137" s="267">
        <f>+C137/$C$250</f>
        <v>0</v>
      </c>
      <c r="E137" s="269">
        <f>SUMIF('OBJETO '!$A$16:$A$249,A137,'OBJETO '!$E$16:$E$249)</f>
        <v>0</v>
      </c>
      <c r="F137" s="267">
        <f>+E137/$E$250</f>
        <v>0</v>
      </c>
      <c r="G137" s="269">
        <f>SUMIF('OBJETO '!$A$16:$A$249,A137,'OBJETO '!$G$16:$G$249)</f>
        <v>0</v>
      </c>
      <c r="H137" s="267">
        <f>+G137/$G$250</f>
        <v>0</v>
      </c>
      <c r="I137" s="269">
        <f>SUMIF('OBJETO '!$A$16:$A$249,A137,'OBJETO '!$I$16:$I$249)</f>
        <v>0</v>
      </c>
      <c r="J137" s="267">
        <f>+I137/$I$250</f>
        <v>0</v>
      </c>
      <c r="K137" s="269">
        <f>SUMIF('OBJETO '!$A$16:$A$249,A137,'OBJETO '!$K$16:$K$249)</f>
        <v>0</v>
      </c>
      <c r="L137" s="268">
        <f>+K137/$K$250</f>
        <v>0</v>
      </c>
    </row>
    <row r="138" spans="1:12">
      <c r="A138" s="74" t="s">
        <v>170</v>
      </c>
      <c r="B138" s="308" t="s">
        <v>562</v>
      </c>
      <c r="C138" s="269">
        <f>+E138+G138+I138+K138</f>
        <v>5300100</v>
      </c>
      <c r="D138" s="267">
        <f>+C138/$C$250</f>
        <v>2.9586971934981657E-4</v>
      </c>
      <c r="E138" s="269">
        <f>SUMIF('OBJETO '!$A$16:$A$249,A138,'OBJETO '!$E$16:$E$249)</f>
        <v>5238100</v>
      </c>
      <c r="F138" s="267">
        <f>+E138/$E$250</f>
        <v>8.1533927436528092E-4</v>
      </c>
      <c r="G138" s="269">
        <f>SUMIF('OBJETO '!$A$16:$A$249,A138,'OBJETO '!$G$16:$G$249)</f>
        <v>0</v>
      </c>
      <c r="H138" s="267">
        <f>+G138/$G$250</f>
        <v>0</v>
      </c>
      <c r="I138" s="269">
        <f>SUMIF('OBJETO '!$A$16:$A$249,A138,'OBJETO '!$I$16:$I$249)</f>
        <v>62000</v>
      </c>
      <c r="J138" s="267">
        <f>+I138/$I$250</f>
        <v>6.0380683357488905E-6</v>
      </c>
      <c r="K138" s="269">
        <f>SUMIF('OBJETO '!$A$16:$A$249,A138,'OBJETO '!$K$16:$K$249)</f>
        <v>0</v>
      </c>
      <c r="L138" s="268">
        <f>+K138/$K$250</f>
        <v>0</v>
      </c>
    </row>
    <row r="139" spans="1:12" hidden="1" outlineLevel="1">
      <c r="A139" s="74" t="s">
        <v>172</v>
      </c>
      <c r="B139" s="308" t="s">
        <v>563</v>
      </c>
      <c r="C139" s="269">
        <f>+E139+G139+I139+K139</f>
        <v>0</v>
      </c>
      <c r="D139" s="267">
        <f>+C139/$C$250</f>
        <v>0</v>
      </c>
      <c r="E139" s="269">
        <f>SUMIF('OBJETO '!$A$16:$A$249,A139,'OBJETO '!$E$16:$E$249)</f>
        <v>0</v>
      </c>
      <c r="F139" s="267">
        <f>+E139/$E$250</f>
        <v>0</v>
      </c>
      <c r="G139" s="269">
        <f>SUMIF('OBJETO '!$A$16:$A$249,A139,'OBJETO '!$G$16:$G$249)</f>
        <v>0</v>
      </c>
      <c r="H139" s="267">
        <f>+G139/$G$250</f>
        <v>0</v>
      </c>
      <c r="I139" s="269">
        <f>SUMIF('OBJETO '!$A$16:$A$249,A139,'OBJETO '!$I$16:$I$249)</f>
        <v>0</v>
      </c>
      <c r="J139" s="267">
        <f>+I139/$I$250</f>
        <v>0</v>
      </c>
      <c r="K139" s="269">
        <f>SUMIF('OBJETO '!$A$16:$A$249,A139,'OBJETO '!$K$16:$K$249)</f>
        <v>0</v>
      </c>
      <c r="L139" s="268">
        <f>+K139/$K$250</f>
        <v>0</v>
      </c>
    </row>
    <row r="140" spans="1:12" ht="7.95" customHeight="1" collapsed="1">
      <c r="B140" s="308"/>
      <c r="C140" s="269"/>
      <c r="D140" s="262"/>
      <c r="E140" s="269"/>
      <c r="F140" s="262"/>
      <c r="G140" s="269"/>
      <c r="H140" s="262"/>
      <c r="I140" s="269"/>
      <c r="J140" s="262"/>
      <c r="K140" s="269"/>
      <c r="L140" s="712"/>
    </row>
    <row r="141" spans="1:12" hidden="1">
      <c r="B141" s="306" t="s">
        <v>299</v>
      </c>
      <c r="C141" s="307">
        <f>SUM(C143:C146)</f>
        <v>0</v>
      </c>
      <c r="D141" s="349">
        <f>SUM(C141/$C$14)</f>
        <v>0</v>
      </c>
      <c r="E141" s="307">
        <f>SUM(E143:E146)</f>
        <v>0</v>
      </c>
      <c r="F141" s="349">
        <v>0</v>
      </c>
      <c r="G141" s="307">
        <f>SUM(G143:G146)</f>
        <v>0</v>
      </c>
      <c r="H141" s="349">
        <v>0</v>
      </c>
      <c r="I141" s="307">
        <f>SUM(I143:I146)</f>
        <v>0</v>
      </c>
      <c r="J141" s="349">
        <v>0</v>
      </c>
      <c r="K141" s="307">
        <f>SUM(K143:K146)</f>
        <v>0</v>
      </c>
      <c r="L141" s="350">
        <v>0</v>
      </c>
    </row>
    <row r="142" spans="1:12" hidden="1">
      <c r="B142" s="308"/>
      <c r="C142" s="269"/>
      <c r="D142" s="262"/>
      <c r="E142" s="269"/>
      <c r="F142" s="262"/>
      <c r="G142" s="269"/>
      <c r="H142" s="262"/>
      <c r="I142" s="269"/>
      <c r="J142" s="262"/>
      <c r="K142" s="269"/>
      <c r="L142" s="712"/>
    </row>
    <row r="143" spans="1:12" hidden="1">
      <c r="A143" s="74" t="s">
        <v>564</v>
      </c>
      <c r="B143" s="308" t="s">
        <v>565</v>
      </c>
      <c r="C143" s="269">
        <f>+E143+G143+I143+K143</f>
        <v>0</v>
      </c>
      <c r="D143" s="267">
        <f>+C143/$C$250</f>
        <v>0</v>
      </c>
      <c r="E143" s="269">
        <f>SUMIF('OBJETO '!$A$16:$A$249,A143,'OBJETO '!$E$16:$E$249)</f>
        <v>0</v>
      </c>
      <c r="F143" s="267">
        <f>+E143/$E$250</f>
        <v>0</v>
      </c>
      <c r="G143" s="269">
        <f>SUMIF('OBJETO '!$A$16:$A$249,A143,'OBJETO '!$G$16:$G$249)</f>
        <v>0</v>
      </c>
      <c r="H143" s="267">
        <f>+G143/$G$250</f>
        <v>0</v>
      </c>
      <c r="I143" s="269">
        <f>SUMIF('OBJETO '!$A$16:$A$249,A143,'OBJETO '!$I$16:$I$249)</f>
        <v>0</v>
      </c>
      <c r="J143" s="267">
        <f>+I143/$I$250</f>
        <v>0</v>
      </c>
      <c r="K143" s="269">
        <f>SUMIF('OBJETO '!$A$16:$A$249,A143,'OBJETO '!$K$16:$K$249)</f>
        <v>0</v>
      </c>
      <c r="L143" s="268">
        <f>+K143/$K$250</f>
        <v>0</v>
      </c>
    </row>
    <row r="144" spans="1:12" hidden="1">
      <c r="A144" s="74" t="s">
        <v>566</v>
      </c>
      <c r="B144" s="308" t="s">
        <v>567</v>
      </c>
      <c r="C144" s="269">
        <f>+E144+G144+I144+K144</f>
        <v>0</v>
      </c>
      <c r="D144" s="267">
        <f>+C144/$C$250</f>
        <v>0</v>
      </c>
      <c r="E144" s="269">
        <f>SUMIF('OBJETO '!$A$16:$A$249,A144,'OBJETO '!$E$16:$E$249)</f>
        <v>0</v>
      </c>
      <c r="F144" s="267">
        <f>+E144/$E$250</f>
        <v>0</v>
      </c>
      <c r="G144" s="269">
        <f>SUMIF('OBJETO '!$A$16:$A$249,A144,'OBJETO '!$G$16:$G$249)</f>
        <v>0</v>
      </c>
      <c r="H144" s="267">
        <f>+G144/$G$250</f>
        <v>0</v>
      </c>
      <c r="I144" s="269">
        <f>SUMIF('OBJETO '!$A$16:$A$249,A144,'OBJETO '!$I$16:$I$249)</f>
        <v>0</v>
      </c>
      <c r="J144" s="267">
        <f>+I144/$I$250</f>
        <v>0</v>
      </c>
      <c r="K144" s="269">
        <f>SUMIF('OBJETO '!$A$16:$A$249,A144,'OBJETO '!$K$16:$K$249)</f>
        <v>0</v>
      </c>
      <c r="L144" s="268">
        <f>+K144/$K$250</f>
        <v>0</v>
      </c>
    </row>
    <row r="145" spans="1:12" hidden="1">
      <c r="A145" s="74" t="s">
        <v>300</v>
      </c>
      <c r="B145" s="308" t="s">
        <v>310</v>
      </c>
      <c r="C145" s="269">
        <f>+E145+G145+I145+K145</f>
        <v>0</v>
      </c>
      <c r="D145" s="267">
        <f>+C145/$C$250</f>
        <v>0</v>
      </c>
      <c r="E145" s="269">
        <f>SUMIF('OBJETO '!$A$16:$A$249,A145,'OBJETO '!$E$16:$E$249)</f>
        <v>0</v>
      </c>
      <c r="F145" s="267">
        <f>+E145/$E$250</f>
        <v>0</v>
      </c>
      <c r="G145" s="269">
        <f>SUMIF('OBJETO '!$A$16:$A$249,A145,'OBJETO '!$G$16:$G$249)</f>
        <v>0</v>
      </c>
      <c r="H145" s="267">
        <f>+G145/$G$250</f>
        <v>0</v>
      </c>
      <c r="I145" s="269">
        <f>SUMIF('OBJETO '!$A$16:$A$249,A145,'OBJETO '!$I$16:$I$249)</f>
        <v>0</v>
      </c>
      <c r="J145" s="267">
        <f>+I145/$I$250</f>
        <v>0</v>
      </c>
      <c r="K145" s="269">
        <f>SUMIF('OBJETO '!$A$16:$A$249,A145,'OBJETO '!$K$16:$K$249)</f>
        <v>0</v>
      </c>
      <c r="L145" s="268">
        <f>+K145/$K$250</f>
        <v>0</v>
      </c>
    </row>
    <row r="146" spans="1:12" hidden="1">
      <c r="A146" s="74" t="s">
        <v>568</v>
      </c>
      <c r="B146" s="308" t="s">
        <v>569</v>
      </c>
      <c r="C146" s="269">
        <f>+E146+G146+I146+K146</f>
        <v>0</v>
      </c>
      <c r="D146" s="267">
        <f>+C146/$C$250</f>
        <v>0</v>
      </c>
      <c r="E146" s="269">
        <f>SUMIF('OBJETO '!$A$16:$A$249,A146,'OBJETO '!$E$16:$E$249)</f>
        <v>0</v>
      </c>
      <c r="F146" s="267">
        <f>+E146/$E$250</f>
        <v>0</v>
      </c>
      <c r="G146" s="269">
        <f>SUMIF('OBJETO '!$A$16:$A$249,A146,'OBJETO '!$G$16:$G$249)</f>
        <v>0</v>
      </c>
      <c r="H146" s="267">
        <f>+G146/$G$250</f>
        <v>0</v>
      </c>
      <c r="I146" s="269">
        <f>SUMIF('OBJETO '!$A$16:$A$249,A146,'OBJETO '!$I$16:$I$249)</f>
        <v>0</v>
      </c>
      <c r="J146" s="267">
        <f>+I146/$I$250</f>
        <v>0</v>
      </c>
      <c r="K146" s="269">
        <f>SUMIF('OBJETO '!$A$16:$A$249,A146,'OBJETO '!$K$16:$K$249)</f>
        <v>0</v>
      </c>
      <c r="L146" s="268">
        <f>+K146/$K$250</f>
        <v>0</v>
      </c>
    </row>
    <row r="147" spans="1:12" ht="18" hidden="1" thickBot="1">
      <c r="B147" s="962"/>
      <c r="C147" s="963"/>
      <c r="D147" s="732"/>
      <c r="E147" s="963"/>
      <c r="F147" s="732"/>
      <c r="G147" s="963"/>
      <c r="H147" s="732"/>
      <c r="I147" s="963"/>
      <c r="J147" s="732"/>
      <c r="K147" s="963"/>
      <c r="L147" s="1007"/>
    </row>
    <row r="148" spans="1:12">
      <c r="B148" s="687" t="s">
        <v>570</v>
      </c>
      <c r="C148" s="278">
        <f>SUM(C150:C156)</f>
        <v>3830320</v>
      </c>
      <c r="D148" s="722">
        <f>SUM(C148/$C$14)</f>
        <v>3.6579129203146826E-4</v>
      </c>
      <c r="E148" s="278">
        <f>SUM(E150:E156)</f>
        <v>571000</v>
      </c>
      <c r="F148" s="722">
        <f>+E148/C148</f>
        <v>0.14907370663547692</v>
      </c>
      <c r="G148" s="278">
        <f>SUM(G150:G156)</f>
        <v>0</v>
      </c>
      <c r="H148" s="722">
        <f>+G148/C148</f>
        <v>0</v>
      </c>
      <c r="I148" s="278">
        <f>SUM(I150:I156)</f>
        <v>3259320</v>
      </c>
      <c r="J148" s="722">
        <f>+I148/C148</f>
        <v>0.85092629336452308</v>
      </c>
      <c r="K148" s="278">
        <f>SUM(K150:K156)</f>
        <v>0</v>
      </c>
      <c r="L148" s="746">
        <f>+K148/C148</f>
        <v>0</v>
      </c>
    </row>
    <row r="149" spans="1:12" ht="7.95" customHeight="1">
      <c r="B149" s="308"/>
      <c r="C149" s="269"/>
      <c r="D149" s="262"/>
      <c r="E149" s="269"/>
      <c r="F149" s="262"/>
      <c r="G149" s="269"/>
      <c r="H149" s="262"/>
      <c r="I149" s="269"/>
      <c r="J149" s="262"/>
      <c r="K149" s="269"/>
      <c r="L149" s="712"/>
    </row>
    <row r="150" spans="1:12" hidden="1" collapsed="1">
      <c r="A150" s="74" t="s">
        <v>174</v>
      </c>
      <c r="B150" s="308" t="s">
        <v>571</v>
      </c>
      <c r="C150" s="269">
        <f t="shared" ref="C150:C156" si="36">+E150+G150+I150+K150</f>
        <v>0</v>
      </c>
      <c r="D150" s="267">
        <f t="shared" ref="D150:D156" si="37">+C150/$C$250</f>
        <v>0</v>
      </c>
      <c r="E150" s="269">
        <f>SUMIF('OBJETO '!$A$16:$A$249,A150,'OBJETO '!$E$16:$E$249)</f>
        <v>0</v>
      </c>
      <c r="F150" s="267">
        <f t="shared" ref="F150:F156" si="38">+E150/$E$250</f>
        <v>0</v>
      </c>
      <c r="G150" s="269">
        <f>SUMIF('OBJETO '!$A$16:$A$249,A150,'OBJETO '!$G$16:$G$249)</f>
        <v>0</v>
      </c>
      <c r="H150" s="267">
        <f t="shared" ref="H150:H156" si="39">+G150/$G$250</f>
        <v>0</v>
      </c>
      <c r="I150" s="269">
        <f>SUMIF('OBJETO '!$A$16:$A$249,A150,'OBJETO '!$I$16:$I$249)</f>
        <v>0</v>
      </c>
      <c r="J150" s="267">
        <f t="shared" ref="J150:J156" si="40">+I150/$I$250</f>
        <v>0</v>
      </c>
      <c r="K150" s="269">
        <f>SUMIF('OBJETO '!$A$16:$A$249,A150,'OBJETO '!$K$16:$K$249)</f>
        <v>0</v>
      </c>
      <c r="L150" s="268">
        <f t="shared" ref="L150:L156" si="41">+K150/$K$250</f>
        <v>0</v>
      </c>
    </row>
    <row r="151" spans="1:12" hidden="1">
      <c r="A151" s="74" t="s">
        <v>572</v>
      </c>
      <c r="B151" s="308" t="s">
        <v>573</v>
      </c>
      <c r="C151" s="269">
        <f t="shared" si="36"/>
        <v>0</v>
      </c>
      <c r="D151" s="267">
        <f t="shared" si="37"/>
        <v>0</v>
      </c>
      <c r="E151" s="269">
        <f>SUMIF('OBJETO '!$A$16:$A$249,A151,'OBJETO '!$E$16:$E$249)</f>
        <v>0</v>
      </c>
      <c r="F151" s="267">
        <f t="shared" si="38"/>
        <v>0</v>
      </c>
      <c r="G151" s="269">
        <f>SUMIF('OBJETO '!$A$16:$A$249,A151,'OBJETO '!$G$16:$G$249)</f>
        <v>0</v>
      </c>
      <c r="H151" s="267">
        <f t="shared" si="39"/>
        <v>0</v>
      </c>
      <c r="I151" s="269">
        <f>SUMIF('OBJETO '!$A$16:$A$249,A151,'OBJETO '!$I$16:$I$249)</f>
        <v>0</v>
      </c>
      <c r="J151" s="267">
        <f t="shared" si="40"/>
        <v>0</v>
      </c>
      <c r="K151" s="269">
        <f>SUMIF('OBJETO '!$A$16:$A$249,A151,'OBJETO '!$K$16:$K$249)</f>
        <v>0</v>
      </c>
      <c r="L151" s="268">
        <f t="shared" si="41"/>
        <v>0</v>
      </c>
    </row>
    <row r="152" spans="1:12" hidden="1">
      <c r="A152" s="74" t="s">
        <v>176</v>
      </c>
      <c r="B152" s="308" t="s">
        <v>177</v>
      </c>
      <c r="C152" s="269">
        <f t="shared" si="36"/>
        <v>0</v>
      </c>
      <c r="D152" s="267">
        <f t="shared" si="37"/>
        <v>0</v>
      </c>
      <c r="E152" s="269">
        <f>SUMIF('OBJETO '!$A$16:$A$249,A152,'OBJETO '!$E$16:$E$249)</f>
        <v>0</v>
      </c>
      <c r="F152" s="267">
        <f t="shared" si="38"/>
        <v>0</v>
      </c>
      <c r="G152" s="269">
        <f>SUMIF('OBJETO '!$A$16:$A$249,A152,'OBJETO '!$G$16:$G$249)</f>
        <v>0</v>
      </c>
      <c r="H152" s="267">
        <f t="shared" si="39"/>
        <v>0</v>
      </c>
      <c r="I152" s="269">
        <f>SUMIF('OBJETO '!$A$16:$A$249,A152,'OBJETO '!$I$16:$I$249)</f>
        <v>0</v>
      </c>
      <c r="J152" s="267">
        <f t="shared" si="40"/>
        <v>0</v>
      </c>
      <c r="K152" s="269">
        <f>SUMIF('OBJETO '!$A$16:$A$249,A152,'OBJETO '!$K$16:$K$249)</f>
        <v>0</v>
      </c>
      <c r="L152" s="268">
        <f t="shared" si="41"/>
        <v>0</v>
      </c>
    </row>
    <row r="153" spans="1:12">
      <c r="A153" s="74" t="s">
        <v>178</v>
      </c>
      <c r="B153" s="308" t="s">
        <v>574</v>
      </c>
      <c r="C153" s="269">
        <f t="shared" si="36"/>
        <v>3830320</v>
      </c>
      <c r="D153" s="267">
        <f t="shared" si="37"/>
        <v>2.138215700496197E-4</v>
      </c>
      <c r="E153" s="269">
        <f>SUMIF('OBJETO '!$A$16:$A$249,A153,'OBJETO '!$E$16:$E$249)</f>
        <v>571000</v>
      </c>
      <c r="F153" s="267">
        <f t="shared" si="38"/>
        <v>8.8879312281662322E-5</v>
      </c>
      <c r="G153" s="269">
        <f>SUMIF('OBJETO '!$A$16:$A$249,A153,'OBJETO '!$G$16:$G$249)</f>
        <v>0</v>
      </c>
      <c r="H153" s="267">
        <f t="shared" si="39"/>
        <v>0</v>
      </c>
      <c r="I153" s="269">
        <f>SUMIF('OBJETO '!$A$16:$A$249,A153,'OBJETO '!$I$16:$I$249)</f>
        <v>3259320</v>
      </c>
      <c r="J153" s="267">
        <f t="shared" si="40"/>
        <v>3.1741930464633988E-4</v>
      </c>
      <c r="K153" s="269">
        <f>SUMIF('OBJETO '!$A$16:$A$249,A153,'OBJETO '!$K$16:$K$249)</f>
        <v>0</v>
      </c>
      <c r="L153" s="268">
        <f t="shared" si="41"/>
        <v>0</v>
      </c>
    </row>
    <row r="154" spans="1:12" hidden="1">
      <c r="A154" s="74" t="s">
        <v>180</v>
      </c>
      <c r="B154" s="308" t="s">
        <v>575</v>
      </c>
      <c r="C154" s="269">
        <f t="shared" si="36"/>
        <v>0</v>
      </c>
      <c r="D154" s="267">
        <f t="shared" si="37"/>
        <v>0</v>
      </c>
      <c r="E154" s="269">
        <f>SUMIF('OBJETO '!$A$16:$A$249,A154,'OBJETO '!$E$16:$E$249)</f>
        <v>0</v>
      </c>
      <c r="F154" s="267">
        <f t="shared" si="38"/>
        <v>0</v>
      </c>
      <c r="G154" s="269">
        <f>SUMIF('OBJETO '!$A$16:$A$249,A154,'OBJETO '!$G$16:$G$249)</f>
        <v>0</v>
      </c>
      <c r="H154" s="267">
        <f t="shared" si="39"/>
        <v>0</v>
      </c>
      <c r="I154" s="269">
        <f>SUMIF('OBJETO '!$A$16:$A$249,A154,'OBJETO '!$I$16:$I$249)</f>
        <v>0</v>
      </c>
      <c r="J154" s="267">
        <f t="shared" si="40"/>
        <v>0</v>
      </c>
      <c r="K154" s="269">
        <f>SUMIF('OBJETO '!$A$16:$A$249,A154,'OBJETO '!$K$16:$K$249)</f>
        <v>0</v>
      </c>
      <c r="L154" s="268">
        <f t="shared" si="41"/>
        <v>0</v>
      </c>
    </row>
    <row r="155" spans="1:12" hidden="1">
      <c r="A155" s="74" t="s">
        <v>182</v>
      </c>
      <c r="B155" s="308" t="s">
        <v>576</v>
      </c>
      <c r="C155" s="269">
        <f t="shared" si="36"/>
        <v>0</v>
      </c>
      <c r="D155" s="267">
        <f t="shared" si="37"/>
        <v>0</v>
      </c>
      <c r="E155" s="269">
        <f>SUMIF('OBJETO '!$A$16:$A$249,A155,'OBJETO '!$E$16:$E$249)</f>
        <v>0</v>
      </c>
      <c r="F155" s="267">
        <f t="shared" si="38"/>
        <v>0</v>
      </c>
      <c r="G155" s="269">
        <f>SUMIF('OBJETO '!$A$16:$A$249,A155,'OBJETO '!$G$16:$G$249)</f>
        <v>0</v>
      </c>
      <c r="H155" s="267">
        <f t="shared" si="39"/>
        <v>0</v>
      </c>
      <c r="I155" s="269">
        <f>SUMIF('OBJETO '!$A$16:$A$249,A155,'OBJETO '!$I$16:$I$249)</f>
        <v>0</v>
      </c>
      <c r="J155" s="267">
        <f t="shared" si="40"/>
        <v>0</v>
      </c>
      <c r="K155" s="269">
        <f>SUMIF('OBJETO '!$A$16:$A$249,A155,'OBJETO '!$K$16:$K$249)</f>
        <v>0</v>
      </c>
      <c r="L155" s="268">
        <f t="shared" si="41"/>
        <v>0</v>
      </c>
    </row>
    <row r="156" spans="1:12" hidden="1">
      <c r="A156" s="74" t="s">
        <v>184</v>
      </c>
      <c r="B156" s="308" t="s">
        <v>577</v>
      </c>
      <c r="C156" s="269">
        <f t="shared" si="36"/>
        <v>0</v>
      </c>
      <c r="D156" s="267">
        <f t="shared" si="37"/>
        <v>0</v>
      </c>
      <c r="E156" s="269">
        <f>SUMIF('OBJETO '!$A$16:$A$249,A156,'OBJETO '!$E$16:$E$249)</f>
        <v>0</v>
      </c>
      <c r="F156" s="267">
        <f t="shared" si="38"/>
        <v>0</v>
      </c>
      <c r="G156" s="269">
        <f>SUMIF('OBJETO '!$A$16:$A$249,A156,'OBJETO '!$G$16:$G$249)</f>
        <v>0</v>
      </c>
      <c r="H156" s="267">
        <f t="shared" si="39"/>
        <v>0</v>
      </c>
      <c r="I156" s="269">
        <f>SUMIF('OBJETO '!$A$16:$A$249,A156,'OBJETO '!$I$16:$I$249)</f>
        <v>0</v>
      </c>
      <c r="J156" s="267">
        <f t="shared" si="40"/>
        <v>0</v>
      </c>
      <c r="K156" s="269">
        <f>SUMIF('OBJETO '!$A$16:$A$249,A156,'OBJETO '!$K$16:$K$249)</f>
        <v>0</v>
      </c>
      <c r="L156" s="268">
        <f t="shared" si="41"/>
        <v>0</v>
      </c>
    </row>
    <row r="157" spans="1:12" ht="7.95" customHeight="1">
      <c r="B157" s="308"/>
      <c r="C157" s="269"/>
      <c r="D157" s="262"/>
      <c r="E157" s="269"/>
      <c r="F157" s="262"/>
      <c r="G157" s="269"/>
      <c r="H157" s="262"/>
      <c r="I157" s="269"/>
      <c r="J157" s="262"/>
      <c r="K157" s="269"/>
      <c r="L157" s="712"/>
    </row>
    <row r="158" spans="1:12">
      <c r="B158" s="306" t="s">
        <v>186</v>
      </c>
      <c r="C158" s="307">
        <f>SUM(C160:C161)</f>
        <v>19949275</v>
      </c>
      <c r="D158" s="349">
        <f>SUM(C158/$C$14)</f>
        <v>1.9051335338407937E-3</v>
      </c>
      <c r="E158" s="307">
        <f>SUM(E160:E161)</f>
        <v>4713055</v>
      </c>
      <c r="F158" s="349">
        <f>+E158/C158</f>
        <v>0.23625194399295213</v>
      </c>
      <c r="G158" s="307">
        <f>SUM(G160:G161)</f>
        <v>0</v>
      </c>
      <c r="H158" s="349">
        <f>+G158/C158</f>
        <v>0</v>
      </c>
      <c r="I158" s="307">
        <f>SUM(I160:I161)</f>
        <v>15236220</v>
      </c>
      <c r="J158" s="349">
        <f>+I158/C158</f>
        <v>0.76374805600704787</v>
      </c>
      <c r="K158" s="307">
        <f>SUM(K160:K161)</f>
        <v>0</v>
      </c>
      <c r="L158" s="350">
        <f>+K158/C158</f>
        <v>0</v>
      </c>
    </row>
    <row r="159" spans="1:12" ht="7.95" customHeight="1">
      <c r="B159" s="319"/>
      <c r="C159" s="320"/>
      <c r="D159" s="351"/>
      <c r="E159" s="320"/>
      <c r="F159" s="351"/>
      <c r="G159" s="320"/>
      <c r="H159" s="351"/>
      <c r="I159" s="320"/>
      <c r="J159" s="351"/>
      <c r="K159" s="320"/>
      <c r="L159" s="749"/>
    </row>
    <row r="160" spans="1:12" hidden="1" collapsed="1">
      <c r="A160" s="74" t="s">
        <v>187</v>
      </c>
      <c r="B160" s="308" t="s">
        <v>578</v>
      </c>
      <c r="C160" s="269">
        <f>+E160+G160+I160+K160</f>
        <v>0</v>
      </c>
      <c r="D160" s="267">
        <f>+C160/$C$250</f>
        <v>0</v>
      </c>
      <c r="E160" s="269">
        <f>SUMIF('OBJETO '!$A$16:$A$249,A160,'OBJETO '!$E$16:$E$249)</f>
        <v>0</v>
      </c>
      <c r="F160" s="267">
        <f>+E160/$E$250</f>
        <v>0</v>
      </c>
      <c r="G160" s="269">
        <f>SUMIF('OBJETO '!$A$16:$A$249,A160,'OBJETO '!$G$16:$G$249)</f>
        <v>0</v>
      </c>
      <c r="H160" s="267">
        <f>+G160/$G$250</f>
        <v>0</v>
      </c>
      <c r="I160" s="269">
        <f>SUMIF('OBJETO '!$A$16:$A$249,A160,'OBJETO '!$I$16:$I$249)</f>
        <v>0</v>
      </c>
      <c r="J160" s="267">
        <f>+I160/$I$250</f>
        <v>0</v>
      </c>
      <c r="K160" s="269">
        <f>SUMIF('OBJETO '!$A$16:$A$249,A160,'OBJETO '!$K$16:$K$249)</f>
        <v>0</v>
      </c>
      <c r="L160" s="268">
        <f>+K160/$K$250</f>
        <v>0</v>
      </c>
    </row>
    <row r="161" spans="1:12">
      <c r="A161" s="74" t="s">
        <v>189</v>
      </c>
      <c r="B161" s="308" t="s">
        <v>579</v>
      </c>
      <c r="C161" s="269">
        <f>+E161+G161+I161+K161</f>
        <v>19949275</v>
      </c>
      <c r="D161" s="267">
        <f>+C161/$C$250</f>
        <v>1.1136367984532955E-3</v>
      </c>
      <c r="E161" s="269">
        <f>SUMIF('OBJETO '!$A$16:$A$249,A161,'OBJETO '!$E$16:$E$249)</f>
        <v>4713055</v>
      </c>
      <c r="F161" s="267">
        <f>+E161/$E$250</f>
        <v>7.3361311233914183E-4</v>
      </c>
      <c r="G161" s="269">
        <f>SUMIF('OBJETO '!$A$16:$A$249,A161,'OBJETO '!$G$16:$G$249)</f>
        <v>0</v>
      </c>
      <c r="H161" s="267">
        <f>+G161/$G$250</f>
        <v>0</v>
      </c>
      <c r="I161" s="269">
        <f>SUMIF('OBJETO '!$A$16:$A$249,A161,'OBJETO '!$I$16:$I$249)</f>
        <v>15236220</v>
      </c>
      <c r="J161" s="267">
        <f>+I161/$I$250</f>
        <v>1.4838280248145798E-3</v>
      </c>
      <c r="K161" s="269">
        <f>SUMIF('OBJETO '!$A$16:$A$249,A161,'OBJETO '!$K$16:$K$249)</f>
        <v>0</v>
      </c>
      <c r="L161" s="268">
        <f>+K161/$K$250</f>
        <v>0</v>
      </c>
    </row>
    <row r="162" spans="1:12" ht="7.95" customHeight="1">
      <c r="B162" s="308"/>
      <c r="C162" s="269"/>
      <c r="D162" s="262"/>
      <c r="E162" s="269"/>
      <c r="F162" s="262"/>
      <c r="G162" s="269"/>
      <c r="H162" s="262"/>
      <c r="I162" s="269"/>
      <c r="J162" s="262"/>
      <c r="K162" s="269"/>
      <c r="L162" s="712"/>
    </row>
    <row r="163" spans="1:12">
      <c r="B163" s="306" t="s">
        <v>580</v>
      </c>
      <c r="C163" s="307">
        <f>SUM(C165:C172)</f>
        <v>54188385</v>
      </c>
      <c r="D163" s="349">
        <f>SUM(C163/$C$14)</f>
        <v>5.1749303876043344E-3</v>
      </c>
      <c r="E163" s="307">
        <f>SUM(E165:E172)</f>
        <v>15695800</v>
      </c>
      <c r="F163" s="349">
        <f>+E163/C163</f>
        <v>0.28965247810946942</v>
      </c>
      <c r="G163" s="307">
        <f>SUM(G165:G172)</f>
        <v>0</v>
      </c>
      <c r="H163" s="349">
        <f>+G163/C163</f>
        <v>0</v>
      </c>
      <c r="I163" s="307">
        <f>SUM(I165:I172)</f>
        <v>37492585</v>
      </c>
      <c r="J163" s="349">
        <f>+I163/C163</f>
        <v>0.69189338268708322</v>
      </c>
      <c r="K163" s="307">
        <f>SUM(K165:K172)</f>
        <v>1000000</v>
      </c>
      <c r="L163" s="350">
        <f>+K163/C163</f>
        <v>1.8454139203447382E-2</v>
      </c>
    </row>
    <row r="164" spans="1:12" ht="7.95" customHeight="1">
      <c r="B164" s="308"/>
      <c r="C164" s="269"/>
      <c r="D164" s="262"/>
      <c r="E164" s="269"/>
      <c r="F164" s="262"/>
      <c r="G164" s="269"/>
      <c r="H164" s="262"/>
      <c r="I164" s="269"/>
      <c r="J164" s="262"/>
      <c r="K164" s="269"/>
      <c r="L164" s="712"/>
    </row>
    <row r="165" spans="1:12" collapsed="1">
      <c r="A165" s="74" t="s">
        <v>192</v>
      </c>
      <c r="B165" s="308" t="s">
        <v>581</v>
      </c>
      <c r="C165" s="269">
        <f t="shared" ref="C165:C172" si="42">+E165+G165+I165+K165</f>
        <v>5906628</v>
      </c>
      <c r="D165" s="267">
        <f t="shared" ref="D165:D172" si="43">+C165/$C$250</f>
        <v>3.2972818789527898E-4</v>
      </c>
      <c r="E165" s="269">
        <f>SUMIF('OBJETO '!$A$16:$A$249,A165,'OBJETO '!$E$16:$E$249)</f>
        <v>2158868</v>
      </c>
      <c r="F165" s="267">
        <f t="shared" ref="F165:F172" si="44">+E165/$E$250</f>
        <v>3.3603976032729906E-4</v>
      </c>
      <c r="G165" s="269">
        <f>SUMIF('OBJETO '!$A$16:$A$249,A165,'OBJETO '!$G$16:$G$249)</f>
        <v>0</v>
      </c>
      <c r="H165" s="267">
        <f t="shared" ref="H165:H172" si="45">+G165/$G$250</f>
        <v>0</v>
      </c>
      <c r="I165" s="269">
        <f>SUMIF('OBJETO '!$A$16:$A$249,A165,'OBJETO '!$I$16:$I$249)</f>
        <v>3347760</v>
      </c>
      <c r="J165" s="267">
        <f t="shared" ref="J165:J172" si="46">+I165/$I$250</f>
        <v>3.2603231696268876E-4</v>
      </c>
      <c r="K165" s="269">
        <f>SUMIF('OBJETO '!$A$16:$A$249,A165,'OBJETO '!$K$16:$K$249)</f>
        <v>400000</v>
      </c>
      <c r="L165" s="268">
        <f t="shared" ref="L165:L172" si="47">+K165/$K$250</f>
        <v>6.1361363204044943E-4</v>
      </c>
    </row>
    <row r="166" spans="1:12">
      <c r="A166" s="74" t="s">
        <v>194</v>
      </c>
      <c r="B166" s="308" t="s">
        <v>582</v>
      </c>
      <c r="C166" s="269">
        <f t="shared" si="42"/>
        <v>929800</v>
      </c>
      <c r="D166" s="267">
        <f t="shared" si="43"/>
        <v>5.1904617847108439E-5</v>
      </c>
      <c r="E166" s="269">
        <f>SUMIF('OBJETO '!$A$16:$A$249,A166,'OBJETO '!$E$16:$E$249)</f>
        <v>877300</v>
      </c>
      <c r="F166" s="267">
        <f t="shared" si="44"/>
        <v>1.3655660361594106E-4</v>
      </c>
      <c r="G166" s="269">
        <f>SUMIF('OBJETO '!$A$16:$A$249,A166,'OBJETO '!$G$16:$G$249)</f>
        <v>0</v>
      </c>
      <c r="H166" s="267">
        <f t="shared" si="45"/>
        <v>0</v>
      </c>
      <c r="I166" s="269">
        <f>SUMIF('OBJETO '!$A$16:$A$249,A166,'OBJETO '!$I$16:$I$249)</f>
        <v>52500</v>
      </c>
      <c r="J166" s="267">
        <f t="shared" si="46"/>
        <v>5.1128804455938183E-6</v>
      </c>
      <c r="K166" s="269">
        <f>SUMIF('OBJETO '!$A$16:$A$249,A166,'OBJETO '!$K$16:$K$249)</f>
        <v>0</v>
      </c>
      <c r="L166" s="268">
        <f t="shared" si="47"/>
        <v>0</v>
      </c>
    </row>
    <row r="167" spans="1:12" collapsed="1">
      <c r="A167" s="74" t="s">
        <v>195</v>
      </c>
      <c r="B167" s="308" t="s">
        <v>583</v>
      </c>
      <c r="C167" s="269">
        <f t="shared" si="42"/>
        <v>5285058</v>
      </c>
      <c r="D167" s="267">
        <f t="shared" si="43"/>
        <v>2.9503002343493569E-4</v>
      </c>
      <c r="E167" s="269">
        <f>SUMIF('OBJETO '!$A$16:$A$249,A167,'OBJETO '!$E$16:$E$249)</f>
        <v>3802448</v>
      </c>
      <c r="F167" s="267">
        <f t="shared" si="44"/>
        <v>5.9187208971415463E-4</v>
      </c>
      <c r="G167" s="269">
        <f>SUMIF('OBJETO '!$A$16:$A$249,A167,'OBJETO '!$G$16:$G$249)</f>
        <v>0</v>
      </c>
      <c r="H167" s="267">
        <f t="shared" si="45"/>
        <v>0</v>
      </c>
      <c r="I167" s="269">
        <f>SUMIF('OBJETO '!$A$16:$A$249,A167,'OBJETO '!$I$16:$I$249)</f>
        <v>1082610</v>
      </c>
      <c r="J167" s="267">
        <f t="shared" si="46"/>
        <v>1.0543343808008235E-4</v>
      </c>
      <c r="K167" s="269">
        <f>SUMIF('OBJETO '!$A$16:$A$249,A167,'OBJETO '!$K$16:$K$249)</f>
        <v>400000</v>
      </c>
      <c r="L167" s="268">
        <f t="shared" si="47"/>
        <v>6.1361363204044943E-4</v>
      </c>
    </row>
    <row r="168" spans="1:12">
      <c r="A168" s="74" t="s">
        <v>197</v>
      </c>
      <c r="B168" s="308" t="s">
        <v>584</v>
      </c>
      <c r="C168" s="269">
        <f t="shared" si="42"/>
        <v>36140243</v>
      </c>
      <c r="D168" s="267">
        <f t="shared" si="43"/>
        <v>2.0174720389509958E-3</v>
      </c>
      <c r="E168" s="269">
        <f>SUMIF('OBJETO '!$A$16:$A$249,A168,'OBJETO '!$E$16:$E$249)</f>
        <v>4104628</v>
      </c>
      <c r="F168" s="267">
        <f t="shared" si="44"/>
        <v>6.3890808023126975E-4</v>
      </c>
      <c r="G168" s="269">
        <f>SUMIF('OBJETO '!$A$16:$A$249,A168,'OBJETO '!$G$16:$G$249)</f>
        <v>0</v>
      </c>
      <c r="H168" s="267">
        <f t="shared" si="45"/>
        <v>0</v>
      </c>
      <c r="I168" s="269">
        <f>SUMIF('OBJETO '!$A$16:$A$249,A168,'OBJETO '!$I$16:$I$249)</f>
        <v>32035615</v>
      </c>
      <c r="J168" s="267">
        <f t="shared" si="46"/>
        <v>3.1198908475442285E-3</v>
      </c>
      <c r="K168" s="269">
        <f>SUMIF('OBJETO '!$A$16:$A$249,A168,'OBJETO '!$K$16:$K$249)</f>
        <v>0</v>
      </c>
      <c r="L168" s="268">
        <f t="shared" si="47"/>
        <v>0</v>
      </c>
    </row>
    <row r="169" spans="1:12">
      <c r="A169" s="74" t="s">
        <v>199</v>
      </c>
      <c r="B169" s="308" t="s">
        <v>585</v>
      </c>
      <c r="C169" s="269">
        <f t="shared" si="42"/>
        <v>3699556</v>
      </c>
      <c r="D169" s="267">
        <f t="shared" si="43"/>
        <v>2.0652187608515498E-4</v>
      </c>
      <c r="E169" s="269">
        <f>SUMIF('OBJETO '!$A$16:$A$249,A169,'OBJETO '!$E$16:$E$249)</f>
        <v>3579856</v>
      </c>
      <c r="F169" s="267">
        <f t="shared" si="44"/>
        <v>5.5722441216704468E-4</v>
      </c>
      <c r="G169" s="269">
        <f>SUMIF('OBJETO '!$A$16:$A$249,A169,'OBJETO '!$G$16:$G$249)</f>
        <v>0</v>
      </c>
      <c r="H169" s="267">
        <f t="shared" si="45"/>
        <v>0</v>
      </c>
      <c r="I169" s="269">
        <f>SUMIF('OBJETO '!$A$16:$A$249,A169,'OBJETO '!$I$16:$I$249)</f>
        <v>119700</v>
      </c>
      <c r="J169" s="267">
        <f t="shared" si="46"/>
        <v>1.1657367415953905E-5</v>
      </c>
      <c r="K169" s="269">
        <f>SUMIF('OBJETO '!$A$16:$A$249,A169,'OBJETO '!$K$16:$K$249)</f>
        <v>0</v>
      </c>
      <c r="L169" s="268">
        <f t="shared" si="47"/>
        <v>0</v>
      </c>
    </row>
    <row r="170" spans="1:12">
      <c r="A170" s="74" t="s">
        <v>201</v>
      </c>
      <c r="B170" s="308" t="s">
        <v>586</v>
      </c>
      <c r="C170" s="269">
        <f t="shared" si="42"/>
        <v>82000</v>
      </c>
      <c r="D170" s="267">
        <f t="shared" si="43"/>
        <v>4.5775206103064013E-6</v>
      </c>
      <c r="E170" s="269">
        <f>SUMIF('OBJETO '!$A$16:$A$249,A170,'OBJETO '!$E$16:$E$249)</f>
        <v>82000</v>
      </c>
      <c r="F170" s="267">
        <f t="shared" si="44"/>
        <v>1.2763754128014553E-5</v>
      </c>
      <c r="G170" s="269">
        <f>SUMIF('OBJETO '!$A$16:$A$249,A170,'OBJETO '!$G$16:$G$249)</f>
        <v>0</v>
      </c>
      <c r="H170" s="267">
        <f t="shared" si="45"/>
        <v>0</v>
      </c>
      <c r="I170" s="269">
        <f>SUMIF('OBJETO '!$A$16:$A$249,A170,'OBJETO '!$I$16:$I$249)</f>
        <v>0</v>
      </c>
      <c r="J170" s="267">
        <f t="shared" si="46"/>
        <v>0</v>
      </c>
      <c r="K170" s="269">
        <f>SUMIF('OBJETO '!$A$16:$A$249,A170,'OBJETO '!$K$16:$K$249)</f>
        <v>0</v>
      </c>
      <c r="L170" s="268">
        <f t="shared" si="47"/>
        <v>0</v>
      </c>
    </row>
    <row r="171" spans="1:12" hidden="1" outlineLevel="1">
      <c r="A171" s="74" t="s">
        <v>314</v>
      </c>
      <c r="B171" s="308" t="s">
        <v>351</v>
      </c>
      <c r="C171" s="269">
        <f t="shared" si="42"/>
        <v>0</v>
      </c>
      <c r="D171" s="267">
        <f t="shared" si="43"/>
        <v>0</v>
      </c>
      <c r="E171" s="269">
        <f>SUMIF('OBJETO '!$A$16:$A$249,A171,'OBJETO '!$E$16:$E$249)</f>
        <v>0</v>
      </c>
      <c r="F171" s="267">
        <f t="shared" si="44"/>
        <v>0</v>
      </c>
      <c r="G171" s="269">
        <f>SUMIF('OBJETO '!$A$16:$A$249,A171,'OBJETO '!$G$16:$G$249)</f>
        <v>0</v>
      </c>
      <c r="H171" s="267">
        <f t="shared" si="45"/>
        <v>0</v>
      </c>
      <c r="I171" s="269">
        <f>SUMIF('OBJETO '!$A$16:$A$249,A171,'OBJETO '!$I$16:$I$249)</f>
        <v>0</v>
      </c>
      <c r="J171" s="267">
        <f t="shared" si="46"/>
        <v>0</v>
      </c>
      <c r="K171" s="269">
        <f>SUMIF('OBJETO '!$A$16:$A$249,A171,'OBJETO '!$K$16:$K$249)</f>
        <v>0</v>
      </c>
      <c r="L171" s="268">
        <f t="shared" si="47"/>
        <v>0</v>
      </c>
    </row>
    <row r="172" spans="1:12" outlineLevel="1">
      <c r="A172" s="74" t="s">
        <v>203</v>
      </c>
      <c r="B172" s="308" t="s">
        <v>587</v>
      </c>
      <c r="C172" s="269">
        <f t="shared" si="42"/>
        <v>2145100</v>
      </c>
      <c r="D172" s="267">
        <f t="shared" si="43"/>
        <v>1.1974682269717392E-4</v>
      </c>
      <c r="E172" s="269">
        <f>SUMIF('OBJETO '!$A$16:$A$249,A172,'OBJETO '!$E$16:$E$249)</f>
        <v>1090700</v>
      </c>
      <c r="F172" s="267">
        <f t="shared" si="44"/>
        <v>1.697734954564082E-4</v>
      </c>
      <c r="G172" s="269">
        <f>SUMIF('OBJETO '!$A$16:$A$249,A172,'OBJETO '!$G$16:$G$249)</f>
        <v>0</v>
      </c>
      <c r="H172" s="267">
        <f t="shared" si="45"/>
        <v>0</v>
      </c>
      <c r="I172" s="269">
        <f>SUMIF('OBJETO '!$A$16:$A$249,A172,'OBJETO '!$I$16:$I$249)</f>
        <v>854400</v>
      </c>
      <c r="J172" s="267">
        <f t="shared" si="46"/>
        <v>8.3208477194578252E-5</v>
      </c>
      <c r="K172" s="269">
        <f>SUMIF('OBJETO '!$A$16:$A$249,A172,'OBJETO '!$K$16:$K$249)</f>
        <v>200000</v>
      </c>
      <c r="L172" s="268">
        <f t="shared" si="47"/>
        <v>3.0680681602022472E-4</v>
      </c>
    </row>
    <row r="173" spans="1:12" ht="7.95" customHeight="1">
      <c r="B173" s="309"/>
      <c r="C173" s="760"/>
      <c r="D173" s="273"/>
      <c r="E173" s="310"/>
      <c r="F173" s="273"/>
      <c r="G173" s="310"/>
      <c r="H173" s="273"/>
      <c r="I173" s="310"/>
      <c r="J173" s="273"/>
      <c r="K173" s="310"/>
      <c r="L173" s="745"/>
    </row>
    <row r="174" spans="1:12">
      <c r="B174" s="970" t="s">
        <v>646</v>
      </c>
      <c r="C174" s="956">
        <f>+C176</f>
        <v>2196631825.3100014</v>
      </c>
      <c r="D174" s="957">
        <f>+C174/$C$250</f>
        <v>0.12262350553184759</v>
      </c>
      <c r="E174" s="956">
        <f>+E176</f>
        <v>2196631825.3100014</v>
      </c>
      <c r="F174" s="957">
        <f>+E174/$E$250</f>
        <v>0.34191790887839846</v>
      </c>
      <c r="G174" s="956">
        <f>+G176</f>
        <v>0</v>
      </c>
      <c r="H174" s="957">
        <f>G174/C174</f>
        <v>0</v>
      </c>
      <c r="I174" s="956">
        <f>+I176</f>
        <v>0</v>
      </c>
      <c r="J174" s="957">
        <f>I174/C174</f>
        <v>0</v>
      </c>
      <c r="K174" s="956">
        <f>+K176</f>
        <v>0</v>
      </c>
      <c r="L174" s="1003">
        <f>+K174/C174</f>
        <v>0</v>
      </c>
    </row>
    <row r="175" spans="1:12" ht="7.95" customHeight="1">
      <c r="B175" s="308"/>
      <c r="C175" s="311"/>
      <c r="D175" s="262"/>
      <c r="E175" s="269"/>
      <c r="F175" s="262"/>
      <c r="G175" s="269"/>
      <c r="H175" s="262"/>
      <c r="I175" s="269"/>
      <c r="J175" s="262"/>
      <c r="K175" s="269"/>
      <c r="L175" s="712"/>
    </row>
    <row r="176" spans="1:12">
      <c r="B176" s="306" t="s">
        <v>778</v>
      </c>
      <c r="C176" s="307">
        <f>+C178</f>
        <v>2196631825.3100014</v>
      </c>
      <c r="D176" s="349">
        <f>SUM(C176/$C$14)</f>
        <v>0.20977589170032473</v>
      </c>
      <c r="E176" s="307">
        <f>+E178</f>
        <v>2196631825.3100014</v>
      </c>
      <c r="F176" s="349">
        <f>+E176/C176</f>
        <v>1</v>
      </c>
      <c r="G176" s="307">
        <f>+G178</f>
        <v>0</v>
      </c>
      <c r="H176" s="349">
        <f>G176/C176</f>
        <v>0</v>
      </c>
      <c r="I176" s="307">
        <f>+I178</f>
        <v>0</v>
      </c>
      <c r="J176" s="349">
        <f>I176/C176</f>
        <v>0</v>
      </c>
      <c r="K176" s="307">
        <f>+K178</f>
        <v>0</v>
      </c>
      <c r="L176" s="350">
        <f>+K176/C176</f>
        <v>0</v>
      </c>
    </row>
    <row r="177" spans="1:12" ht="7.95" customHeight="1">
      <c r="B177" s="308"/>
      <c r="C177" s="311"/>
      <c r="D177" s="262"/>
      <c r="E177" s="269"/>
      <c r="F177" s="262"/>
      <c r="G177" s="269"/>
      <c r="H177" s="262"/>
      <c r="I177" s="269"/>
      <c r="J177" s="262"/>
      <c r="K177" s="269"/>
      <c r="L177" s="712"/>
    </row>
    <row r="178" spans="1:12">
      <c r="A178" s="74" t="s">
        <v>648</v>
      </c>
      <c r="B178" s="309" t="s">
        <v>649</v>
      </c>
      <c r="C178" s="310">
        <f>+E178+G178+I178+K178</f>
        <v>2196631825.3100014</v>
      </c>
      <c r="D178" s="1010">
        <f>+C178/$C$250</f>
        <v>0.12262350553184759</v>
      </c>
      <c r="E178" s="310">
        <f>SUMIF('OBJETO '!$A$16:$A$249,A178,'OBJETO '!$E$16:$E$249)</f>
        <v>2196631825.3100014</v>
      </c>
      <c r="F178" s="1010">
        <f>+E178/$E$250</f>
        <v>0.34191790887839846</v>
      </c>
      <c r="G178" s="310">
        <f>SUMIF('OBJETO '!$A$16:$A$249,A178,'OBJETO '!$G$16:$G$249)</f>
        <v>0</v>
      </c>
      <c r="H178" s="1010">
        <f>+G178/$G$250</f>
        <v>0</v>
      </c>
      <c r="I178" s="310">
        <f>SUMIF('OBJETO '!$A$16:$A$249,A178,'OBJETO '!$I$16:$I$249)</f>
        <v>0</v>
      </c>
      <c r="J178" s="1010">
        <f>+I178/$I$250</f>
        <v>0</v>
      </c>
      <c r="K178" s="310">
        <f>SUMIF('OBJETO '!$A$16:$A$249,A178,'OBJETO '!$K$16:$K$249)</f>
        <v>0</v>
      </c>
      <c r="L178" s="1011">
        <f>+K178/$K$250</f>
        <v>0</v>
      </c>
    </row>
    <row r="179" spans="1:12" ht="3.6" customHeight="1">
      <c r="B179" s="308"/>
      <c r="C179" s="311"/>
      <c r="D179" s="262"/>
      <c r="E179" s="269"/>
      <c r="F179" s="262"/>
      <c r="G179" s="269"/>
      <c r="H179" s="262"/>
      <c r="I179" s="269"/>
      <c r="J179" s="262"/>
      <c r="K179" s="269"/>
      <c r="L179" s="712"/>
    </row>
    <row r="180" spans="1:12">
      <c r="B180" s="970" t="s">
        <v>53</v>
      </c>
      <c r="C180" s="956">
        <f>+C182+C193+C199</f>
        <v>1299287233.96</v>
      </c>
      <c r="D180" s="957">
        <f>+C180/$C$250</f>
        <v>7.2530659660486524E-2</v>
      </c>
      <c r="E180" s="956">
        <f>+E182+E193+E199</f>
        <v>593150598.46000004</v>
      </c>
      <c r="F180" s="957">
        <f>+E180/$E$250</f>
        <v>9.2327175605221079E-2</v>
      </c>
      <c r="G180" s="956">
        <f>+G182+G193+G199</f>
        <v>3000000</v>
      </c>
      <c r="H180" s="957">
        <f>+G180/$G$250</f>
        <v>5.2712497254557436E-3</v>
      </c>
      <c r="I180" s="956">
        <f>+I182+I193+I199</f>
        <v>703136635.5</v>
      </c>
      <c r="J180" s="957">
        <f>+I180/$I$250</f>
        <v>6.8477210556734822E-2</v>
      </c>
      <c r="K180" s="956">
        <f>+K182+K193+K199</f>
        <v>0</v>
      </c>
      <c r="L180" s="1003">
        <f>+K180/$K$250</f>
        <v>0</v>
      </c>
    </row>
    <row r="181" spans="1:12" ht="7.95" customHeight="1">
      <c r="B181" s="265"/>
      <c r="C181" s="269"/>
      <c r="D181" s="262"/>
      <c r="E181" s="269"/>
      <c r="F181" s="262"/>
      <c r="G181" s="269"/>
      <c r="H181" s="262"/>
      <c r="I181" s="269"/>
      <c r="J181" s="262"/>
      <c r="K181" s="269"/>
      <c r="L181" s="712"/>
    </row>
    <row r="182" spans="1:12">
      <c r="B182" s="306" t="s">
        <v>205</v>
      </c>
      <c r="C182" s="307">
        <f>SUM(C184:C191)</f>
        <v>782803280.90999997</v>
      </c>
      <c r="D182" s="349">
        <f>SUM(C182/$C$14)</f>
        <v>7.4756841081304246E-2</v>
      </c>
      <c r="E182" s="307">
        <f>SUM(E184:E191)</f>
        <v>96005718.409999996</v>
      </c>
      <c r="F182" s="349">
        <f>+E182/C182</f>
        <v>0.12264347985153362</v>
      </c>
      <c r="G182" s="307">
        <f>SUM(G184:G191)</f>
        <v>3000000</v>
      </c>
      <c r="H182" s="349">
        <f>+G182/C182</f>
        <v>3.8323804628316504E-3</v>
      </c>
      <c r="I182" s="307">
        <f>SUM(I184:I191)</f>
        <v>683797562.5</v>
      </c>
      <c r="J182" s="349">
        <f>+I182/C182</f>
        <v>0.8735241396856348</v>
      </c>
      <c r="K182" s="307">
        <f>SUM(K184:K191)</f>
        <v>0</v>
      </c>
      <c r="L182" s="350">
        <f>+K182/C182</f>
        <v>0</v>
      </c>
    </row>
    <row r="183" spans="1:12" ht="7.95" customHeight="1" collapsed="1">
      <c r="B183" s="265"/>
      <c r="C183" s="269"/>
      <c r="D183" s="262"/>
      <c r="E183" s="269"/>
      <c r="F183" s="262"/>
      <c r="G183" s="269"/>
      <c r="H183" s="262"/>
      <c r="I183" s="269"/>
      <c r="J183" s="262"/>
      <c r="K183" s="269"/>
      <c r="L183" s="712"/>
    </row>
    <row r="184" spans="1:12" hidden="1">
      <c r="A184" s="74" t="s">
        <v>356</v>
      </c>
      <c r="B184" s="265" t="s">
        <v>634</v>
      </c>
      <c r="C184" s="269">
        <f t="shared" ref="C184:C191" si="48">+E184+G184+I184+K184</f>
        <v>0</v>
      </c>
      <c r="D184" s="267">
        <f t="shared" ref="D184:D191" si="49">+C184/$C$250</f>
        <v>0</v>
      </c>
      <c r="E184" s="269">
        <f>SUMIF('OBJETO '!$A$16:$A$249,A184,'OBJETO '!$E$16:$E$249)</f>
        <v>0</v>
      </c>
      <c r="F184" s="267">
        <f t="shared" ref="F184:F191" si="50">+E184/$E$250</f>
        <v>0</v>
      </c>
      <c r="G184" s="269">
        <f>SUMIF('OBJETO '!$A$16:$A$249,A184,'OBJETO '!$G$16:$G$249)</f>
        <v>0</v>
      </c>
      <c r="H184" s="267">
        <f t="shared" ref="H184:H191" si="51">+G184/$G$250</f>
        <v>0</v>
      </c>
      <c r="I184" s="269">
        <f>SUMIF('OBJETO '!$A$16:$A$249,A184,'OBJETO '!$I$16:$I$249)</f>
        <v>0</v>
      </c>
      <c r="J184" s="267">
        <f t="shared" ref="J184:J191" si="52">+I184/$I$250</f>
        <v>0</v>
      </c>
      <c r="K184" s="269">
        <f>SUMIF('OBJETO '!$A$16:$A$249,A184,'OBJETO '!$K$16:$K$249)</f>
        <v>0</v>
      </c>
      <c r="L184" s="268">
        <f t="shared" ref="L184:L191" si="53">+K184/$K$250</f>
        <v>0</v>
      </c>
    </row>
    <row r="185" spans="1:12" outlineLevel="1">
      <c r="A185" s="74" t="s">
        <v>206</v>
      </c>
      <c r="B185" s="308" t="s">
        <v>635</v>
      </c>
      <c r="C185" s="269">
        <f t="shared" si="48"/>
        <v>300000000</v>
      </c>
      <c r="D185" s="267">
        <f t="shared" si="49"/>
        <v>1.67470266230722E-2</v>
      </c>
      <c r="E185" s="269">
        <f>SUMIF('OBJETO '!$A$16:$A$249,A185,'OBJETO '!$E$16:$E$249)</f>
        <v>0</v>
      </c>
      <c r="F185" s="267">
        <f t="shared" si="50"/>
        <v>0</v>
      </c>
      <c r="G185" s="269">
        <f>SUMIF('OBJETO '!$A$16:$A$249,A185,'OBJETO '!$G$16:$G$249)</f>
        <v>0</v>
      </c>
      <c r="H185" s="267">
        <f t="shared" si="51"/>
        <v>0</v>
      </c>
      <c r="I185" s="269">
        <f>SUMIF('OBJETO '!$A$16:$A$249,A185,'OBJETO '!$I$16:$I$249)</f>
        <v>300000000</v>
      </c>
      <c r="J185" s="267">
        <f t="shared" si="52"/>
        <v>2.9216459689107532E-2</v>
      </c>
      <c r="K185" s="269">
        <f>SUMIF('OBJETO '!$A$16:$A$249,A185,'OBJETO '!$K$16:$K$249)</f>
        <v>0</v>
      </c>
      <c r="L185" s="268">
        <f t="shared" si="53"/>
        <v>0</v>
      </c>
    </row>
    <row r="186" spans="1:12">
      <c r="A186" s="74" t="s">
        <v>208</v>
      </c>
      <c r="B186" s="308" t="s">
        <v>636</v>
      </c>
      <c r="C186" s="269">
        <f t="shared" si="48"/>
        <v>53303999.659999996</v>
      </c>
      <c r="D186" s="267">
        <f t="shared" si="49"/>
        <v>2.9756116714075046E-3</v>
      </c>
      <c r="E186" s="269">
        <f>SUMIF('OBJETO '!$A$16:$A$249,A186,'OBJETO '!$E$16:$E$249)</f>
        <v>5643999.6600000001</v>
      </c>
      <c r="F186" s="267">
        <f t="shared" si="50"/>
        <v>8.7851980437607001E-4</v>
      </c>
      <c r="G186" s="269">
        <f>SUMIF('OBJETO '!$A$16:$A$249,A186,'OBJETO '!$G$16:$G$249)</f>
        <v>3000000</v>
      </c>
      <c r="H186" s="267">
        <f t="shared" si="51"/>
        <v>5.2712497254557436E-3</v>
      </c>
      <c r="I186" s="269">
        <f>SUMIF('OBJETO '!$A$16:$A$249,A186,'OBJETO '!$I$16:$I$249)</f>
        <v>44660000</v>
      </c>
      <c r="J186" s="267">
        <f t="shared" si="52"/>
        <v>4.3493569657184743E-3</v>
      </c>
      <c r="K186" s="269">
        <f>SUMIF('OBJETO '!$A$16:$A$249,A186,'OBJETO '!$K$16:$K$249)</f>
        <v>0</v>
      </c>
      <c r="L186" s="268">
        <f t="shared" si="53"/>
        <v>0</v>
      </c>
    </row>
    <row r="187" spans="1:12" hidden="1" collapsed="1">
      <c r="A187" s="74" t="s">
        <v>210</v>
      </c>
      <c r="B187" s="308" t="s">
        <v>637</v>
      </c>
      <c r="C187" s="269">
        <f t="shared" si="48"/>
        <v>0</v>
      </c>
      <c r="D187" s="267">
        <f t="shared" si="49"/>
        <v>0</v>
      </c>
      <c r="E187" s="269">
        <f>SUMIF('OBJETO '!$A$16:$A$249,A187,'OBJETO '!$E$16:$E$249)</f>
        <v>0</v>
      </c>
      <c r="F187" s="267">
        <f t="shared" si="50"/>
        <v>0</v>
      </c>
      <c r="G187" s="269">
        <f>SUMIF('OBJETO '!$A$16:$A$249,A187,'OBJETO '!$G$16:$G$249)</f>
        <v>0</v>
      </c>
      <c r="H187" s="267">
        <f t="shared" si="51"/>
        <v>0</v>
      </c>
      <c r="I187" s="269">
        <f>SUMIF('OBJETO '!$A$16:$A$249,A187,'OBJETO '!$I$16:$I$249)</f>
        <v>0</v>
      </c>
      <c r="J187" s="267">
        <f t="shared" si="52"/>
        <v>0</v>
      </c>
      <c r="K187" s="269">
        <f>SUMIF('OBJETO '!$A$16:$A$249,A187,'OBJETO '!$K$16:$K$249)</f>
        <v>0</v>
      </c>
      <c r="L187" s="268">
        <f t="shared" si="53"/>
        <v>0</v>
      </c>
    </row>
    <row r="188" spans="1:12">
      <c r="A188" s="74" t="s">
        <v>212</v>
      </c>
      <c r="B188" s="308" t="s">
        <v>638</v>
      </c>
      <c r="C188" s="269">
        <f t="shared" si="48"/>
        <v>429499281.25</v>
      </c>
      <c r="D188" s="267">
        <f t="shared" si="49"/>
        <v>2.3976119658947082E-2</v>
      </c>
      <c r="E188" s="269">
        <f>SUMIF('OBJETO '!$A$16:$A$249,A188,'OBJETO '!$E$16:$E$249)</f>
        <v>90361718.75</v>
      </c>
      <c r="F188" s="267">
        <f t="shared" si="50"/>
        <v>1.4065301959875641E-2</v>
      </c>
      <c r="G188" s="269">
        <f>SUMIF('OBJETO '!$A$16:$A$249,A188,'OBJETO '!$G$16:$G$249)</f>
        <v>0</v>
      </c>
      <c r="H188" s="267">
        <f t="shared" si="51"/>
        <v>0</v>
      </c>
      <c r="I188" s="269">
        <f>SUMIF('OBJETO '!$A$16:$A$249,A188,'OBJETO '!$I$16:$I$249)</f>
        <v>339137562.5</v>
      </c>
      <c r="J188" s="267">
        <f t="shared" si="52"/>
        <v>3.3027996412811456E-2</v>
      </c>
      <c r="K188" s="269">
        <f>SUMIF('OBJETO '!$A$16:$A$249,A188,'OBJETO '!$K$16:$K$249)</f>
        <v>0</v>
      </c>
      <c r="L188" s="268">
        <f t="shared" si="53"/>
        <v>0</v>
      </c>
    </row>
    <row r="189" spans="1:12" hidden="1" outlineLevel="1">
      <c r="A189" s="74" t="s">
        <v>214</v>
      </c>
      <c r="B189" s="308" t="s">
        <v>639</v>
      </c>
      <c r="C189" s="269">
        <f t="shared" si="48"/>
        <v>0</v>
      </c>
      <c r="D189" s="267">
        <f t="shared" si="49"/>
        <v>0</v>
      </c>
      <c r="E189" s="269">
        <f>SUMIF('OBJETO '!$A$16:$A$249,A189,'OBJETO '!$E$16:$E$249)</f>
        <v>0</v>
      </c>
      <c r="F189" s="267">
        <f t="shared" si="50"/>
        <v>0</v>
      </c>
      <c r="G189" s="269">
        <f>SUMIF('OBJETO '!$A$16:$A$249,A189,'OBJETO '!$G$16:$G$249)</f>
        <v>0</v>
      </c>
      <c r="H189" s="267">
        <f t="shared" si="51"/>
        <v>0</v>
      </c>
      <c r="I189" s="269">
        <f>SUMIF('OBJETO '!$A$16:$A$249,A189,'OBJETO '!$I$16:$I$249)</f>
        <v>0</v>
      </c>
      <c r="J189" s="267">
        <f t="shared" si="52"/>
        <v>0</v>
      </c>
      <c r="K189" s="269">
        <f>SUMIF('OBJETO '!$A$16:$A$249,A189,'OBJETO '!$K$16:$K$249)</f>
        <v>0</v>
      </c>
      <c r="L189" s="268">
        <f t="shared" si="53"/>
        <v>0</v>
      </c>
    </row>
    <row r="190" spans="1:12" hidden="1" outlineLevel="1">
      <c r="A190" s="74" t="s">
        <v>216</v>
      </c>
      <c r="B190" s="308" t="s">
        <v>640</v>
      </c>
      <c r="C190" s="269">
        <f t="shared" si="48"/>
        <v>0</v>
      </c>
      <c r="D190" s="267">
        <f t="shared" si="49"/>
        <v>0</v>
      </c>
      <c r="E190" s="269">
        <f>SUMIF('OBJETO '!$A$16:$A$249,A190,'OBJETO '!$E$16:$E$249)</f>
        <v>0</v>
      </c>
      <c r="F190" s="267">
        <f t="shared" si="50"/>
        <v>0</v>
      </c>
      <c r="G190" s="269">
        <f>SUMIF('OBJETO '!$A$16:$A$249,A190,'OBJETO '!$G$16:$G$249)</f>
        <v>0</v>
      </c>
      <c r="H190" s="267">
        <f t="shared" si="51"/>
        <v>0</v>
      </c>
      <c r="I190" s="269">
        <f>SUMIF('OBJETO '!$A$16:$A$249,A190,'OBJETO '!$I$16:$I$249)</f>
        <v>0</v>
      </c>
      <c r="J190" s="267">
        <f t="shared" si="52"/>
        <v>0</v>
      </c>
      <c r="K190" s="269">
        <f>SUMIF('OBJETO '!$A$16:$A$249,A190,'OBJETO '!$K$16:$K$249)</f>
        <v>0</v>
      </c>
      <c r="L190" s="268">
        <f t="shared" si="53"/>
        <v>0</v>
      </c>
    </row>
    <row r="191" spans="1:12" hidden="1" collapsed="1">
      <c r="A191" s="74" t="s">
        <v>218</v>
      </c>
      <c r="B191" s="322" t="s">
        <v>641</v>
      </c>
      <c r="C191" s="269">
        <f t="shared" si="48"/>
        <v>0</v>
      </c>
      <c r="D191" s="267">
        <f t="shared" si="49"/>
        <v>0</v>
      </c>
      <c r="E191" s="269">
        <f>SUMIF('OBJETO '!$A$16:$A$249,A191,'OBJETO '!$E$16:$E$249)</f>
        <v>0</v>
      </c>
      <c r="F191" s="267">
        <f t="shared" si="50"/>
        <v>0</v>
      </c>
      <c r="G191" s="269">
        <f>SUMIF('OBJETO '!$A$16:$A$249,A191,'OBJETO '!$G$16:$G$249)</f>
        <v>0</v>
      </c>
      <c r="H191" s="267">
        <f t="shared" si="51"/>
        <v>0</v>
      </c>
      <c r="I191" s="269">
        <f>SUMIF('OBJETO '!$A$16:$A$249,A191,'OBJETO '!$I$16:$I$249)</f>
        <v>0</v>
      </c>
      <c r="J191" s="267">
        <f t="shared" si="52"/>
        <v>0</v>
      </c>
      <c r="K191" s="269">
        <f>SUMIF('OBJETO '!$A$16:$A$249,A191,'OBJETO '!$K$16:$K$249)</f>
        <v>0</v>
      </c>
      <c r="L191" s="268">
        <f t="shared" si="53"/>
        <v>0</v>
      </c>
    </row>
    <row r="192" spans="1:12" ht="7.95" hidden="1" customHeight="1">
      <c r="B192" s="322"/>
      <c r="C192" s="269"/>
      <c r="D192" s="262"/>
      <c r="E192" s="269"/>
      <c r="F192" s="262"/>
      <c r="G192" s="269"/>
      <c r="H192" s="262"/>
      <c r="I192" s="269"/>
      <c r="J192" s="262"/>
      <c r="K192" s="269"/>
      <c r="L192" s="712"/>
    </row>
    <row r="193" spans="1:12" hidden="1">
      <c r="B193" s="306" t="s">
        <v>288</v>
      </c>
      <c r="C193" s="307">
        <f>SUM(C195:C197)</f>
        <v>0</v>
      </c>
      <c r="D193" s="349">
        <f>SUM(C193/$C$14)</f>
        <v>0</v>
      </c>
      <c r="E193" s="307">
        <f>SUM(E195:E197)</f>
        <v>0</v>
      </c>
      <c r="F193" s="349">
        <v>0</v>
      </c>
      <c r="G193" s="307">
        <f>SUM(G195:G197)</f>
        <v>0</v>
      </c>
      <c r="H193" s="349">
        <v>0</v>
      </c>
      <c r="I193" s="307">
        <f>SUM(I195:I197)</f>
        <v>0</v>
      </c>
      <c r="J193" s="349">
        <v>0</v>
      </c>
      <c r="K193" s="307">
        <f>SUM(K195:K197)</f>
        <v>0</v>
      </c>
      <c r="L193" s="350">
        <v>0</v>
      </c>
    </row>
    <row r="194" spans="1:12" ht="7.95" hidden="1" customHeight="1">
      <c r="B194" s="322"/>
      <c r="C194" s="269"/>
      <c r="D194" s="262"/>
      <c r="E194" s="269"/>
      <c r="F194" s="262"/>
      <c r="G194" s="269"/>
      <c r="H194" s="262"/>
      <c r="I194" s="269"/>
      <c r="J194" s="262"/>
      <c r="K194" s="269"/>
      <c r="L194" s="712"/>
    </row>
    <row r="195" spans="1:12" hidden="1" outlineLevel="1">
      <c r="B195" s="308" t="s">
        <v>222</v>
      </c>
      <c r="C195" s="269">
        <f>+E195+G195+I195+K195</f>
        <v>0</v>
      </c>
      <c r="D195" s="267">
        <f>+C195/$C$250</f>
        <v>0</v>
      </c>
      <c r="E195" s="269">
        <f>SUMIF('OBJETO '!$A$16:$A$249,A195,'OBJETO '!$E$16:$E$249)</f>
        <v>0</v>
      </c>
      <c r="F195" s="267">
        <f>+E195/$E$250</f>
        <v>0</v>
      </c>
      <c r="G195" s="269">
        <v>0</v>
      </c>
      <c r="H195" s="267">
        <f>+G195/$G$250</f>
        <v>0</v>
      </c>
      <c r="I195" s="269">
        <f>SUMIF('OBJETO '!$A$16:$A$249,A195,'OBJETO '!$I$16:$I$249)</f>
        <v>0</v>
      </c>
      <c r="J195" s="267">
        <f>+I195/$I$250</f>
        <v>0</v>
      </c>
      <c r="K195" s="269">
        <v>0</v>
      </c>
      <c r="L195" s="268">
        <f>+K195/$K$250</f>
        <v>0</v>
      </c>
    </row>
    <row r="196" spans="1:12" hidden="1" collapsed="1">
      <c r="B196" s="308" t="s">
        <v>224</v>
      </c>
      <c r="C196" s="269">
        <f>+E196+G196+I196+K196</f>
        <v>0</v>
      </c>
      <c r="D196" s="267">
        <f>+C196/$C$250</f>
        <v>0</v>
      </c>
      <c r="E196" s="269">
        <f>SUMIF('OBJETO '!$A$16:$A$249,A196,'OBJETO '!$E$16:$E$249)</f>
        <v>0</v>
      </c>
      <c r="F196" s="267">
        <f>+E196/$E$250</f>
        <v>0</v>
      </c>
      <c r="G196" s="269">
        <v>0</v>
      </c>
      <c r="H196" s="267">
        <f>+G196/$G$250</f>
        <v>0</v>
      </c>
      <c r="I196" s="269">
        <f>SUMIF('OBJETO '!$A$16:$A$249,A196,'OBJETO '!$I$16:$I$249)</f>
        <v>0</v>
      </c>
      <c r="J196" s="267">
        <f>+I196/$I$250</f>
        <v>0</v>
      </c>
      <c r="K196" s="269">
        <v>0</v>
      </c>
      <c r="L196" s="268">
        <f>+K196/$K$250</f>
        <v>0</v>
      </c>
    </row>
    <row r="197" spans="1:12" hidden="1" outlineLevel="1">
      <c r="B197" s="308" t="s">
        <v>225</v>
      </c>
      <c r="C197" s="269">
        <f>+E197+G197+I197+K197</f>
        <v>0</v>
      </c>
      <c r="D197" s="267">
        <f>+C197/$C$250</f>
        <v>0</v>
      </c>
      <c r="E197" s="269">
        <f>SUMIF('OBJETO '!$A$16:$A$249,A197,'OBJETO '!$E$16:$E$249)</f>
        <v>0</v>
      </c>
      <c r="F197" s="267">
        <f>+E197/$E$250</f>
        <v>0</v>
      </c>
      <c r="G197" s="269">
        <v>0</v>
      </c>
      <c r="H197" s="267">
        <f>+G197/$G$250</f>
        <v>0</v>
      </c>
      <c r="I197" s="269">
        <f>SUMIF('OBJETO '!$A$16:$A$249,A197,'OBJETO '!$I$16:$I$249)</f>
        <v>0</v>
      </c>
      <c r="J197" s="267">
        <f>+I197/$I$250</f>
        <v>0</v>
      </c>
      <c r="K197" s="269">
        <v>0</v>
      </c>
      <c r="L197" s="268">
        <f>+K197/$K$250</f>
        <v>0</v>
      </c>
    </row>
    <row r="198" spans="1:12" ht="7.95" customHeight="1" outlineLevel="1">
      <c r="B198" s="308"/>
      <c r="C198" s="269"/>
      <c r="D198" s="262"/>
      <c r="E198" s="269"/>
      <c r="F198" s="262"/>
      <c r="G198" s="269"/>
      <c r="H198" s="262"/>
      <c r="I198" s="269"/>
      <c r="J198" s="262"/>
      <c r="K198" s="269"/>
      <c r="L198" s="712"/>
    </row>
    <row r="199" spans="1:12" outlineLevel="1">
      <c r="B199" s="306" t="s">
        <v>642</v>
      </c>
      <c r="C199" s="307">
        <f>SUM(C200:C203)</f>
        <v>516483953.05000001</v>
      </c>
      <c r="D199" s="349">
        <f>SUM(C199/$C$14)</f>
        <v>4.9323642019382115E-2</v>
      </c>
      <c r="E199" s="307">
        <f>SUM(E200:E203)</f>
        <v>497144880.05000001</v>
      </c>
      <c r="F199" s="349">
        <f>+E199/C199</f>
        <v>0.96255629456482295</v>
      </c>
      <c r="G199" s="307">
        <f>SUM(G200:G203)</f>
        <v>0</v>
      </c>
      <c r="H199" s="349">
        <f>+G199/C199</f>
        <v>0</v>
      </c>
      <c r="I199" s="307">
        <f>SUM(I200:I203)</f>
        <v>19339073</v>
      </c>
      <c r="J199" s="349">
        <v>0</v>
      </c>
      <c r="K199" s="307">
        <f>SUM(K200:K203)</f>
        <v>0</v>
      </c>
      <c r="L199" s="350">
        <f>+K199/C199</f>
        <v>0</v>
      </c>
    </row>
    <row r="200" spans="1:12" ht="7.95" customHeight="1" outlineLevel="1">
      <c r="B200" s="308"/>
      <c r="C200" s="269"/>
      <c r="D200" s="262"/>
      <c r="E200" s="269"/>
      <c r="F200" s="262"/>
      <c r="G200" s="269"/>
      <c r="H200" s="262"/>
      <c r="I200" s="269"/>
      <c r="J200" s="262"/>
      <c r="K200" s="269"/>
      <c r="L200" s="712"/>
    </row>
    <row r="201" spans="1:12" outlineLevel="1">
      <c r="A201" s="74" t="s">
        <v>352</v>
      </c>
      <c r="B201" s="308" t="s">
        <v>353</v>
      </c>
      <c r="C201" s="269">
        <f>+E201+G201+I201+K201</f>
        <v>516483953.05000001</v>
      </c>
      <c r="D201" s="267">
        <f>+C201/$C$250</f>
        <v>2.8831901707059741E-2</v>
      </c>
      <c r="E201" s="269">
        <f>SUMIF('OBJETO '!$A$16:$A$249,A201,'OBJETO '!$E$16:$E$249)</f>
        <v>497144880.05000001</v>
      </c>
      <c r="F201" s="267">
        <f>+E201/$E$250</f>
        <v>7.7383353840969366E-2</v>
      </c>
      <c r="G201" s="269">
        <f>SUMIF('OBJETO '!$A$16:$A$249,A201,'OBJETO '!$G$16:$G$249)</f>
        <v>0</v>
      </c>
      <c r="H201" s="267">
        <f>+G201/$G$250</f>
        <v>0</v>
      </c>
      <c r="I201" s="269">
        <f>SUMIF('OBJETO '!$A$16:$A$249,A201,'OBJETO '!$I$16:$I$249)</f>
        <v>19339073</v>
      </c>
      <c r="J201" s="267">
        <f>+I201/$I$250</f>
        <v>1.8833974890973596E-3</v>
      </c>
      <c r="K201" s="269">
        <f>SUMIF('OBJETO '!$A$16:$A$249,A201,'OBJETO '!$K$16:$K$249)</f>
        <v>0</v>
      </c>
      <c r="L201" s="268">
        <f>+K201/$K$250</f>
        <v>0</v>
      </c>
    </row>
    <row r="202" spans="1:12" hidden="1" outlineLevel="1">
      <c r="A202" s="74" t="s">
        <v>643</v>
      </c>
      <c r="B202" s="308" t="s">
        <v>644</v>
      </c>
      <c r="C202" s="269">
        <f>+E202+G202+I202+K202</f>
        <v>0</v>
      </c>
      <c r="D202" s="267">
        <f>+C202/$C$250</f>
        <v>0</v>
      </c>
      <c r="E202" s="269">
        <f>SUMIF('OBJETO '!$A$16:$A$249,A202,'OBJETO '!$E$16:$E$249)</f>
        <v>0</v>
      </c>
      <c r="F202" s="267">
        <f>+E202/$E$250</f>
        <v>0</v>
      </c>
      <c r="G202" s="269">
        <f>SUMIF('OBJETO '!$A$16:$A$249,A202,'OBJETO '!$G$16:$G$249)</f>
        <v>0</v>
      </c>
      <c r="H202" s="267">
        <f>+G202/$G$250</f>
        <v>0</v>
      </c>
      <c r="I202" s="269">
        <f>SUMIF('OBJETO '!$A$16:$A$249,A202,'OBJETO '!$I$16:$I$249)</f>
        <v>0</v>
      </c>
      <c r="J202" s="267">
        <f>+I202/$I$250</f>
        <v>0</v>
      </c>
      <c r="K202" s="269">
        <f>SUMIF('OBJETO '!$A$16:$A$249,A202,'OBJETO '!$K$16:$K$249)</f>
        <v>0</v>
      </c>
      <c r="L202" s="268">
        <f>+K202/$K$250</f>
        <v>0</v>
      </c>
    </row>
    <row r="203" spans="1:12" hidden="1" outlineLevel="1">
      <c r="A203" s="74" t="s">
        <v>227</v>
      </c>
      <c r="B203" s="308" t="s">
        <v>645</v>
      </c>
      <c r="C203" s="269">
        <f>+E203+G203+I203+K203</f>
        <v>0</v>
      </c>
      <c r="D203" s="267">
        <f>+C203/$C$250</f>
        <v>0</v>
      </c>
      <c r="E203" s="269">
        <f>SUMIF('OBJETO '!$A$16:$A$249,A203,'OBJETO '!$E$16:$E$249)</f>
        <v>0</v>
      </c>
      <c r="F203" s="267">
        <f>+E203/$E$250</f>
        <v>0</v>
      </c>
      <c r="G203" s="269">
        <f>SUMIF('OBJETO '!$A$16:$A$249,A203,'OBJETO '!$G$16:$G$249)</f>
        <v>0</v>
      </c>
      <c r="H203" s="267">
        <f>+G203/$G$250</f>
        <v>0</v>
      </c>
      <c r="I203" s="269">
        <f>SUMIF('OBJETO '!$A$16:$A$249,A203,'OBJETO '!$I$16:$I$249)</f>
        <v>0</v>
      </c>
      <c r="J203" s="267">
        <f>+I203/$I$250</f>
        <v>0</v>
      </c>
      <c r="K203" s="269">
        <f>SUMIF('OBJETO '!$A$16:$A$249,A203,'OBJETO '!$K$16:$K$249)</f>
        <v>0</v>
      </c>
      <c r="L203" s="268">
        <f>+K203/$K$250</f>
        <v>0</v>
      </c>
    </row>
    <row r="204" spans="1:12" ht="7.95" customHeight="1">
      <c r="B204" s="309"/>
      <c r="C204" s="760"/>
      <c r="D204" s="273"/>
      <c r="E204" s="310"/>
      <c r="F204" s="273"/>
      <c r="G204" s="310"/>
      <c r="H204" s="273"/>
      <c r="I204" s="310"/>
      <c r="J204" s="273"/>
      <c r="K204" s="310"/>
      <c r="L204" s="745"/>
    </row>
    <row r="205" spans="1:12">
      <c r="B205" s="970" t="s">
        <v>229</v>
      </c>
      <c r="C205" s="956">
        <f>+C207+C226+C238+C234+C219</f>
        <v>654919272</v>
      </c>
      <c r="D205" s="957">
        <f>+C205/$C$250</f>
        <v>3.655983494715688E-2</v>
      </c>
      <c r="E205" s="956">
        <f>+E207+E226+E238+E234+E219</f>
        <v>137000000</v>
      </c>
      <c r="F205" s="957">
        <f>+E205/$E$250</f>
        <v>2.1324808726073095E-2</v>
      </c>
      <c r="G205" s="956">
        <f>+G207+G226+G238+G234+G219</f>
        <v>0</v>
      </c>
      <c r="H205" s="957">
        <f>+G205/$G$250</f>
        <v>0</v>
      </c>
      <c r="I205" s="956">
        <f>+I207+I226+I238+I234+I219</f>
        <v>516719272</v>
      </c>
      <c r="J205" s="957">
        <f>+I205/$I$250</f>
        <v>5.0322359269909966E-2</v>
      </c>
      <c r="K205" s="956">
        <f>+K207+K226+K238+K234+K219</f>
        <v>1200000</v>
      </c>
      <c r="L205" s="1003">
        <f>+K205/$K$250</f>
        <v>1.8408408961213482E-3</v>
      </c>
    </row>
    <row r="206" spans="1:12" ht="7.95" customHeight="1">
      <c r="B206" s="265"/>
      <c r="C206" s="269"/>
      <c r="D206" s="353"/>
      <c r="E206" s="269"/>
      <c r="F206" s="262"/>
      <c r="G206" s="269"/>
      <c r="H206" s="262"/>
      <c r="I206" s="269"/>
      <c r="J206" s="262"/>
      <c r="K206" s="269"/>
      <c r="L206" s="712"/>
    </row>
    <row r="207" spans="1:12">
      <c r="B207" s="306" t="s">
        <v>588</v>
      </c>
      <c r="C207" s="307">
        <f>SUM(C209:C217)</f>
        <v>471894272</v>
      </c>
      <c r="D207" s="349">
        <f>SUM(C207/$C$14)</f>
        <v>4.5065377163560516E-2</v>
      </c>
      <c r="E207" s="307">
        <f>SUM(E209:E217)</f>
        <v>60000000</v>
      </c>
      <c r="F207" s="349">
        <f>+E207/C207</f>
        <v>0.12714712502380193</v>
      </c>
      <c r="G207" s="307">
        <f>SUM(G209:G217)</f>
        <v>0</v>
      </c>
      <c r="H207" s="349">
        <f>+G207/C207</f>
        <v>0</v>
      </c>
      <c r="I207" s="307">
        <f>SUM(I209:I217)</f>
        <v>411894272</v>
      </c>
      <c r="J207" s="349">
        <f>+I207/C207</f>
        <v>0.87285287497619801</v>
      </c>
      <c r="K207" s="307">
        <f>SUM(K209:K217)</f>
        <v>0</v>
      </c>
      <c r="L207" s="350">
        <f>+K207/C207</f>
        <v>0</v>
      </c>
    </row>
    <row r="208" spans="1:12" ht="7.95" customHeight="1" collapsed="1">
      <c r="B208" s="265"/>
      <c r="C208" s="269"/>
      <c r="D208" s="262"/>
      <c r="E208" s="269"/>
      <c r="F208" s="262"/>
      <c r="G208" s="269"/>
      <c r="H208" s="262"/>
      <c r="I208" s="269"/>
      <c r="J208" s="262"/>
      <c r="K208" s="269"/>
      <c r="L208" s="712"/>
    </row>
    <row r="209" spans="1:12">
      <c r="A209" s="74" t="s">
        <v>302</v>
      </c>
      <c r="B209" s="265" t="s">
        <v>354</v>
      </c>
      <c r="C209" s="269">
        <f t="shared" ref="C209:C217" si="54">+E209+G209+I209+K209</f>
        <v>471894272</v>
      </c>
      <c r="D209" s="267">
        <f t="shared" ref="D209:D217" si="55">+C209/$C$250</f>
        <v>2.6342753121530914E-2</v>
      </c>
      <c r="E209" s="269">
        <f>SUMIF('OBJETO '!$A$16:$A$249,A209,'OBJETO '!$E$16:$E$249)</f>
        <v>60000000</v>
      </c>
      <c r="F209" s="267">
        <f t="shared" ref="F209:F217" si="56">+E209/$E$250</f>
        <v>9.3393322887911374E-3</v>
      </c>
      <c r="G209" s="269">
        <f>SUMIF('OBJETO '!$A$16:$A$249,A209,'OBJETO '!$G$16:$G$249)</f>
        <v>0</v>
      </c>
      <c r="H209" s="267">
        <f t="shared" ref="H209:H217" si="57">+G209/$G$250</f>
        <v>0</v>
      </c>
      <c r="I209" s="269">
        <f>SUMIF('OBJETO '!$A$16:$A$249,A209,'OBJETO '!$I$16:$I$249)</f>
        <v>411894272</v>
      </c>
      <c r="J209" s="267">
        <f t="shared" ref="J209:J217" si="58">+I209/$I$250</f>
        <v>4.0113641313540976E-2</v>
      </c>
      <c r="K209" s="269">
        <f>SUMIF('OBJETO '!$A$16:$A$249,A209,'OBJETO '!$K$16:$K$249)</f>
        <v>0</v>
      </c>
      <c r="L209" s="268">
        <f t="shared" ref="L209:L217" si="59">+K209/$K$250</f>
        <v>0</v>
      </c>
    </row>
    <row r="210" spans="1:12" hidden="1">
      <c r="A210" s="74" t="s">
        <v>231</v>
      </c>
      <c r="B210" s="265" t="s">
        <v>589</v>
      </c>
      <c r="C210" s="269">
        <f t="shared" si="54"/>
        <v>0</v>
      </c>
      <c r="D210" s="267">
        <f t="shared" si="55"/>
        <v>0</v>
      </c>
      <c r="E210" s="269">
        <f>SUMIF('OBJETO '!$A$16:$A$249,A210,'OBJETO '!$E$16:$E$249)</f>
        <v>0</v>
      </c>
      <c r="F210" s="267">
        <f t="shared" si="56"/>
        <v>0</v>
      </c>
      <c r="G210" s="269">
        <f>SUMIF('OBJETO '!$A$16:$A$249,A210,'OBJETO '!$G$16:$G$249)</f>
        <v>0</v>
      </c>
      <c r="H210" s="267">
        <f t="shared" si="57"/>
        <v>0</v>
      </c>
      <c r="I210" s="269">
        <f>SUMIF('OBJETO '!$A$16:$A$249,A210,'OBJETO '!$I$16:$I$249)</f>
        <v>0</v>
      </c>
      <c r="J210" s="267">
        <f t="shared" si="58"/>
        <v>0</v>
      </c>
      <c r="K210" s="269">
        <f>SUMIF('OBJETO '!$A$16:$A$249,A210,'OBJETO '!$K$16:$K$249)</f>
        <v>0</v>
      </c>
      <c r="L210" s="268">
        <f t="shared" si="59"/>
        <v>0</v>
      </c>
    </row>
    <row r="211" spans="1:12" hidden="1">
      <c r="A211" s="74" t="s">
        <v>590</v>
      </c>
      <c r="B211" s="265" t="s">
        <v>591</v>
      </c>
      <c r="C211" s="269">
        <f t="shared" si="54"/>
        <v>0</v>
      </c>
      <c r="D211" s="267">
        <f t="shared" si="55"/>
        <v>0</v>
      </c>
      <c r="E211" s="269">
        <f>SUMIF('OBJETO '!$A$16:$A$249,A211,'OBJETO '!$E$16:$E$249)</f>
        <v>0</v>
      </c>
      <c r="F211" s="267">
        <f t="shared" si="56"/>
        <v>0</v>
      </c>
      <c r="G211" s="269">
        <f>SUMIF('OBJETO '!$A$16:$A$249,A211,'OBJETO '!$G$16:$G$249)</f>
        <v>0</v>
      </c>
      <c r="H211" s="267">
        <f t="shared" si="57"/>
        <v>0</v>
      </c>
      <c r="I211" s="269">
        <f>SUMIF('OBJETO '!$A$16:$A$249,A211,'OBJETO '!$I$16:$I$249)</f>
        <v>0</v>
      </c>
      <c r="J211" s="267">
        <f t="shared" si="58"/>
        <v>0</v>
      </c>
      <c r="K211" s="269">
        <f>SUMIF('OBJETO '!$A$16:$A$249,A211,'OBJETO '!$K$16:$K$249)</f>
        <v>0</v>
      </c>
      <c r="L211" s="268">
        <f t="shared" si="59"/>
        <v>0</v>
      </c>
    </row>
    <row r="212" spans="1:12" hidden="1">
      <c r="A212" s="74" t="s">
        <v>592</v>
      </c>
      <c r="B212" s="265" t="s">
        <v>593</v>
      </c>
      <c r="C212" s="269">
        <f t="shared" si="54"/>
        <v>0</v>
      </c>
      <c r="D212" s="267">
        <f t="shared" si="55"/>
        <v>0</v>
      </c>
      <c r="E212" s="269">
        <f>SUMIF('OBJETO '!$A$16:$A$249,A212,'OBJETO '!$E$16:$E$249)</f>
        <v>0</v>
      </c>
      <c r="F212" s="267">
        <f t="shared" si="56"/>
        <v>0</v>
      </c>
      <c r="G212" s="269">
        <f>SUMIF('OBJETO '!$A$16:$A$249,A212,'OBJETO '!$G$16:$G$249)</f>
        <v>0</v>
      </c>
      <c r="H212" s="267">
        <f t="shared" si="57"/>
        <v>0</v>
      </c>
      <c r="I212" s="269">
        <f>SUMIF('OBJETO '!$A$16:$A$249,A212,'OBJETO '!$I$16:$I$249)</f>
        <v>0</v>
      </c>
      <c r="J212" s="267">
        <f t="shared" si="58"/>
        <v>0</v>
      </c>
      <c r="K212" s="269">
        <f>SUMIF('OBJETO '!$A$16:$A$249,A212,'OBJETO '!$K$16:$K$249)</f>
        <v>0</v>
      </c>
      <c r="L212" s="268">
        <f t="shared" si="59"/>
        <v>0</v>
      </c>
    </row>
    <row r="213" spans="1:12" hidden="1">
      <c r="A213" s="74" t="s">
        <v>594</v>
      </c>
      <c r="B213" s="265" t="s">
        <v>595</v>
      </c>
      <c r="C213" s="269">
        <f t="shared" si="54"/>
        <v>0</v>
      </c>
      <c r="D213" s="267">
        <f t="shared" si="55"/>
        <v>0</v>
      </c>
      <c r="E213" s="269">
        <f>SUMIF('OBJETO '!$A$16:$A$249,A213,'OBJETO '!$E$16:$E$249)</f>
        <v>0</v>
      </c>
      <c r="F213" s="267">
        <f t="shared" si="56"/>
        <v>0</v>
      </c>
      <c r="G213" s="269">
        <f>SUMIF('OBJETO '!$A$16:$A$249,A213,'OBJETO '!$G$16:$G$249)</f>
        <v>0</v>
      </c>
      <c r="H213" s="267">
        <f t="shared" si="57"/>
        <v>0</v>
      </c>
      <c r="I213" s="269">
        <f>SUMIF('OBJETO '!$A$16:$A$249,A213,'OBJETO '!$I$16:$I$249)</f>
        <v>0</v>
      </c>
      <c r="J213" s="267">
        <f t="shared" si="58"/>
        <v>0</v>
      </c>
      <c r="K213" s="269">
        <f>SUMIF('OBJETO '!$A$16:$A$249,A213,'OBJETO '!$K$16:$K$249)</f>
        <v>0</v>
      </c>
      <c r="L213" s="268">
        <f t="shared" si="59"/>
        <v>0</v>
      </c>
    </row>
    <row r="214" spans="1:12" hidden="1">
      <c r="A214" s="74" t="s">
        <v>596</v>
      </c>
      <c r="B214" s="265" t="s">
        <v>597</v>
      </c>
      <c r="C214" s="269">
        <f t="shared" si="54"/>
        <v>0</v>
      </c>
      <c r="D214" s="267">
        <f t="shared" si="55"/>
        <v>0</v>
      </c>
      <c r="E214" s="269">
        <f>SUMIF('OBJETO '!$A$16:$A$249,A214,'OBJETO '!$E$16:$E$249)</f>
        <v>0</v>
      </c>
      <c r="F214" s="267">
        <f t="shared" si="56"/>
        <v>0</v>
      </c>
      <c r="G214" s="269">
        <f>SUMIF('OBJETO '!$A$16:$A$249,A214,'OBJETO '!$G$16:$G$249)</f>
        <v>0</v>
      </c>
      <c r="H214" s="267">
        <f t="shared" si="57"/>
        <v>0</v>
      </c>
      <c r="I214" s="269">
        <f>SUMIF('OBJETO '!$A$16:$A$249,A214,'OBJETO '!$I$16:$I$249)</f>
        <v>0</v>
      </c>
      <c r="J214" s="267">
        <f t="shared" si="58"/>
        <v>0</v>
      </c>
      <c r="K214" s="269">
        <f>SUMIF('OBJETO '!$A$16:$A$249,A214,'OBJETO '!$K$16:$K$249)</f>
        <v>0</v>
      </c>
      <c r="L214" s="268">
        <f t="shared" si="59"/>
        <v>0</v>
      </c>
    </row>
    <row r="215" spans="1:12" hidden="1">
      <c r="A215" s="74" t="s">
        <v>598</v>
      </c>
      <c r="B215" s="265" t="s">
        <v>599</v>
      </c>
      <c r="C215" s="269">
        <f t="shared" si="54"/>
        <v>0</v>
      </c>
      <c r="D215" s="267">
        <f t="shared" si="55"/>
        <v>0</v>
      </c>
      <c r="E215" s="269">
        <f>SUMIF('OBJETO '!$A$16:$A$249,A215,'OBJETO '!$E$16:$E$249)</f>
        <v>0</v>
      </c>
      <c r="F215" s="267">
        <f t="shared" si="56"/>
        <v>0</v>
      </c>
      <c r="G215" s="269">
        <f>SUMIF('OBJETO '!$A$16:$A$249,A215,'OBJETO '!$G$16:$G$249)</f>
        <v>0</v>
      </c>
      <c r="H215" s="267">
        <f t="shared" si="57"/>
        <v>0</v>
      </c>
      <c r="I215" s="269">
        <f>SUMIF('OBJETO '!$A$16:$A$249,A215,'OBJETO '!$I$16:$I$249)</f>
        <v>0</v>
      </c>
      <c r="J215" s="267">
        <f t="shared" si="58"/>
        <v>0</v>
      </c>
      <c r="K215" s="269">
        <f>SUMIF('OBJETO '!$A$16:$A$249,A215,'OBJETO '!$K$16:$K$249)</f>
        <v>0</v>
      </c>
      <c r="L215" s="268">
        <f t="shared" si="59"/>
        <v>0</v>
      </c>
    </row>
    <row r="216" spans="1:12" hidden="1">
      <c r="A216" s="74" t="s">
        <v>600</v>
      </c>
      <c r="B216" s="265" t="s">
        <v>601</v>
      </c>
      <c r="C216" s="269">
        <f t="shared" si="54"/>
        <v>0</v>
      </c>
      <c r="D216" s="267">
        <f t="shared" si="55"/>
        <v>0</v>
      </c>
      <c r="E216" s="269">
        <f>SUMIF('OBJETO '!$A$16:$A$249,A216,'OBJETO '!$E$16:$E$249)</f>
        <v>0</v>
      </c>
      <c r="F216" s="267">
        <f t="shared" si="56"/>
        <v>0</v>
      </c>
      <c r="G216" s="269">
        <f>SUMIF('OBJETO '!$A$16:$A$249,A216,'OBJETO '!$G$16:$G$249)</f>
        <v>0</v>
      </c>
      <c r="H216" s="267">
        <f t="shared" si="57"/>
        <v>0</v>
      </c>
      <c r="I216" s="269">
        <f>SUMIF('OBJETO '!$A$16:$A$249,A216,'OBJETO '!$I$16:$I$249)</f>
        <v>0</v>
      </c>
      <c r="J216" s="267">
        <f t="shared" si="58"/>
        <v>0</v>
      </c>
      <c r="K216" s="269">
        <f>SUMIF('OBJETO '!$A$16:$A$249,A216,'OBJETO '!$K$16:$K$249)</f>
        <v>0</v>
      </c>
      <c r="L216" s="268">
        <f t="shared" si="59"/>
        <v>0</v>
      </c>
    </row>
    <row r="217" spans="1:12" hidden="1">
      <c r="A217" s="74" t="s">
        <v>602</v>
      </c>
      <c r="B217" s="265" t="s">
        <v>603</v>
      </c>
      <c r="C217" s="269">
        <f t="shared" si="54"/>
        <v>0</v>
      </c>
      <c r="D217" s="267">
        <f t="shared" si="55"/>
        <v>0</v>
      </c>
      <c r="E217" s="269">
        <f>SUMIF('OBJETO '!$A$16:$A$249,A217,'OBJETO '!$E$16:$E$249)</f>
        <v>0</v>
      </c>
      <c r="F217" s="267">
        <f t="shared" si="56"/>
        <v>0</v>
      </c>
      <c r="G217" s="269">
        <f>SUMIF('OBJETO '!$A$16:$A$249,A217,'OBJETO '!$G$16:$G$249)</f>
        <v>0</v>
      </c>
      <c r="H217" s="267">
        <f t="shared" si="57"/>
        <v>0</v>
      </c>
      <c r="I217" s="269">
        <f>SUMIF('OBJETO '!$A$16:$A$249,A217,'OBJETO '!$I$16:$I$249)</f>
        <v>0</v>
      </c>
      <c r="J217" s="267">
        <f t="shared" si="58"/>
        <v>0</v>
      </c>
      <c r="K217" s="269">
        <f>SUMIF('OBJETO '!$A$16:$A$249,A217,'OBJETO '!$K$16:$K$249)</f>
        <v>0</v>
      </c>
      <c r="L217" s="268">
        <f t="shared" si="59"/>
        <v>0</v>
      </c>
    </row>
    <row r="218" spans="1:12" ht="7.95" customHeight="1">
      <c r="B218" s="265"/>
      <c r="C218" s="269"/>
      <c r="D218" s="267"/>
      <c r="E218" s="269"/>
      <c r="F218" s="267"/>
      <c r="G218" s="269"/>
      <c r="H218" s="267"/>
      <c r="I218" s="269"/>
      <c r="J218" s="267"/>
      <c r="K218" s="269"/>
      <c r="L218" s="268"/>
    </row>
    <row r="219" spans="1:12">
      <c r="B219" s="306" t="s">
        <v>611</v>
      </c>
      <c r="C219" s="307">
        <f>SUM(C221:C224)</f>
        <v>7000000</v>
      </c>
      <c r="D219" s="349">
        <f>SUM(C219/$C$14)</f>
        <v>6.6849220018700209E-4</v>
      </c>
      <c r="E219" s="307">
        <f>SUM(E221:E224)</f>
        <v>7000000</v>
      </c>
      <c r="F219" s="349">
        <f>+E219/C219</f>
        <v>1</v>
      </c>
      <c r="G219" s="307">
        <f>SUM(G221:G224)</f>
        <v>0</v>
      </c>
      <c r="H219" s="349">
        <f>+G219/C219</f>
        <v>0</v>
      </c>
      <c r="I219" s="307">
        <f>SUM(I221:I224)</f>
        <v>0</v>
      </c>
      <c r="J219" s="349">
        <f>+I219/C219</f>
        <v>0</v>
      </c>
      <c r="K219" s="307">
        <f>SUM(K221:K224)</f>
        <v>0</v>
      </c>
      <c r="L219" s="350">
        <f>+K219/C219</f>
        <v>0</v>
      </c>
    </row>
    <row r="220" spans="1:12" ht="7.95" customHeight="1">
      <c r="B220" s="265"/>
      <c r="C220" s="269"/>
      <c r="D220" s="267"/>
      <c r="E220" s="269"/>
      <c r="F220" s="267"/>
      <c r="G220" s="269"/>
      <c r="H220" s="267"/>
      <c r="I220" s="269"/>
      <c r="J220" s="267"/>
      <c r="K220" s="269"/>
      <c r="L220" s="268"/>
    </row>
    <row r="221" spans="1:12" hidden="1">
      <c r="A221" s="74" t="s">
        <v>612</v>
      </c>
      <c r="B221" s="265" t="s">
        <v>613</v>
      </c>
      <c r="C221" s="269">
        <f>+E221+G221+I221+K221</f>
        <v>0</v>
      </c>
      <c r="D221" s="267">
        <f>+C221/$C$250</f>
        <v>0</v>
      </c>
      <c r="E221" s="269">
        <f>SUMIF('OBJETO '!$A$16:$A$249,A221,'OBJETO '!$E$16:$E$249)</f>
        <v>0</v>
      </c>
      <c r="F221" s="267">
        <f>+E221/$E$250</f>
        <v>0</v>
      </c>
      <c r="G221" s="269">
        <f>SUMIF('OBJETO '!$A$16:$A$249,A221,'OBJETO '!$G$16:$G$249)</f>
        <v>0</v>
      </c>
      <c r="H221" s="267">
        <f>+G221/$G$250</f>
        <v>0</v>
      </c>
      <c r="I221" s="269">
        <f>SUMIF('OBJETO '!$A$16:$A$249,A221,'OBJETO '!$I$16:$I$249)</f>
        <v>0</v>
      </c>
      <c r="J221" s="267">
        <f>+I221/$I$250</f>
        <v>0</v>
      </c>
      <c r="K221" s="269">
        <f>SUMIF('OBJETO '!$A$16:$A$249,A221,'OBJETO '!$K$16:$K$249)</f>
        <v>0</v>
      </c>
      <c r="L221" s="268">
        <f>+K221/$K$250</f>
        <v>0</v>
      </c>
    </row>
    <row r="222" spans="1:12">
      <c r="A222" s="74" t="s">
        <v>614</v>
      </c>
      <c r="B222" s="265" t="s">
        <v>615</v>
      </c>
      <c r="C222" s="269">
        <f>+E222+G222+I222+K222</f>
        <v>7000000</v>
      </c>
      <c r="D222" s="267">
        <f>+C222/$C$250</f>
        <v>3.9076395453835133E-4</v>
      </c>
      <c r="E222" s="269">
        <f>SUMIF('OBJETO '!$A$16:$A$249,A222,'OBJETO '!$E$16:$E$249)</f>
        <v>7000000</v>
      </c>
      <c r="F222" s="267">
        <f>+E222/$E$250</f>
        <v>1.0895887670256325E-3</v>
      </c>
      <c r="G222" s="269">
        <f>SUMIF('OBJETO '!$A$16:$A$249,A222,'OBJETO '!$G$16:$G$249)</f>
        <v>0</v>
      </c>
      <c r="H222" s="267">
        <f>+G222/$G$250</f>
        <v>0</v>
      </c>
      <c r="I222" s="269">
        <f>SUMIF('OBJETO '!$A$16:$A$249,A222,'OBJETO '!$I$16:$I$249)</f>
        <v>0</v>
      </c>
      <c r="J222" s="267">
        <f>+I222/$I$250</f>
        <v>0</v>
      </c>
      <c r="K222" s="269">
        <f>SUMIF('OBJETO '!$A$16:$A$249,A222,'OBJETO '!$K$16:$K$249)</f>
        <v>0</v>
      </c>
      <c r="L222" s="268">
        <f>+K222/$K$250</f>
        <v>0</v>
      </c>
    </row>
    <row r="223" spans="1:12" hidden="1">
      <c r="A223" s="74" t="s">
        <v>616</v>
      </c>
      <c r="B223" s="265" t="s">
        <v>617</v>
      </c>
      <c r="C223" s="269">
        <f>+E223+G223+I223+K223</f>
        <v>0</v>
      </c>
      <c r="D223" s="267">
        <f>+C223/$C$250</f>
        <v>0</v>
      </c>
      <c r="E223" s="269">
        <f>SUMIF('OBJETO '!$A$16:$A$249,A223,'OBJETO '!$E$16:$E$249)</f>
        <v>0</v>
      </c>
      <c r="F223" s="267">
        <f>+E223/$E$250</f>
        <v>0</v>
      </c>
      <c r="G223" s="269">
        <f>SUMIF('OBJETO '!$A$16:$A$249,A223,'OBJETO '!$G$16:$G$249)</f>
        <v>0</v>
      </c>
      <c r="H223" s="267">
        <f>+G223/$G$250</f>
        <v>0</v>
      </c>
      <c r="I223" s="269">
        <f>SUMIF('OBJETO '!$A$16:$A$249,A223,'OBJETO '!$I$16:$I$249)</f>
        <v>0</v>
      </c>
      <c r="J223" s="267">
        <f>+I223/$I$250</f>
        <v>0</v>
      </c>
      <c r="K223" s="269">
        <f>SUMIF('OBJETO '!$A$16:$A$249,A223,'OBJETO '!$K$16:$K$249)</f>
        <v>0</v>
      </c>
      <c r="L223" s="268">
        <f>+K223/$K$250</f>
        <v>0</v>
      </c>
    </row>
    <row r="224" spans="1:12" hidden="1">
      <c r="A224" s="74" t="s">
        <v>618</v>
      </c>
      <c r="B224" s="265" t="s">
        <v>619</v>
      </c>
      <c r="C224" s="269">
        <f>+E224+G224+I224+K224</f>
        <v>0</v>
      </c>
      <c r="D224" s="267">
        <f>+C224/$C$250</f>
        <v>0</v>
      </c>
      <c r="E224" s="269">
        <f>SUMIF('OBJETO '!$A$16:$A$249,A224,'OBJETO '!$E$16:$E$249)</f>
        <v>0</v>
      </c>
      <c r="F224" s="267">
        <f>+E224/$E$250</f>
        <v>0</v>
      </c>
      <c r="G224" s="269">
        <f>SUMIF('OBJETO '!$A$16:$A$249,A224,'OBJETO '!$G$16:$G$249)</f>
        <v>0</v>
      </c>
      <c r="H224" s="267">
        <f>+G224/$G$250</f>
        <v>0</v>
      </c>
      <c r="I224" s="269">
        <f>SUMIF('OBJETO '!$A$16:$A$249,A224,'OBJETO '!$I$16:$I$249)</f>
        <v>0</v>
      </c>
      <c r="J224" s="267">
        <f>+I224/$I$250</f>
        <v>0</v>
      </c>
      <c r="K224" s="269">
        <f>SUMIF('OBJETO '!$A$16:$A$249,A224,'OBJETO '!$K$16:$K$249)</f>
        <v>0</v>
      </c>
      <c r="L224" s="268">
        <f>+K224/$K$250</f>
        <v>0</v>
      </c>
    </row>
    <row r="225" spans="1:12" ht="7.95" customHeight="1" thickBot="1">
      <c r="B225" s="971"/>
      <c r="C225" s="963"/>
      <c r="D225" s="732"/>
      <c r="E225" s="963"/>
      <c r="F225" s="732"/>
      <c r="G225" s="963"/>
      <c r="H225" s="732"/>
      <c r="I225" s="963"/>
      <c r="J225" s="732"/>
      <c r="K225" s="963"/>
      <c r="L225" s="1007"/>
    </row>
    <row r="226" spans="1:12">
      <c r="B226" s="687" t="s">
        <v>233</v>
      </c>
      <c r="C226" s="278">
        <f>SUM(C228:C232)</f>
        <v>134825000</v>
      </c>
      <c r="D226" s="722">
        <f>SUM(C226/$C$14)</f>
        <v>1.2875637270030365E-2</v>
      </c>
      <c r="E226" s="278">
        <f>SUM(E228:E232)</f>
        <v>70000000</v>
      </c>
      <c r="F226" s="722">
        <f>+E226/C226</f>
        <v>0.51919154459484518</v>
      </c>
      <c r="G226" s="278">
        <f>SUM(G228:G232)</f>
        <v>0</v>
      </c>
      <c r="H226" s="722">
        <f>+G226/C226</f>
        <v>0</v>
      </c>
      <c r="I226" s="278">
        <f>SUM(I228:I232)</f>
        <v>64825000</v>
      </c>
      <c r="J226" s="722">
        <f>+I226/C226</f>
        <v>0.48080845540515482</v>
      </c>
      <c r="K226" s="278">
        <f>SUM(K228:K232)</f>
        <v>0</v>
      </c>
      <c r="L226" s="746">
        <f>+K226/C226</f>
        <v>0</v>
      </c>
    </row>
    <row r="227" spans="1:12" ht="7.95" customHeight="1">
      <c r="B227" s="265"/>
      <c r="C227" s="269"/>
      <c r="D227" s="262"/>
      <c r="E227" s="269"/>
      <c r="F227" s="262"/>
      <c r="G227" s="269"/>
      <c r="H227" s="262"/>
      <c r="I227" s="269"/>
      <c r="J227" s="262"/>
      <c r="K227" s="269"/>
      <c r="L227" s="712"/>
    </row>
    <row r="228" spans="1:12" collapsed="1">
      <c r="A228" s="74" t="s">
        <v>294</v>
      </c>
      <c r="B228" s="265" t="s">
        <v>620</v>
      </c>
      <c r="C228" s="269">
        <f>+E228+G228+I228+K228</f>
        <v>134825000</v>
      </c>
      <c r="D228" s="267">
        <f>+C228/$C$250</f>
        <v>7.5263928815190312E-3</v>
      </c>
      <c r="E228" s="269">
        <f>SUMIF('OBJETO '!$A$16:$A$249,A228,'OBJETO '!$E$16:$E$249)</f>
        <v>70000000</v>
      </c>
      <c r="F228" s="267">
        <f>+E228/$E$250</f>
        <v>1.0895887670256326E-2</v>
      </c>
      <c r="G228" s="269">
        <f>SUMIF('OBJETO '!$A$16:$A$249,A228,'OBJETO '!$G$16:$G$249)</f>
        <v>0</v>
      </c>
      <c r="H228" s="267">
        <f>+G228/$G$250</f>
        <v>0</v>
      </c>
      <c r="I228" s="269">
        <f>SUMIF('OBJETO '!$A$16:$A$249,A228,'OBJETO '!$I$16:$I$249)</f>
        <v>64825000</v>
      </c>
      <c r="J228" s="267">
        <f>+I228/$I$250</f>
        <v>6.3131899978213189E-3</v>
      </c>
      <c r="K228" s="269">
        <f>SUMIF('OBJETO '!$A$16:$A$249,A228,'OBJETO '!$K$16:$K$249)</f>
        <v>0</v>
      </c>
      <c r="L228" s="268">
        <f>+K228/$K$250</f>
        <v>0</v>
      </c>
    </row>
    <row r="229" spans="1:12" hidden="1">
      <c r="A229" s="74" t="s">
        <v>621</v>
      </c>
      <c r="B229" s="265" t="s">
        <v>622</v>
      </c>
      <c r="C229" s="269">
        <f>+E229+G229+I229+K229</f>
        <v>0</v>
      </c>
      <c r="D229" s="267">
        <f>+C229/$C$250</f>
        <v>0</v>
      </c>
      <c r="E229" s="269">
        <f>SUMIF('OBJETO '!$A$16:$A$249,A229,'OBJETO '!$E$16:$E$249)</f>
        <v>0</v>
      </c>
      <c r="F229" s="267">
        <f>+E229/$E$250</f>
        <v>0</v>
      </c>
      <c r="G229" s="269">
        <f>SUMIF('OBJETO '!$A$16:$A$249,A229,'OBJETO '!$G$16:$G$249)</f>
        <v>0</v>
      </c>
      <c r="H229" s="267">
        <f>+G229/$G$250</f>
        <v>0</v>
      </c>
      <c r="I229" s="269">
        <f>SUMIF('OBJETO '!$A$16:$A$249,A229,'OBJETO '!$I$16:$I$249)</f>
        <v>0</v>
      </c>
      <c r="J229" s="267">
        <f>+I229/$I$250</f>
        <v>0</v>
      </c>
      <c r="K229" s="269">
        <f>SUMIF('OBJETO '!$A$16:$A$249,A229,'OBJETO '!$K$16:$K$249)</f>
        <v>0</v>
      </c>
      <c r="L229" s="268">
        <f>+K229/$K$250</f>
        <v>0</v>
      </c>
    </row>
    <row r="230" spans="1:12" hidden="1">
      <c r="A230" s="74" t="s">
        <v>623</v>
      </c>
      <c r="B230" s="265" t="s">
        <v>624</v>
      </c>
      <c r="C230" s="269">
        <f>+E230+G230+I230+K230</f>
        <v>0</v>
      </c>
      <c r="D230" s="267">
        <f>+C230/$C$250</f>
        <v>0</v>
      </c>
      <c r="E230" s="269">
        <f>SUMIF('OBJETO '!$A$16:$A$249,A230,'OBJETO '!$E$16:$E$249)</f>
        <v>0</v>
      </c>
      <c r="F230" s="267">
        <f>+E230/$E$250</f>
        <v>0</v>
      </c>
      <c r="G230" s="269">
        <f>SUMIF('OBJETO '!$A$16:$A$249,A230,'OBJETO '!$G$16:$G$249)</f>
        <v>0</v>
      </c>
      <c r="H230" s="267">
        <f>+G230/$G$250</f>
        <v>0</v>
      </c>
      <c r="I230" s="269">
        <f>SUMIF('OBJETO '!$A$16:$A$249,A230,'OBJETO '!$I$16:$I$249)</f>
        <v>0</v>
      </c>
      <c r="J230" s="267">
        <f>+I230/$I$250</f>
        <v>0</v>
      </c>
      <c r="K230" s="269">
        <f>SUMIF('OBJETO '!$A$16:$A$249,A230,'OBJETO '!$K$16:$K$249)</f>
        <v>0</v>
      </c>
      <c r="L230" s="268">
        <f>+K230/$K$250</f>
        <v>0</v>
      </c>
    </row>
    <row r="231" spans="1:12" hidden="1">
      <c r="A231" s="74" t="s">
        <v>625</v>
      </c>
      <c r="B231" s="265" t="s">
        <v>626</v>
      </c>
      <c r="C231" s="269">
        <f>+E231+G231+I231+K231</f>
        <v>0</v>
      </c>
      <c r="D231" s="267">
        <f>+C231/$C$250</f>
        <v>0</v>
      </c>
      <c r="E231" s="269">
        <f>SUMIF('OBJETO '!$A$16:$A$249,A231,'OBJETO '!$E$16:$E$249)</f>
        <v>0</v>
      </c>
      <c r="F231" s="267">
        <f>+E231/$E$250</f>
        <v>0</v>
      </c>
      <c r="G231" s="269">
        <f>SUMIF('OBJETO '!$A$16:$A$249,A231,'OBJETO '!$G$16:$G$249)</f>
        <v>0</v>
      </c>
      <c r="H231" s="267">
        <f>+G231/$G$250</f>
        <v>0</v>
      </c>
      <c r="I231" s="269">
        <f>SUMIF('OBJETO '!$A$16:$A$249,A231,'OBJETO '!$I$16:$I$249)</f>
        <v>0</v>
      </c>
      <c r="J231" s="267">
        <f>+I231/$I$250</f>
        <v>0</v>
      </c>
      <c r="K231" s="269">
        <f>SUMIF('OBJETO '!$A$16:$A$249,A231,'OBJETO '!$K$16:$K$249)</f>
        <v>0</v>
      </c>
      <c r="L231" s="268">
        <f>+K231/$K$250</f>
        <v>0</v>
      </c>
    </row>
    <row r="232" spans="1:12" hidden="1">
      <c r="A232" s="74" t="s">
        <v>627</v>
      </c>
      <c r="B232" s="265" t="s">
        <v>628</v>
      </c>
      <c r="C232" s="269">
        <f>+E232+G232+I232+K232</f>
        <v>0</v>
      </c>
      <c r="D232" s="267">
        <f>+C232/$C$250</f>
        <v>0</v>
      </c>
      <c r="E232" s="269">
        <f>SUMIF('OBJETO '!$A$16:$A$249,A232,'OBJETO '!$E$16:$E$249)</f>
        <v>0</v>
      </c>
      <c r="F232" s="267">
        <f>+E232/$E$250</f>
        <v>0</v>
      </c>
      <c r="G232" s="269">
        <f>SUMIF('OBJETO '!$A$16:$A$249,A232,'OBJETO '!$G$16:$G$249)</f>
        <v>0</v>
      </c>
      <c r="H232" s="267">
        <f>+G232/$G$250</f>
        <v>0</v>
      </c>
      <c r="I232" s="269">
        <f>SUMIF('OBJETO '!$A$16:$A$249,A232,'OBJETO '!$I$16:$I$249)</f>
        <v>0</v>
      </c>
      <c r="J232" s="267">
        <f>+I232/$I$250</f>
        <v>0</v>
      </c>
      <c r="K232" s="269">
        <f>SUMIF('OBJETO '!$A$16:$A$249,A232,'OBJETO '!$K$16:$K$249)</f>
        <v>0</v>
      </c>
      <c r="L232" s="268">
        <f>+K232/$K$250</f>
        <v>0</v>
      </c>
    </row>
    <row r="233" spans="1:12" ht="7.95" customHeight="1">
      <c r="B233" s="265"/>
      <c r="C233" s="269"/>
      <c r="D233" s="353"/>
      <c r="E233" s="269"/>
      <c r="F233" s="262"/>
      <c r="G233" s="269"/>
      <c r="H233" s="262"/>
      <c r="I233" s="269"/>
      <c r="J233" s="262"/>
      <c r="K233" s="269"/>
      <c r="L233" s="712"/>
    </row>
    <row r="234" spans="1:12" hidden="1">
      <c r="B234" s="306" t="s">
        <v>355</v>
      </c>
      <c r="C234" s="307">
        <f>+C236</f>
        <v>0</v>
      </c>
      <c r="D234" s="349">
        <f>SUM(C234/$C$14)</f>
        <v>0</v>
      </c>
      <c r="E234" s="307">
        <f>SUM(E236)</f>
        <v>0</v>
      </c>
      <c r="F234" s="349">
        <v>0</v>
      </c>
      <c r="G234" s="307">
        <f>SUM(G236)</f>
        <v>0</v>
      </c>
      <c r="H234" s="349">
        <v>0</v>
      </c>
      <c r="I234" s="307">
        <f>SUM(I236)</f>
        <v>0</v>
      </c>
      <c r="J234" s="349">
        <v>0</v>
      </c>
      <c r="K234" s="307">
        <f>SUM(K236)</f>
        <v>0</v>
      </c>
      <c r="L234" s="350">
        <v>0</v>
      </c>
    </row>
    <row r="235" spans="1:12" ht="7.95" hidden="1" customHeight="1">
      <c r="B235" s="972"/>
      <c r="C235" s="320"/>
      <c r="D235" s="351"/>
      <c r="E235" s="320"/>
      <c r="F235" s="351"/>
      <c r="G235" s="320"/>
      <c r="H235" s="351"/>
      <c r="I235" s="320"/>
      <c r="J235" s="351"/>
      <c r="K235" s="320"/>
      <c r="L235" s="749"/>
    </row>
    <row r="236" spans="1:12" hidden="1" collapsed="1">
      <c r="A236" s="74" t="s">
        <v>323</v>
      </c>
      <c r="B236" s="265" t="s">
        <v>327</v>
      </c>
      <c r="C236" s="269">
        <f>+E236+G236+I236+K236</f>
        <v>0</v>
      </c>
      <c r="D236" s="267">
        <f>+C236/$C$250</f>
        <v>0</v>
      </c>
      <c r="E236" s="269">
        <f>SUMIF('OBJETO '!$A$16:$A$249,A236,'OBJETO '!$E$16:$E$249)</f>
        <v>0</v>
      </c>
      <c r="F236" s="267">
        <f>+E236/$E$250</f>
        <v>0</v>
      </c>
      <c r="G236" s="269">
        <f>SUMIF('OBJETO '!$A$16:$A$249,A236,'OBJETO '!$G$16:$G$249)</f>
        <v>0</v>
      </c>
      <c r="H236" s="267">
        <f>+G236/$G$250</f>
        <v>0</v>
      </c>
      <c r="I236" s="269">
        <f>SUMIF('OBJETO '!$A$16:$A$249,A236,'OBJETO '!$I$16:$I$249)</f>
        <v>0</v>
      </c>
      <c r="J236" s="267">
        <f>+I236/$I$250</f>
        <v>0</v>
      </c>
      <c r="K236" s="269">
        <f>SUMIF('OBJETO '!$A$16:$A$249,A236,'OBJETO '!$K$16:$K$249)</f>
        <v>0</v>
      </c>
      <c r="L236" s="268">
        <f>+K236/$K$250</f>
        <v>0</v>
      </c>
    </row>
    <row r="237" spans="1:12" ht="7.95" hidden="1" customHeight="1">
      <c r="B237" s="265"/>
      <c r="C237" s="269"/>
      <c r="D237" s="353"/>
      <c r="E237" s="269"/>
      <c r="F237" s="262"/>
      <c r="G237" s="269"/>
      <c r="H237" s="262"/>
      <c r="I237" s="269"/>
      <c r="J237" s="262"/>
      <c r="K237" s="269"/>
      <c r="L237" s="712"/>
    </row>
    <row r="238" spans="1:12">
      <c r="B238" s="306" t="s">
        <v>247</v>
      </c>
      <c r="C238" s="307">
        <f>SUM(C240:C241)</f>
        <v>41200000</v>
      </c>
      <c r="D238" s="349">
        <f>SUM(C238/$C$14)</f>
        <v>3.9345540925292124E-3</v>
      </c>
      <c r="E238" s="307">
        <f>SUM(E240:E241)</f>
        <v>0</v>
      </c>
      <c r="F238" s="349">
        <f>+E238/C238</f>
        <v>0</v>
      </c>
      <c r="G238" s="307">
        <f>SUM(G240:G241)</f>
        <v>0</v>
      </c>
      <c r="H238" s="349">
        <f>+G238/C238</f>
        <v>0</v>
      </c>
      <c r="I238" s="307">
        <f>SUM(I240:I241)</f>
        <v>40000000</v>
      </c>
      <c r="J238" s="349">
        <f>+I238/C238</f>
        <v>0.970873786407767</v>
      </c>
      <c r="K238" s="307">
        <f>SUM(K240:K241)</f>
        <v>1200000</v>
      </c>
      <c r="L238" s="350">
        <f>+K238/C238</f>
        <v>2.9126213592233011E-2</v>
      </c>
    </row>
    <row r="239" spans="1:12" ht="7.95" customHeight="1">
      <c r="B239" s="972"/>
      <c r="C239" s="320"/>
      <c r="D239" s="351"/>
      <c r="E239" s="320"/>
      <c r="F239" s="351"/>
      <c r="G239" s="320"/>
      <c r="H239" s="351"/>
      <c r="I239" s="320"/>
      <c r="J239" s="351"/>
      <c r="K239" s="320"/>
      <c r="L239" s="749"/>
    </row>
    <row r="240" spans="1:12" collapsed="1">
      <c r="A240" s="74" t="s">
        <v>235</v>
      </c>
      <c r="B240" s="308" t="s">
        <v>632</v>
      </c>
      <c r="C240" s="269">
        <f>+E240+G240+I240+K240</f>
        <v>40000000</v>
      </c>
      <c r="D240" s="267">
        <f>+C240/$C$250</f>
        <v>2.2329368830762931E-3</v>
      </c>
      <c r="E240" s="269">
        <f>SUMIF('OBJETO '!$A$16:$A$249,A240,'OBJETO '!$E$16:$E$249)</f>
        <v>0</v>
      </c>
      <c r="F240" s="267">
        <f>+E240/$E$250</f>
        <v>0</v>
      </c>
      <c r="G240" s="269">
        <f>SUMIF('OBJETO '!$A$16:$A$249,A240,'OBJETO '!$G$16:$G$249)</f>
        <v>0</v>
      </c>
      <c r="H240" s="267">
        <f>+G240/$G$250</f>
        <v>0</v>
      </c>
      <c r="I240" s="269">
        <f>SUMIF('OBJETO '!$A$16:$A$249,A240,'OBJETO '!$I$16:$I$249)</f>
        <v>40000000</v>
      </c>
      <c r="J240" s="267">
        <f>+I240/$I$250</f>
        <v>3.8955279585476711E-3</v>
      </c>
      <c r="K240" s="269">
        <f>SUMIF('OBJETO '!$A$16:$A$249,A240,'OBJETO '!$K$16:$K$249)</f>
        <v>0</v>
      </c>
      <c r="L240" s="268">
        <f>+K240/$K$250</f>
        <v>0</v>
      </c>
    </row>
    <row r="241" spans="1:12">
      <c r="A241" s="74" t="s">
        <v>307</v>
      </c>
      <c r="B241" s="308" t="s">
        <v>633</v>
      </c>
      <c r="C241" s="269">
        <f>+E241+G241+I241+K241</f>
        <v>1200000</v>
      </c>
      <c r="D241" s="267">
        <f>+C241/$C$250</f>
        <v>6.6988106492288799E-5</v>
      </c>
      <c r="E241" s="269">
        <f>SUMIF('OBJETO '!$A$16:$A$249,A241,'OBJETO '!$E$16:$E$249)</f>
        <v>0</v>
      </c>
      <c r="F241" s="267">
        <f>+E241/$E$250</f>
        <v>0</v>
      </c>
      <c r="G241" s="269">
        <f>SUMIF('OBJETO '!$A$16:$A$249,A241,'OBJETO '!$G$16:$G$249)</f>
        <v>0</v>
      </c>
      <c r="H241" s="267">
        <f>+G241/$G$250</f>
        <v>0</v>
      </c>
      <c r="I241" s="269">
        <f>SUMIF('OBJETO '!$A$16:$A$249,A241,'OBJETO '!$I$16:$I$249)</f>
        <v>0</v>
      </c>
      <c r="J241" s="267">
        <f>+I241/$I$250</f>
        <v>0</v>
      </c>
      <c r="K241" s="269">
        <f>SUMIF('OBJETO '!$A$16:$A$249,A241,'OBJETO '!$K$16:$K$249)</f>
        <v>1200000</v>
      </c>
      <c r="L241" s="268">
        <f>+K241/$K$250</f>
        <v>1.8408408961213482E-3</v>
      </c>
    </row>
    <row r="242" spans="1:12" ht="7.95" customHeight="1" collapsed="1">
      <c r="B242" s="309"/>
      <c r="C242" s="760"/>
      <c r="D242" s="273"/>
      <c r="E242" s="310"/>
      <c r="F242" s="273"/>
      <c r="G242" s="310"/>
      <c r="H242" s="273"/>
      <c r="I242" s="310"/>
      <c r="J242" s="273"/>
      <c r="K242" s="310"/>
      <c r="L242" s="745"/>
    </row>
    <row r="243" spans="1:12" hidden="1">
      <c r="B243" s="970" t="s">
        <v>54</v>
      </c>
      <c r="C243" s="956">
        <f>+C245</f>
        <v>0</v>
      </c>
      <c r="D243" s="957">
        <f>+C243/C250</f>
        <v>0</v>
      </c>
      <c r="E243" s="956">
        <f>+E245</f>
        <v>0</v>
      </c>
      <c r="F243" s="957">
        <f>+E243/$E$250</f>
        <v>0</v>
      </c>
      <c r="G243" s="956">
        <f>+G245</f>
        <v>0</v>
      </c>
      <c r="H243" s="957">
        <f>+G243/$G$250</f>
        <v>0</v>
      </c>
      <c r="I243" s="956">
        <f>+I245</f>
        <v>0</v>
      </c>
      <c r="J243" s="957">
        <f>+I243/I250</f>
        <v>0</v>
      </c>
      <c r="K243" s="956">
        <f>+K245</f>
        <v>0</v>
      </c>
      <c r="L243" s="1003">
        <f>+K243/$K$250</f>
        <v>0</v>
      </c>
    </row>
    <row r="244" spans="1:12" ht="7.95" hidden="1" customHeight="1">
      <c r="B244" s="265"/>
      <c r="C244" s="269"/>
      <c r="D244" s="262"/>
      <c r="E244" s="269"/>
      <c r="F244" s="262"/>
      <c r="G244" s="269"/>
      <c r="H244" s="262"/>
      <c r="I244" s="269"/>
      <c r="J244" s="262"/>
      <c r="K244" s="269"/>
      <c r="L244" s="712"/>
    </row>
    <row r="245" spans="1:12" hidden="1">
      <c r="B245" s="306" t="s">
        <v>287</v>
      </c>
      <c r="C245" s="307">
        <f>SUM(C247:C248)</f>
        <v>0</v>
      </c>
      <c r="D245" s="349">
        <f>SUM(C245/$C$14)</f>
        <v>0</v>
      </c>
      <c r="E245" s="307">
        <f>SUM(E247:E248)</f>
        <v>0</v>
      </c>
      <c r="F245" s="349">
        <v>0</v>
      </c>
      <c r="G245" s="307">
        <f>SUM(G247:G248)</f>
        <v>0</v>
      </c>
      <c r="H245" s="349">
        <v>0</v>
      </c>
      <c r="I245" s="307">
        <f>SUM(I247:I248)</f>
        <v>0</v>
      </c>
      <c r="J245" s="349">
        <f>+I245/I250</f>
        <v>0</v>
      </c>
      <c r="K245" s="307">
        <f>SUM(K247:K248)</f>
        <v>0</v>
      </c>
      <c r="L245" s="350">
        <v>0</v>
      </c>
    </row>
    <row r="246" spans="1:12" ht="7.95" hidden="1" customHeight="1">
      <c r="B246" s="265"/>
      <c r="C246" s="269"/>
      <c r="D246" s="262"/>
      <c r="E246" s="269"/>
      <c r="F246" s="262"/>
      <c r="G246" s="269"/>
      <c r="H246" s="262"/>
      <c r="I246" s="269"/>
      <c r="J246" s="262"/>
      <c r="K246" s="269"/>
      <c r="L246" s="712"/>
    </row>
    <row r="247" spans="1:12" hidden="1" outlineLevel="1">
      <c r="A247" s="74" t="s">
        <v>238</v>
      </c>
      <c r="B247" s="265" t="s">
        <v>650</v>
      </c>
      <c r="C247" s="269">
        <f>+E247+G247+I247+K247</f>
        <v>0</v>
      </c>
      <c r="D247" s="267">
        <f>+C247/$C$250</f>
        <v>0</v>
      </c>
      <c r="E247" s="269">
        <f>SUMIF('OBJETO '!$A$16:$A$249,A247,'OBJETO '!$E$16:$E$249)</f>
        <v>0</v>
      </c>
      <c r="F247" s="267">
        <f>+E247/$E$250</f>
        <v>0</v>
      </c>
      <c r="G247" s="269">
        <f>SUMIF('OBJETO '!$A$16:$A$249,A247,'OBJETO '!$G$16:$G$249)</f>
        <v>0</v>
      </c>
      <c r="H247" s="267">
        <f>+G247/$G$250</f>
        <v>0</v>
      </c>
      <c r="I247" s="269">
        <f>SUMIF('OBJETO '!$A$16:$A$249,A247,'OBJETO '!$I$16:$I$249)</f>
        <v>0</v>
      </c>
      <c r="J247" s="267">
        <f>+I247/$I$250</f>
        <v>0</v>
      </c>
      <c r="K247" s="269">
        <f>SUMIF('OBJETO '!$A$16:$A$249,A247,'OBJETO '!$K$16:$K$249)</f>
        <v>0</v>
      </c>
      <c r="L247" s="268">
        <f>+K247/$K$250</f>
        <v>0</v>
      </c>
    </row>
    <row r="248" spans="1:12" hidden="1" collapsed="1">
      <c r="A248" s="74" t="s">
        <v>239</v>
      </c>
      <c r="B248" s="308" t="s">
        <v>651</v>
      </c>
      <c r="C248" s="269">
        <f>+E248+G248+I248+K248</f>
        <v>0</v>
      </c>
      <c r="D248" s="267">
        <f>+C248/$C$250</f>
        <v>0</v>
      </c>
      <c r="E248" s="269">
        <f>SUMIF('OBJETO '!$A$16:$A$249,A248,'OBJETO '!$E$16:$E$249)</f>
        <v>0</v>
      </c>
      <c r="F248" s="267">
        <f>+E248/$E$250</f>
        <v>0</v>
      </c>
      <c r="G248" s="269">
        <f>SUMIF('OBJETO '!$A$16:$A$249,A248,'OBJETO '!$G$16:$G$249)</f>
        <v>0</v>
      </c>
      <c r="H248" s="267">
        <f>+G248/$G$250</f>
        <v>0</v>
      </c>
      <c r="I248" s="269">
        <f>SUMIF('OBJETO '!$A$16:$A$249,A248,'OBJETO '!$I$16:$I$249)</f>
        <v>0</v>
      </c>
      <c r="J248" s="267">
        <f>+I248/$I$250</f>
        <v>0</v>
      </c>
      <c r="K248" s="269">
        <f>SUMIF('OBJETO '!$A$16:$A$249,A248,'OBJETO '!$K$16:$K$249)</f>
        <v>0</v>
      </c>
      <c r="L248" s="268">
        <f>+K248/$K$250</f>
        <v>0</v>
      </c>
    </row>
    <row r="249" spans="1:12" ht="7.95" customHeight="1" collapsed="1" thickBot="1">
      <c r="B249" s="309"/>
      <c r="C249" s="760"/>
      <c r="D249" s="273"/>
      <c r="E249" s="310"/>
      <c r="F249" s="273"/>
      <c r="G249" s="310"/>
      <c r="H249" s="273"/>
      <c r="I249" s="310"/>
      <c r="J249" s="273"/>
      <c r="K249" s="310"/>
      <c r="L249" s="745"/>
    </row>
    <row r="250" spans="1:12" ht="18" thickBot="1">
      <c r="B250" s="324" t="s">
        <v>20</v>
      </c>
      <c r="C250" s="325">
        <f>+C243+C205+C180+C131+C46+C14+C174</f>
        <v>17913627699.540001</v>
      </c>
      <c r="D250" s="725">
        <f>+D243+D205+D180+D174+D131+D46+D14</f>
        <v>1</v>
      </c>
      <c r="E250" s="325">
        <f>SUM(E205+E180+E131+E46+E14+E243+E174)</f>
        <v>6424442149.0400009</v>
      </c>
      <c r="F250" s="725">
        <f>+F243+F205+F180+F174+F131+F46+F14</f>
        <v>1</v>
      </c>
      <c r="G250" s="325">
        <f>SUM(G205+G180+G131+G46+G14+G243)</f>
        <v>569125000</v>
      </c>
      <c r="H250" s="725">
        <f>+H243+H205+H180+H174+H131+H46+H14</f>
        <v>1</v>
      </c>
      <c r="I250" s="325">
        <f>SUM(I205+I180+I131+I46+I14+I243)</f>
        <v>10268184550.5</v>
      </c>
      <c r="J250" s="725">
        <f>+J243+J205+J180+J174+J131+J46+J14</f>
        <v>1</v>
      </c>
      <c r="K250" s="325">
        <f>SUM(K205+K180+K131+K46+K14+K243)</f>
        <v>651876000</v>
      </c>
      <c r="L250" s="750">
        <f>+L243+L205+L180+L174+L131+L46+L14</f>
        <v>1</v>
      </c>
    </row>
    <row r="251" spans="1:12" ht="7.95" customHeight="1" thickBot="1">
      <c r="B251" s="97"/>
      <c r="C251" s="973"/>
      <c r="D251" s="289"/>
      <c r="E251" s="973"/>
      <c r="F251" s="735"/>
      <c r="G251" s="973"/>
      <c r="H251" s="979"/>
      <c r="I251" s="973"/>
      <c r="J251" s="735"/>
      <c r="K251" s="973"/>
      <c r="L251" s="751"/>
    </row>
    <row r="252" spans="1:12" ht="18" thickBot="1">
      <c r="K252" s="974"/>
      <c r="L252" s="975"/>
    </row>
    <row r="253" spans="1:12" ht="18" thickTop="1">
      <c r="B253" s="1201"/>
      <c r="C253" s="1201"/>
      <c r="D253" s="1201"/>
      <c r="E253" s="1201"/>
      <c r="F253" s="1201"/>
      <c r="G253" s="1201"/>
      <c r="H253" s="1201"/>
      <c r="I253" s="1201"/>
      <c r="J253" s="1201"/>
      <c r="K253" s="976"/>
      <c r="L253" s="977"/>
    </row>
    <row r="255" spans="1:12" hidden="1">
      <c r="C255" s="935">
        <f>+'Distribución OyA Detalle'!G1056</f>
        <v>0</v>
      </c>
    </row>
    <row r="256" spans="1:12" hidden="1">
      <c r="C256" s="935">
        <f>+C255-C250</f>
        <v>-17913627699.540001</v>
      </c>
    </row>
  </sheetData>
  <sortState xmlns:xlrd2="http://schemas.microsoft.com/office/spreadsheetml/2017/richdata2" ref="B45:J46">
    <sortCondition sortBy="fontColor" ref="B44" dxfId="14"/>
  </sortState>
  <mergeCells count="9">
    <mergeCell ref="B253:J253"/>
    <mergeCell ref="B6:L6"/>
    <mergeCell ref="B7:L7"/>
    <mergeCell ref="B8:L8"/>
    <mergeCell ref="B3:L3"/>
    <mergeCell ref="G11:G12"/>
    <mergeCell ref="I11:I12"/>
    <mergeCell ref="K11:K12"/>
    <mergeCell ref="E11:E12"/>
  </mergeCells>
  <phoneticPr fontId="0" type="noConversion"/>
  <conditionalFormatting sqref="D250">
    <cfRule type="containsText" dxfId="13" priority="1" operator="containsText" text="#¡DIV/0!">
      <formula>NOT(ISERROR(SEARCH("#¡DIV/0!",D250)))</formula>
    </cfRule>
  </conditionalFormatting>
  <printOptions horizontalCentered="1"/>
  <pageMargins left="0.39370078740157483" right="0.39370078740157483" top="0.98425196850393704" bottom="0.78740157480314965" header="0.59055118110236227" footer="0.59055118110236227"/>
  <pageSetup scale="60" firstPageNumber="10" fitToHeight="4" orientation="landscape" useFirstPageNumber="1" r:id="rId1"/>
  <headerFooter alignWithMargins="0">
    <oddFooter>&amp;C&amp;"Tw Cen MT,Normal"&amp;P</oddFooter>
  </headerFooter>
  <rowBreaks count="3" manualBreakCount="3">
    <brk id="63" max="16383" man="1"/>
    <brk id="113" max="16383" man="1"/>
    <brk id="178" max="16383" man="1"/>
  </rowBreaks>
  <ignoredErrors>
    <ignoredError sqref="D251:L252 D44:D48 L246 H84:H85 H96:H98 H242:H244 H55:H57 J84:J85 J96:J98 J242:J246 J14:J16 L84:L85 L96:L98 L233 L180:L183 L55:L57 J130:J132 J55:J57 J249 E174:E176 D55:D57 G175:J177 D14:D17 H14:H17 L14:L17 L34:L42 D35:D41 J35:J42 H35:H42 C34:E34 D49 J44:J49 L44:L49 H44:H49 H73:H75 L73:L75 J73:J75 D73:D75 D63:D65 J63:J65 L63:L65 H63:H65 D83:D85 D96:D98 D90:D92 L91:L92 J91:J92 H91:H92 D102:D104 L102:L104 J102:J104 H102:H104 D114:D116 H115:H116 J115:J116 L115:L116 D121:D123 H121:H123 J121:J123 L121:L123 D130:D134 J134 H130:H134 L130:L134 D140:D142 J140 H140 L140 D147:D149 J147:J149 H147:H149 L147:L149 L157:L159 H157:H159 J157:J159 D157:D159 L162:L164 H162:H164 J162:J164 D162:D164 D173:D177 G179:J183 D179:D183 G233:J233 D233:D235 D192:D200 G192:J192 L192 D204:D208 G204:J208 L204:L208 D218:D220 G218:J218 D225:D227 G225:J225 L225:L227 L237:L239 G237:J239 D237:D239 L242:L244 D242:D246 L249 H249 D249 G220:J220 H219 J219 G174:J174 G34:K34 G227:J227 H226 J226 G198:J200 G195:H197 F198:F200 F226 F227 F123 F104 F98 F57 F75 F47:F49 F132 F219 F220 F246 F249:F250 F237:F239 F225 F218 F204:F208 F192 F233 F179:F183 F162:F164 F157:F159 F147:F149 F140 F134 F121 F116 F102 F92 F65 F63 F73 F45 F15:F16 F175:F177 F130 F242:F244 F96 F55 F85 F14 F86:F91 F56 F97 F131 F178 F17:F44 F46 F74 F64 F66:F72 F93:F95 F103 F117:F120 F122 F135:F139 F143:F146 F150:F156 F160:F161 F165:F174 F184:F191 F236 F195:F197 F209:F217 F240:F241 F247:F248 F221:F224 F133 F50:F54 F76:F82 F58:F62 F99:F101 F105:F115 F124:F129 F228:F232 F201:F203 F235 F83:F84 H246 G235:J235 G234 I234 G194:J194 G193 I193 F194 L194:L200 L235 H142 F142 J142 L142 E250 G250:K250"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22</vt:i4>
      </vt:variant>
    </vt:vector>
  </HeadingPairs>
  <TitlesOfParts>
    <vt:vector size="46" baseType="lpstr">
      <vt:lpstr>INDICE</vt:lpstr>
      <vt:lpstr>CLASIFICACION DE INGRESOS 2025</vt:lpstr>
      <vt:lpstr>Hoja1</vt:lpstr>
      <vt:lpstr>INGRESOS 2025</vt:lpstr>
      <vt:lpstr>JUSTIFIC ING</vt:lpstr>
      <vt:lpstr>INGRESOS 2020-2025</vt:lpstr>
      <vt:lpstr>COMPARATIVO INGRESOS</vt:lpstr>
      <vt:lpstr>OBJETO </vt:lpstr>
      <vt:lpstr>EGRESOS</vt:lpstr>
      <vt:lpstr>EVOLUCION GASTO</vt:lpstr>
      <vt:lpstr>EST.ORIGEN Y APLICACION</vt:lpstr>
      <vt:lpstr>PRESUP2025</vt:lpstr>
      <vt:lpstr> CLASIFICACION DE GASTOS 2025</vt:lpstr>
      <vt:lpstr>Hoja2</vt:lpstr>
      <vt:lpstr>Distribución OyA Detalle</vt:lpstr>
      <vt:lpstr>JUST. PROG.01</vt:lpstr>
      <vt:lpstr>JUST. PROG.02</vt:lpstr>
      <vt:lpstr>JUST. PROG.03</vt:lpstr>
      <vt:lpstr>JUST. PROG.04</vt:lpstr>
      <vt:lpstr>RESUMEN INEC</vt:lpstr>
      <vt:lpstr>RESUMEN 01</vt:lpstr>
      <vt:lpstr>RESUMEN 02</vt:lpstr>
      <vt:lpstr>RESUMEN 03</vt:lpstr>
      <vt:lpstr>RESUMEN 04</vt:lpstr>
      <vt:lpstr>' CLASIFICACION DE GASTOS 2025'!Área_de_impresión</vt:lpstr>
      <vt:lpstr>'CLASIFICACION DE INGRESOS 2025'!Área_de_impresión</vt:lpstr>
      <vt:lpstr>'COMPARATIVO INGRESOS'!Área_de_impresión</vt:lpstr>
      <vt:lpstr>'EST.ORIGEN Y APLICACION'!Área_de_impresión</vt:lpstr>
      <vt:lpstr>'EVOLUCION GASTO'!Área_de_impresión</vt:lpstr>
      <vt:lpstr>'JUST. PROG.01'!Área_de_impresión</vt:lpstr>
      <vt:lpstr>'JUST. PROG.03'!Área_de_impresión</vt:lpstr>
      <vt:lpstr>'JUST. PROG.04'!Área_de_impresión</vt:lpstr>
      <vt:lpstr>'JUSTIFIC ING'!Área_de_impresión</vt:lpstr>
      <vt:lpstr>'RESUMEN 01'!Área_de_impresión</vt:lpstr>
      <vt:lpstr>'RESUMEN 02'!Área_de_impresión</vt:lpstr>
      <vt:lpstr>'RESUMEN 03'!Área_de_impresión</vt:lpstr>
      <vt:lpstr>'RESUMEN 04'!Área_de_impresión</vt:lpstr>
      <vt:lpstr>' CLASIFICACION DE GASTOS 2025'!Títulos_a_imprimir</vt:lpstr>
      <vt:lpstr>EGRESOS!Títulos_a_imprimir</vt:lpstr>
      <vt:lpstr>'EST.ORIGEN Y APLICACION'!Títulos_a_imprimir</vt:lpstr>
      <vt:lpstr>'EVOLUCION GASTO'!Títulos_a_imprimir</vt:lpstr>
      <vt:lpstr>'JUST. PROG.01'!Títulos_a_imprimir</vt:lpstr>
      <vt:lpstr>'JUST. PROG.02'!Títulos_a_imprimir</vt:lpstr>
      <vt:lpstr>'JUST. PROG.03'!Títulos_a_imprimir</vt:lpstr>
      <vt:lpstr>'JUST. PROG.04'!Títulos_a_imprimir</vt:lpstr>
      <vt:lpstr>'OBJETO '!Títulos_a_imprimir</vt:lpstr>
    </vt:vector>
  </TitlesOfParts>
  <Company>INEC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INEC</dc:creator>
  <cp:lastModifiedBy>Vladimir Calero Gaitán</cp:lastModifiedBy>
  <cp:lastPrinted>2024-08-28T23:21:56Z</cp:lastPrinted>
  <dcterms:created xsi:type="dcterms:W3CDTF">2000-09-23T15:18:53Z</dcterms:created>
  <dcterms:modified xsi:type="dcterms:W3CDTF">2025-01-02T21:07:23Z</dcterms:modified>
</cp:coreProperties>
</file>